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38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100" sheetId="54" r:id="rId9"/>
    <sheet name="Div 2" sheetId="9" r:id="rId10"/>
    <sheet name="OSR_Div 2_1PQ800A" sheetId="10" state="hidden" r:id="rId11"/>
    <sheet name="OSR_Div 1 (2)...789fe994_2NV3KA" sheetId="11" state="hidden" r:id="rId12"/>
    <sheet name="200" sheetId="55" r:id="rId13"/>
    <sheet name="201" sheetId="56" r:id="rId14"/>
    <sheet name="202" sheetId="57" r:id="rId15"/>
    <sheet name="203" sheetId="58" r:id="rId16"/>
    <sheet name="204" sheetId="59" r:id="rId17"/>
    <sheet name="205" sheetId="60" r:id="rId18"/>
    <sheet name="206" sheetId="61" r:id="rId19"/>
    <sheet name="Div 3" sheetId="12" r:id="rId20"/>
    <sheet name="OSR_Div 3_18723PH" sheetId="13" state="hidden" r:id="rId21"/>
    <sheet name="OSR_300 (2)_7...54cb56fc_UFX0O2" sheetId="14" state="hidden" r:id="rId22"/>
    <sheet name="300" sheetId="15" r:id="rId23"/>
    <sheet name="OSR_300_IYZXI6" sheetId="16" state="hidden" r:id="rId24"/>
    <sheet name="OSR_Div 3 (2)...b7db256a_40ITCB" sheetId="17" state="hidden" r:id="rId25"/>
    <sheet name="300 &amp; 317" sheetId="18" r:id="rId26"/>
    <sheet name="OSR_300 &amp; 317_1C00ID4" sheetId="19" state="hidden" r:id="rId27"/>
    <sheet name="OSR_300 (2)_c...79cd3046_1TJM0H" sheetId="20" state="hidden" r:id="rId28"/>
    <sheet name="OSR_310_1CMTOSB" sheetId="22" state="hidden" r:id="rId29"/>
    <sheet name="OSR_300 (2)_e...5d0da5bf_6BPGAO" sheetId="23" state="hidden" r:id="rId30"/>
    <sheet name="OSR_330_10VFP5Y" sheetId="25" state="hidden" r:id="rId31"/>
    <sheet name="OSR_310 (2)_...6e684f08_1FLCNJG" sheetId="26" state="hidden" r:id="rId32"/>
    <sheet name="OSR_308_UAWDAG" sheetId="28" state="hidden" r:id="rId33"/>
    <sheet name="OSR_330 (2)_...8a14c83e_1NSH7XI" sheetId="29" state="hidden" r:id="rId34"/>
    <sheet name="OSR_331_10VKQAJ" sheetId="31" state="hidden" r:id="rId35"/>
    <sheet name="OSR_308 (2)_...47685838_1YQW4QY" sheetId="32" state="hidden" r:id="rId36"/>
    <sheet name="OSR_332_6NDVBW" sheetId="34" state="hidden" r:id="rId37"/>
    <sheet name="OSR_331 (2)_...7280af70_1P5SPLT" sheetId="35" state="hidden" r:id="rId38"/>
    <sheet name="OSR_Div 4_1740TMT" sheetId="37" state="hidden" r:id="rId39"/>
    <sheet name="OSR_310 (2)_...8cac1423_1JTU33X" sheetId="38" state="hidden" r:id="rId40"/>
    <sheet name="OSR_310 &amp; 491_1NGRCS9" sheetId="40" state="hidden" r:id="rId41"/>
    <sheet name="OSR_491 (2)_0...c51cc666_QIOT67" sheetId="41" state="hidden" r:id="rId42"/>
    <sheet name="OSR_491_9Z9JH5" sheetId="43" state="hidden" r:id="rId43"/>
    <sheet name="OSR_Div 4 (2...2533da42_174R6QX" sheetId="44" state="hidden" r:id="rId44"/>
    <sheet name="OSR_492_943FP1" sheetId="46" state="hidden" r:id="rId45"/>
    <sheet name="OSR_Div 4 (2)...1a9a4454_CQFRNE" sheetId="47" state="hidden" r:id="rId46"/>
    <sheet name="OSR_Div 5_16NAZO2" sheetId="49" state="hidden" r:id="rId47"/>
    <sheet name="OSR_492 (2)_...cd97c6a6_13HYXEV" sheetId="50" state="hidden" r:id="rId48"/>
    <sheet name="OSR_Div 6_P37YY7" sheetId="52" state="hidden" r:id="rId49"/>
    <sheet name="OSR_Div 5 (2...09141158_1BG9FGV" sheetId="53" state="hidden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32" sheetId="33" r:id="rId61"/>
    <sheet name="316" sheetId="76" r:id="rId62"/>
    <sheet name="320" sheetId="79" r:id="rId63"/>
    <sheet name="Div 6" sheetId="51" r:id="rId64"/>
    <sheet name="317" sheetId="77" r:id="rId65"/>
    <sheet name="310" sheetId="21" r:id="rId66"/>
    <sheet name="309" sheetId="70" r:id="rId67"/>
    <sheet name="313" sheetId="73" r:id="rId68"/>
    <sheet name="321" sheetId="80" r:id="rId69"/>
    <sheet name="322" sheetId="81" r:id="rId70"/>
    <sheet name="325" sheetId="84" r:id="rId71"/>
    <sheet name="326" sheetId="85" r:id="rId72"/>
    <sheet name="327" sheetId="86" r:id="rId73"/>
    <sheet name="Div 4" sheetId="36" r:id="rId74"/>
    <sheet name="310 &amp; 491" sheetId="39" r:id="rId75"/>
    <sheet name="491" sheetId="42" r:id="rId76"/>
    <sheet name="405" sheetId="88" r:id="rId77"/>
    <sheet name="406" sheetId="89" r:id="rId78"/>
    <sheet name="411" sheetId="92" r:id="rId79"/>
    <sheet name="412" sheetId="93" r:id="rId80"/>
    <sheet name="420" sheetId="99" r:id="rId81"/>
    <sheet name="413" sheetId="94" r:id="rId82"/>
    <sheet name="414" sheetId="95" r:id="rId83"/>
    <sheet name="415" sheetId="96" r:id="rId84"/>
    <sheet name="418" sheetId="98" r:id="rId85"/>
    <sheet name="423" sheetId="100" r:id="rId86"/>
    <sheet name="424" sheetId="101" r:id="rId87"/>
    <sheet name="425" sheetId="102" r:id="rId88"/>
    <sheet name="455" sheetId="109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45" sheetId="107" r:id="rId95"/>
    <sheet name="450" sheetId="108" r:id="rId96"/>
    <sheet name="Div 5" sheetId="48" r:id="rId97"/>
    <sheet name="501" sheetId="110" r:id="rId98"/>
    <sheet name="Dept" sheetId="111" state="hidden" r:id="rId99"/>
    <sheet name="OSR_Dept_Y0WUKY" sheetId="112" state="hidden" r:id="rId100"/>
    <sheet name="OSR_Summary (...56e5d78f_5JEYZH" sheetId="113" state="hidden" r:id="rId101"/>
  </sheets>
  <definedNames>
    <definedName name="OSRRefD13x_0" localSheetId="22">'300'!$D$13:$D$114</definedName>
    <definedName name="OSRRefD13x_0" localSheetId="25">'300 &amp; 317'!$D$13:$D$132</definedName>
    <definedName name="OSRRefD13x_0" localSheetId="53">'307'!$D$13:$D$51</definedName>
    <definedName name="OSRRefD13x_0" localSheetId="55">'308'!$D$13:$D$42</definedName>
    <definedName name="OSRRefD13x_0" localSheetId="66">'309'!$D$13:$D$14</definedName>
    <definedName name="OSRRefD13x_0" localSheetId="65">'310'!$D$13:$D$23</definedName>
    <definedName name="OSRRefD13x_0" localSheetId="74">'310 &amp; 491'!$D$13:$D$32</definedName>
    <definedName name="OSRRefD13x_0" localSheetId="56">'311'!$D$13:$D$41</definedName>
    <definedName name="OSRRefD13x_0" localSheetId="67">'313'!$D$13:$D$20</definedName>
    <definedName name="OSRRefD13x_0" localSheetId="54">'314'!$D$13:$D$33</definedName>
    <definedName name="OSRRefD13x_0" localSheetId="59">'315'!$D$13:$D$33</definedName>
    <definedName name="OSRRefD13x_0" localSheetId="61">'316'!$D$13:$D$27</definedName>
    <definedName name="OSRRefD13x_0" localSheetId="64">'317'!$D$13:$D$36</definedName>
    <definedName name="OSRRefD13x_0" localSheetId="62">'320'!$D$13:$D$18</definedName>
    <definedName name="OSRRefD13x_0" localSheetId="68">'321'!$D$13:$D$14</definedName>
    <definedName name="OSRRefD13x_0" localSheetId="69">'322'!$D$13:$D$14</definedName>
    <definedName name="OSRRefD13x_0" localSheetId="57">'324'!$D$13:$D$15</definedName>
    <definedName name="OSRRefD13x_0" localSheetId="70">'325'!$D$13:$D$14</definedName>
    <definedName name="OSRRefD13x_0" localSheetId="71">'326'!$D$13:$D$36</definedName>
    <definedName name="OSRRefD13x_0" localSheetId="72">'327'!$D$13</definedName>
    <definedName name="OSRRefD13x_0" localSheetId="52">'330'!$D$13:$D$55</definedName>
    <definedName name="OSRRefD13x_0" localSheetId="58">'331'!$D$13:$D$44</definedName>
    <definedName name="OSRRefD13x_0" localSheetId="60">'332'!$D$13:$D$33</definedName>
    <definedName name="OSRRefD13x_0" localSheetId="76">'405'!$D$13:$D$14</definedName>
    <definedName name="OSRRefD13x_0" localSheetId="77">'406'!$D$13:$D$14</definedName>
    <definedName name="OSRRefD13x_0" localSheetId="79">'412'!$D$13:$D$15</definedName>
    <definedName name="OSRRefD13x_0" localSheetId="81">'413'!$D$13:$D$14</definedName>
    <definedName name="OSRRefD13x_0" localSheetId="82">'414'!$D$13:$D$14</definedName>
    <definedName name="OSRRefD13x_0" localSheetId="83">'415'!$D$13:$D$14</definedName>
    <definedName name="OSRRefD13x_0" localSheetId="84">'418'!$D$13:$D$14</definedName>
    <definedName name="OSRRefD13x_0" localSheetId="80">'420'!$D$13:$D$14</definedName>
    <definedName name="OSRRefD13x_0" localSheetId="86">'424'!$D$13:$D$16</definedName>
    <definedName name="OSRRefD13x_0" localSheetId="87">'425'!$D$13:$D$17</definedName>
    <definedName name="OSRRefD13x_0" localSheetId="91">'433'!$D$13:$D$16</definedName>
    <definedName name="OSRRefD13x_0" localSheetId="92">'435'!$D$13:$D$15</definedName>
    <definedName name="OSRRefD13x_0" localSheetId="93">'444'!$D$13:$D$15</definedName>
    <definedName name="OSRRefD13x_0" localSheetId="95">'450'!$D$13:$D$15</definedName>
    <definedName name="OSRRefD13x_0" localSheetId="75">'491'!$D$13:$D$24</definedName>
    <definedName name="OSRRefD13x_0" localSheetId="89">'492'!$D$13:$D$18</definedName>
    <definedName name="OSRRefD13x_0" localSheetId="97">'501'!$D$13</definedName>
    <definedName name="OSRRefD13x_0" localSheetId="19">'Div 3'!$D$13:$D$117</definedName>
    <definedName name="OSRRefD13x_0" localSheetId="73">'Div 4'!$D$13:$D$25</definedName>
    <definedName name="OSRRefD13x_0" localSheetId="96">'Div 5'!$D$13</definedName>
    <definedName name="OSRRefD13x_0" localSheetId="63">'Div 6'!$D$13:$D$36</definedName>
    <definedName name="OSRRefD13x_0" localSheetId="2">Summary!$D$13:$D$145</definedName>
    <definedName name="OSRRefD16x_0" localSheetId="22">'300'!$D$117:$D$167</definedName>
    <definedName name="OSRRefD16x_0" localSheetId="25">'300 &amp; 317'!$D$135:$D$192</definedName>
    <definedName name="OSRRefD16x_0" localSheetId="50">'301'!$D$15</definedName>
    <definedName name="OSRRefD16x_0" localSheetId="53">'307'!$D$54:$D$74</definedName>
    <definedName name="OSRRefD16x_0" localSheetId="55">'308'!$D$45:$D$60</definedName>
    <definedName name="OSRRefD16x_0" localSheetId="66">'309'!$D$17:$D$18</definedName>
    <definedName name="OSRRefD16x_0" localSheetId="65">'310'!$D$26:$D$27</definedName>
    <definedName name="OSRRefD16x_0" localSheetId="74">'310 &amp; 491'!$D$35:$D$36</definedName>
    <definedName name="OSRRefD16x_0" localSheetId="56">'311'!$D$44:$D$59</definedName>
    <definedName name="OSRRefD16x_0" localSheetId="67">'313'!$D$23:$D$24</definedName>
    <definedName name="OSRRefD16x_0" localSheetId="54">'314'!$D$36:$D$50</definedName>
    <definedName name="OSRRefD16x_0" localSheetId="59">'315'!$D$36:$D$51</definedName>
    <definedName name="OSRRefD16x_0" localSheetId="64">'317'!$D$39:$D$52</definedName>
    <definedName name="OSRRefD16x_0" localSheetId="62">'320'!$D$21:$D$25</definedName>
    <definedName name="OSRRefD16x_0" localSheetId="68">'321'!$D$17:$D$18</definedName>
    <definedName name="OSRRefD16x_0" localSheetId="69">'322'!$D$17:$D$18</definedName>
    <definedName name="OSRRefD16x_0" localSheetId="57">'324'!$D$18:$D$19</definedName>
    <definedName name="OSRRefD16x_0" localSheetId="70">'325'!$D$17:$D$18</definedName>
    <definedName name="OSRRefD16x_0" localSheetId="71">'326'!$D$39:$D$56</definedName>
    <definedName name="OSRRefD16x_0" localSheetId="72">'327'!$D$16</definedName>
    <definedName name="OSRRefD16x_0" localSheetId="52">'330'!$D$58:$D$81</definedName>
    <definedName name="OSRRefD16x_0" localSheetId="58">'331'!$D$47:$D$70</definedName>
    <definedName name="OSRRefD16x_0" localSheetId="60">'332'!$D$36:$D$40</definedName>
    <definedName name="OSRRefD16x_0" localSheetId="76">'405'!$D$17:$D$18</definedName>
    <definedName name="OSRRefD16x_0" localSheetId="77">'406'!$D$17:$D$18</definedName>
    <definedName name="OSRRefD16x_0" localSheetId="79">'412'!$D$18:$D$19</definedName>
    <definedName name="OSRRefD16x_0" localSheetId="81">'413'!$D$17:$D$18</definedName>
    <definedName name="OSRRefD16x_0" localSheetId="82">'414'!$D$17:$D$18</definedName>
    <definedName name="OSRRefD16x_0" localSheetId="83">'415'!$D$17:$D$18</definedName>
    <definedName name="OSRRefD16x_0" localSheetId="84">'418'!$D$17:$D$18</definedName>
    <definedName name="OSRRefD16x_0" localSheetId="80">'420'!$D$17:$D$18</definedName>
    <definedName name="OSRRefD16x_0" localSheetId="85">'423'!$D$15</definedName>
    <definedName name="OSRRefD16x_0" localSheetId="86">'424'!$D$19:$D$20</definedName>
    <definedName name="OSRRefD16x_0" localSheetId="87">'425'!$D$20:$D$21</definedName>
    <definedName name="OSRRefD16x_0" localSheetId="91">'433'!$D$19:$D$20</definedName>
    <definedName name="OSRRefD16x_0" localSheetId="92">'435'!$D$18:$D$19</definedName>
    <definedName name="OSRRefD16x_0" localSheetId="93">'444'!$D$18:$D$19</definedName>
    <definedName name="OSRRefD16x_0" localSheetId="95">'450'!$D$18:$D$19</definedName>
    <definedName name="OSRRefD16x_0" localSheetId="75">'491'!$D$27:$D$28</definedName>
    <definedName name="OSRRefD16x_0" localSheetId="89">'492'!$D$21:$D$22</definedName>
    <definedName name="OSRRefD16x_0" localSheetId="19">'Div 3'!$D$120:$D$172</definedName>
    <definedName name="OSRRefD16x_0" localSheetId="73">'Div 4'!$D$28:$D$29</definedName>
    <definedName name="OSRRefD16x_0" localSheetId="63">'Div 6'!$D$39:$D$52</definedName>
    <definedName name="OSRRefD16x_0" localSheetId="2">Summary!$D$148:$D$207</definedName>
    <definedName name="OSRRefD22_0x_0" localSheetId="12">'200'!$D$20</definedName>
    <definedName name="OSRRefD22_0x_0" localSheetId="13">'201'!$D$20:$D$28</definedName>
    <definedName name="OSRRefD22_0x_0" localSheetId="14">'202'!$D$20:$D$27</definedName>
    <definedName name="OSRRefD22_0x_0" localSheetId="15">'203'!$D$20:$D$29</definedName>
    <definedName name="OSRRefD22_0x_0" localSheetId="16">'204'!$D$20:$D$29</definedName>
    <definedName name="OSRRefD22_0x_0" localSheetId="17">'205'!$D$20:$D$27</definedName>
    <definedName name="OSRRefD22_0x_0" localSheetId="18">'206'!$D$20:$D$27</definedName>
    <definedName name="OSRRefD22_0x_0" localSheetId="22">'300'!$D$173:$D$181</definedName>
    <definedName name="OSRRefD22_0x_0" localSheetId="25">'300 &amp; 317'!$D$198:$D$206</definedName>
    <definedName name="OSRRefD22_0x_0" localSheetId="50">'301'!$D$21:$D$28</definedName>
    <definedName name="OSRRefD22_0x_0" localSheetId="51">'306'!$D$20:$D$28</definedName>
    <definedName name="OSRRefD22_0x_0" localSheetId="53">'307'!$D$80:$D$87</definedName>
    <definedName name="OSRRefD22_0x_0" localSheetId="55">'308'!$D$66:$D$74</definedName>
    <definedName name="OSRRefD22_0x_0" localSheetId="66">'309'!$D$24:$D$31</definedName>
    <definedName name="OSRRefD22_0x_0" localSheetId="65">'310'!$D$33:$D$40</definedName>
    <definedName name="OSRRefD22_0x_0" localSheetId="74">'310 &amp; 491'!$D$42:$D$50</definedName>
    <definedName name="OSRRefD22_0x_0" localSheetId="56">'311'!$D$65:$D$73</definedName>
    <definedName name="OSRRefD22_0x_0" localSheetId="67">'313'!$D$30:$D$37</definedName>
    <definedName name="OSRRefD22_0x_0" localSheetId="54">'314'!$D$56:$D$64</definedName>
    <definedName name="OSRRefD22_0x_0" localSheetId="59">'315'!$D$57:$D$64</definedName>
    <definedName name="OSRRefD22_0x_0" localSheetId="61">'316'!$D$35:$D$42</definedName>
    <definedName name="OSRRefD22_0x_0" localSheetId="64">'317'!$D$58:$D$66</definedName>
    <definedName name="OSRRefD22_0x_0" localSheetId="62">'320'!$D$31:$D$38</definedName>
    <definedName name="OSRRefD22_0x_0" localSheetId="68">'321'!$D$24:$D$30</definedName>
    <definedName name="OSRRefD22_0x_0" localSheetId="69">'322'!$D$24:$D$31</definedName>
    <definedName name="OSRRefD22_0x_0" localSheetId="57">'324'!$D$25</definedName>
    <definedName name="OSRRefD22_0x_0" localSheetId="70">'325'!$D$24:$D$31</definedName>
    <definedName name="OSRRefD22_0x_0" localSheetId="71">'326'!$D$62:$D$69</definedName>
    <definedName name="OSRRefD22_0x_0" localSheetId="72">'327'!$D$22</definedName>
    <definedName name="OSRRefD22_0x_0" localSheetId="52">'330'!$D$87:$D$95</definedName>
    <definedName name="OSRRefD22_0x_0" localSheetId="58">'331'!$D$76:$D$83</definedName>
    <definedName name="OSRRefD22_0x_0" localSheetId="60">'332'!$D$46:$D$53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'412'!$D$25:$D$32</definedName>
    <definedName name="OSRRefD22_0x_0" localSheetId="81">'413'!$D$24:$D$31</definedName>
    <definedName name="OSRRefD22_0x_0" localSheetId="82">'414'!$D$24:$D$31</definedName>
    <definedName name="OSRRefD22_0x_0" localSheetId="83">'415'!$D$24:$D$31</definedName>
    <definedName name="OSRRefD22_0x_0" localSheetId="84">'418'!$D$24:$D$31</definedName>
    <definedName name="OSRRefD22_0x_0" localSheetId="80">'420'!$D$24:$D$31</definedName>
    <definedName name="OSRRefD22_0x_0" localSheetId="85">'423'!$D$21:$D$28</definedName>
    <definedName name="OSRRefD22_0x_0" localSheetId="86">'424'!$D$26:$D$28</definedName>
    <definedName name="OSRRefD22_0x_0" localSheetId="87">'425'!$D$27:$D$35</definedName>
    <definedName name="OSRRefD22_0x_0" localSheetId="90">'430'!$D$20:$D$27</definedName>
    <definedName name="OSRRefD22_0x_0" localSheetId="91">'433'!$D$26:$D$34</definedName>
    <definedName name="OSRRefD22_0x_0" localSheetId="92">'435'!$D$25:$D$27</definedName>
    <definedName name="OSRRefD22_0x_0" localSheetId="93">'444'!$D$25:$D$33</definedName>
    <definedName name="OSRRefD22_0x_0" localSheetId="94">'445'!$D$20</definedName>
    <definedName name="OSRRefD22_0x_0" localSheetId="95">'450'!$D$25:$D$33</definedName>
    <definedName name="OSRRefD22_0x_0" localSheetId="88">'455'!$D$20:$D$26</definedName>
    <definedName name="OSRRefD22_0x_0" localSheetId="75">'491'!$D$34:$D$42</definedName>
    <definedName name="OSRRefD22_0x_0" localSheetId="89">'492'!$D$28:$D$36</definedName>
    <definedName name="OSRRefD22_0x_0" localSheetId="97">'501'!$D$21:$D$28</definedName>
    <definedName name="OSRRefD22_0x_0" localSheetId="9">'Div 2'!$D$20:$D$30</definedName>
    <definedName name="OSRRefD22_0x_0" localSheetId="19">'Div 3'!$D$178:$D$186</definedName>
    <definedName name="OSRRefD22_0x_0" localSheetId="73">'Div 4'!$D$35:$D$43</definedName>
    <definedName name="OSRRefD22_0x_0" localSheetId="96">'Div 5'!$D$21:$D$28</definedName>
    <definedName name="OSRRefD22_0x_0" localSheetId="63">'Div 6'!$D$58:$D$66</definedName>
    <definedName name="OSRRefD22_0x_0" localSheetId="2">Summary!$D$213:$D$221</definedName>
    <definedName name="OSRRefD22_10x_0" localSheetId="13">'201'!$D$50:$D$52</definedName>
    <definedName name="OSRRefD22_10x_0" localSheetId="14">'202'!$D$52:$D$54</definedName>
    <definedName name="OSRRefD22_10x_0" localSheetId="15">'203'!$D$55:$D$56</definedName>
    <definedName name="OSRRefD22_10x_0" localSheetId="16">'204'!$D$60:$D$61</definedName>
    <definedName name="OSRRefD22_10x_0" localSheetId="22">'300'!$D$210:$D$211</definedName>
    <definedName name="OSRRefD22_10x_0" localSheetId="25">'300 &amp; 317'!$D$235:$D$236</definedName>
    <definedName name="OSRRefD22_10x_0" localSheetId="50">'301'!$D$57</definedName>
    <definedName name="OSRRefD22_10x_0" localSheetId="51">'306'!$D$57</definedName>
    <definedName name="OSRRefD22_10x_0" localSheetId="53">'307'!$D$112:$D$113</definedName>
    <definedName name="OSRRefD22_10x_0" localSheetId="55">'308'!$D$102:$D$103</definedName>
    <definedName name="OSRRefD22_10x_0" localSheetId="66">'309'!$D$56:$D$58</definedName>
    <definedName name="OSRRefD22_10x_0" localSheetId="65">'310'!$D$67</definedName>
    <definedName name="OSRRefD22_10x_0" localSheetId="74">'310 &amp; 491'!$D$78:$D$79</definedName>
    <definedName name="OSRRefD22_10x_0" localSheetId="56">'311'!$D$101:$D$102</definedName>
    <definedName name="OSRRefD22_10x_0" localSheetId="67">'313'!$D$65:$D$66</definedName>
    <definedName name="OSRRefD22_10x_0" localSheetId="54">'314'!$D$90</definedName>
    <definedName name="OSRRefD22_10x_0" localSheetId="59">'315'!$D$93:$D$94</definedName>
    <definedName name="OSRRefD22_10x_0" localSheetId="61">'316'!$D$66:$D$70</definedName>
    <definedName name="OSRRefD22_10x_0" localSheetId="64">'317'!$D$91</definedName>
    <definedName name="OSRRefD22_10x_0" localSheetId="68">'321'!$D$58:$D$63</definedName>
    <definedName name="OSRRefD22_10x_0" localSheetId="69">'322'!$D$55:$D$56</definedName>
    <definedName name="OSRRefD22_10x_0" localSheetId="70">'325'!$D$57</definedName>
    <definedName name="OSRRefD22_10x_0" localSheetId="71">'326'!$D$92</definedName>
    <definedName name="OSRRefD22_10x_0" localSheetId="52">'330'!$D$120</definedName>
    <definedName name="OSRRefD22_10x_0" localSheetId="58">'331'!$D$110</definedName>
    <definedName name="OSRRefD22_10x_0" localSheetId="60">'332'!$D$80</definedName>
    <definedName name="OSRRefD22_10x_0" localSheetId="76">'405'!$D$56:$D$57</definedName>
    <definedName name="OSRRefD22_10x_0" localSheetId="77">'406'!$D$58:$D$59</definedName>
    <definedName name="OSRRefD22_10x_0" localSheetId="78">'411'!$D$55</definedName>
    <definedName name="OSRRefD22_10x_0" localSheetId="79">'412'!$D$59</definedName>
    <definedName name="OSRRefD22_10x_0" localSheetId="81">'413'!$D$64</definedName>
    <definedName name="OSRRefD22_10x_0" localSheetId="82">'414'!$D$57</definedName>
    <definedName name="OSRRefD22_10x_0" localSheetId="83">'415'!$D$57</definedName>
    <definedName name="OSRRefD22_10x_0" localSheetId="84">'418'!$D$57:$D$58</definedName>
    <definedName name="OSRRefD22_10x_0" localSheetId="86">'424'!$D$53</definedName>
    <definedName name="OSRRefD22_10x_0" localSheetId="87">'425'!$D$62</definedName>
    <definedName name="OSRRefD22_10x_0" localSheetId="91">'433'!$D$59:$D$61</definedName>
    <definedName name="OSRRefD22_10x_0" localSheetId="93">'444'!$D$58</definedName>
    <definedName name="OSRRefD22_10x_0" localSheetId="95">'450'!$D$58</definedName>
    <definedName name="OSRRefD22_10x_0" localSheetId="75">'491'!$D$70</definedName>
    <definedName name="OSRRefD22_10x_0" localSheetId="89">'492'!$D$62</definedName>
    <definedName name="OSRRefD22_10x_0" localSheetId="97">'501'!$D$54:$D$56</definedName>
    <definedName name="OSRRefD22_10x_0" localSheetId="9">'Div 2'!$D$57</definedName>
    <definedName name="OSRRefD22_10x_0" localSheetId="19">'Div 3'!$D$215:$D$216</definedName>
    <definedName name="OSRRefD22_10x_0" localSheetId="73">'Div 4'!$D$71</definedName>
    <definedName name="OSRRefD22_10x_0" localSheetId="96">'Div 5'!$D$54:$D$56</definedName>
    <definedName name="OSRRefD22_10x_0" localSheetId="63">'Div 6'!$D$91</definedName>
    <definedName name="OSRRefD22_10x_0" localSheetId="2">Summary!$D$251:$D$252</definedName>
    <definedName name="OSRRefD22_11x_0" localSheetId="13">'201'!$D$54:$D$56</definedName>
    <definedName name="OSRRefD22_11x_0" localSheetId="14">'202'!$D$56</definedName>
    <definedName name="OSRRefD22_11x_0" localSheetId="15">'203'!$D$58:$D$59</definedName>
    <definedName name="OSRRefD22_11x_0" localSheetId="22">'300'!$D$213</definedName>
    <definedName name="OSRRefD22_11x_0" localSheetId="25">'300 &amp; 317'!$D$238</definedName>
    <definedName name="OSRRefD22_11x_0" localSheetId="50">'301'!$D$59</definedName>
    <definedName name="OSRRefD22_11x_0" localSheetId="53">'307'!$D$115:$D$117</definedName>
    <definedName name="OSRRefD22_11x_0" localSheetId="55">'308'!$D$105:$D$108</definedName>
    <definedName name="OSRRefD22_11x_0" localSheetId="66">'309'!$D$60</definedName>
    <definedName name="OSRRefD22_11x_0" localSheetId="65">'310'!$D$69</definedName>
    <definedName name="OSRRefD22_11x_0" localSheetId="74">'310 &amp; 491'!$D$81:$D$82</definedName>
    <definedName name="OSRRefD22_11x_0" localSheetId="56">'311'!$D$104:$D$107</definedName>
    <definedName name="OSRRefD22_11x_0" localSheetId="67">'313'!$D$68:$D$69</definedName>
    <definedName name="OSRRefD22_11x_0" localSheetId="59">'315'!$D$96:$D$97</definedName>
    <definedName name="OSRRefD22_11x_0" localSheetId="61">'316'!$D$72</definedName>
    <definedName name="OSRRefD22_11x_0" localSheetId="64">'317'!$D$93</definedName>
    <definedName name="OSRRefD22_11x_0" localSheetId="68">'321'!$D$65</definedName>
    <definedName name="OSRRefD22_11x_0" localSheetId="69">'322'!$D$58:$D$60</definedName>
    <definedName name="OSRRefD22_11x_0" localSheetId="70">'325'!$D$59:$D$61</definedName>
    <definedName name="OSRRefD22_11x_0" localSheetId="71">'326'!$D$94</definedName>
    <definedName name="OSRRefD22_11x_0" localSheetId="52">'330'!$D$122:$D$123</definedName>
    <definedName name="OSRRefD22_11x_0" localSheetId="58">'331'!$D$112</definedName>
    <definedName name="OSRRefD22_11x_0" localSheetId="60">'332'!$D$82:$D$86</definedName>
    <definedName name="OSRRefD22_11x_0" localSheetId="76">'405'!$D$59</definedName>
    <definedName name="OSRRefD22_11x_0" localSheetId="77">'406'!$D$61:$D$66</definedName>
    <definedName name="OSRRefD22_11x_0" localSheetId="78">'411'!$D$57</definedName>
    <definedName name="OSRRefD22_11x_0" localSheetId="79">'412'!$D$61:$D$63</definedName>
    <definedName name="OSRRefD22_11x_0" localSheetId="81">'413'!$D$66</definedName>
    <definedName name="OSRRefD22_11x_0" localSheetId="82">'414'!$D$59</definedName>
    <definedName name="OSRRefD22_11x_0" localSheetId="83">'415'!$D$59:$D$62</definedName>
    <definedName name="OSRRefD22_11x_0" localSheetId="84">'418'!$D$60:$D$62</definedName>
    <definedName name="OSRRefD22_11x_0" localSheetId="86">'424'!$D$55</definedName>
    <definedName name="OSRRefD22_11x_0" localSheetId="87">'425'!$D$64:$D$66</definedName>
    <definedName name="OSRRefD22_11x_0" localSheetId="91">'433'!$D$63:$D$65</definedName>
    <definedName name="OSRRefD22_11x_0" localSheetId="93">'444'!$D$60:$D$62</definedName>
    <definedName name="OSRRefD22_11x_0" localSheetId="95">'450'!$D$60</definedName>
    <definedName name="OSRRefD22_11x_0" localSheetId="75">'491'!$D$72:$D$73</definedName>
    <definedName name="OSRRefD22_11x_0" localSheetId="89">'492'!$D$64</definedName>
    <definedName name="OSRRefD22_11x_0" localSheetId="97">'501'!$D$58</definedName>
    <definedName name="OSRRefD22_11x_0" localSheetId="9">'Div 2'!$D$59</definedName>
    <definedName name="OSRRefD22_11x_0" localSheetId="19">'Div 3'!$D$218</definedName>
    <definedName name="OSRRefD22_11x_0" localSheetId="73">'Div 4'!$D$73:$D$74</definedName>
    <definedName name="OSRRefD22_11x_0" localSheetId="96">'Div 5'!$D$58</definedName>
    <definedName name="OSRRefD22_11x_0" localSheetId="63">'Div 6'!$D$93</definedName>
    <definedName name="OSRRefD22_11x_0" localSheetId="2">Summary!$D$254:$D$255</definedName>
    <definedName name="OSRRefD22_12x_0" localSheetId="13">'201'!$D$58</definedName>
    <definedName name="OSRRefD22_12x_0" localSheetId="14">'202'!$D$58</definedName>
    <definedName name="OSRRefD22_12x_0" localSheetId="15">'203'!$D$61:$D$63</definedName>
    <definedName name="OSRRefD22_12x_0" localSheetId="22">'300'!$D$215</definedName>
    <definedName name="OSRRefD22_12x_0" localSheetId="25">'300 &amp; 317'!$D$240</definedName>
    <definedName name="OSRRefD22_12x_0" localSheetId="50">'301'!$D$61</definedName>
    <definedName name="OSRRefD22_12x_0" localSheetId="53">'307'!$D$119</definedName>
    <definedName name="OSRRefD22_12x_0" localSheetId="55">'308'!$D$110:$D$111</definedName>
    <definedName name="OSRRefD22_12x_0" localSheetId="66">'309'!$D$62:$D$68</definedName>
    <definedName name="OSRRefD22_12x_0" localSheetId="65">'310'!$D$71</definedName>
    <definedName name="OSRRefD22_12x_0" localSheetId="74">'310 &amp; 491'!$D$84</definedName>
    <definedName name="OSRRefD22_12x_0" localSheetId="56">'311'!$D$109:$D$110</definedName>
    <definedName name="OSRRefD22_12x_0" localSheetId="67">'313'!$D$71:$D$76</definedName>
    <definedName name="OSRRefD22_12x_0" localSheetId="59">'315'!$D$99:$D$103</definedName>
    <definedName name="OSRRefD22_12x_0" localSheetId="61">'316'!$D$74</definedName>
    <definedName name="OSRRefD22_12x_0" localSheetId="64">'317'!$D$95:$D$96</definedName>
    <definedName name="OSRRefD22_12x_0" localSheetId="68">'321'!$D$67</definedName>
    <definedName name="OSRRefD22_12x_0" localSheetId="69">'322'!$D$62</definedName>
    <definedName name="OSRRefD22_12x_0" localSheetId="70">'325'!$D$63:$D$66</definedName>
    <definedName name="OSRRefD22_12x_0" localSheetId="71">'326'!$D$96</definedName>
    <definedName name="OSRRefD22_12x_0" localSheetId="52">'330'!$D$125:$D$126</definedName>
    <definedName name="OSRRefD22_12x_0" localSheetId="58">'331'!$D$114</definedName>
    <definedName name="OSRRefD22_12x_0" localSheetId="60">'332'!$D$88</definedName>
    <definedName name="OSRRefD22_12x_0" localSheetId="76">'405'!$D$61:$D$63</definedName>
    <definedName name="OSRRefD22_12x_0" localSheetId="77">'406'!$D$68</definedName>
    <definedName name="OSRRefD22_12x_0" localSheetId="78">'411'!$D$59:$D$62</definedName>
    <definedName name="OSRRefD22_12x_0" localSheetId="79">'412'!$D$65:$D$72</definedName>
    <definedName name="OSRRefD22_12x_0" localSheetId="81">'413'!$D$68</definedName>
    <definedName name="OSRRefD22_12x_0" localSheetId="82">'414'!$D$61</definedName>
    <definedName name="OSRRefD22_12x_0" localSheetId="83">'415'!$D$64:$D$68</definedName>
    <definedName name="OSRRefD22_12x_0" localSheetId="84">'418'!$D$64:$D$66</definedName>
    <definedName name="OSRRefD22_12x_0" localSheetId="86">'424'!$D$57:$D$62</definedName>
    <definedName name="OSRRefD22_12x_0" localSheetId="87">'425'!$D$68:$D$74</definedName>
    <definedName name="OSRRefD22_12x_0" localSheetId="91">'433'!$D$67:$D$73</definedName>
    <definedName name="OSRRefD22_12x_0" localSheetId="93">'444'!$D$64:$D$66</definedName>
    <definedName name="OSRRefD22_12x_0" localSheetId="95">'450'!$D$62:$D$64</definedName>
    <definedName name="OSRRefD22_12x_0" localSheetId="75">'491'!$D$75</definedName>
    <definedName name="OSRRefD22_12x_0" localSheetId="89">'492'!$D$66</definedName>
    <definedName name="OSRRefD22_12x_0" localSheetId="97">'501'!$D$60:$D$63</definedName>
    <definedName name="OSRRefD22_12x_0" localSheetId="9">'Div 2'!$D$61:$D$64</definedName>
    <definedName name="OSRRefD22_12x_0" localSheetId="19">'Div 3'!$D$220</definedName>
    <definedName name="OSRRefD22_12x_0" localSheetId="73">'Div 4'!$D$76</definedName>
    <definedName name="OSRRefD22_12x_0" localSheetId="96">'Div 5'!$D$60:$D$63</definedName>
    <definedName name="OSRRefD22_12x_0" localSheetId="63">'Div 6'!$D$95:$D$96</definedName>
    <definedName name="OSRRefD22_12x_0" localSheetId="2">Summary!$D$257</definedName>
    <definedName name="OSRRefD22_13x_0" localSheetId="13">'201'!$D$60:$D$63</definedName>
    <definedName name="OSRRefD22_13x_0" localSheetId="14">'202'!$D$60:$D$62</definedName>
    <definedName name="OSRRefD22_13x_0" localSheetId="15">'203'!$D$65</definedName>
    <definedName name="OSRRefD22_13x_0" localSheetId="22">'300'!$D$217</definedName>
    <definedName name="OSRRefD22_13x_0" localSheetId="25">'300 &amp; 317'!$D$242</definedName>
    <definedName name="OSRRefD22_13x_0" localSheetId="50">'301'!$D$63</definedName>
    <definedName name="OSRRefD22_13x_0" localSheetId="53">'307'!$D$121</definedName>
    <definedName name="OSRRefD22_13x_0" localSheetId="55">'308'!$D$113</definedName>
    <definedName name="OSRRefD22_13x_0" localSheetId="66">'309'!$D$70</definedName>
    <definedName name="OSRRefD22_13x_0" localSheetId="65">'310'!$D$73</definedName>
    <definedName name="OSRRefD22_13x_0" localSheetId="74">'310 &amp; 491'!$D$86</definedName>
    <definedName name="OSRRefD22_13x_0" localSheetId="56">'311'!$D$112</definedName>
    <definedName name="OSRRefD22_13x_0" localSheetId="67">'313'!$D$78</definedName>
    <definedName name="OSRRefD22_13x_0" localSheetId="59">'315'!$D$105</definedName>
    <definedName name="OSRRefD22_13x_0" localSheetId="64">'317'!$D$98</definedName>
    <definedName name="OSRRefD22_13x_0" localSheetId="68">'321'!$D$69</definedName>
    <definedName name="OSRRefD22_13x_0" localSheetId="69">'322'!$D$64:$D$70</definedName>
    <definedName name="OSRRefD22_13x_0" localSheetId="70">'325'!$D$68:$D$69</definedName>
    <definedName name="OSRRefD22_13x_0" localSheetId="71">'326'!$D$98:$D$99</definedName>
    <definedName name="OSRRefD22_13x_0" localSheetId="52">'330'!$D$128</definedName>
    <definedName name="OSRRefD22_13x_0" localSheetId="58">'331'!$D$116</definedName>
    <definedName name="OSRRefD22_13x_0" localSheetId="60">'332'!$D$90</definedName>
    <definedName name="OSRRefD22_13x_0" localSheetId="76">'405'!$D$65:$D$66</definedName>
    <definedName name="OSRRefD22_13x_0" localSheetId="77">'406'!$D$70</definedName>
    <definedName name="OSRRefD22_13x_0" localSheetId="78">'411'!$D$64:$D$68</definedName>
    <definedName name="OSRRefD22_13x_0" localSheetId="79">'412'!$D$74</definedName>
    <definedName name="OSRRefD22_13x_0" localSheetId="82">'414'!$D$63:$D$69</definedName>
    <definedName name="OSRRefD22_13x_0" localSheetId="83">'415'!$D$70:$D$71</definedName>
    <definedName name="OSRRefD22_13x_0" localSheetId="84">'418'!$D$68:$D$69</definedName>
    <definedName name="OSRRefD22_13x_0" localSheetId="86">'424'!$D$64</definedName>
    <definedName name="OSRRefD22_13x_0" localSheetId="87">'425'!$D$76</definedName>
    <definedName name="OSRRefD22_13x_0" localSheetId="91">'433'!$D$75</definedName>
    <definedName name="OSRRefD22_13x_0" localSheetId="93">'444'!$D$68:$D$75</definedName>
    <definedName name="OSRRefD22_13x_0" localSheetId="95">'450'!$D$66:$D$68</definedName>
    <definedName name="OSRRefD22_13x_0" localSheetId="75">'491'!$D$77</definedName>
    <definedName name="OSRRefD22_13x_0" localSheetId="89">'492'!$D$68:$D$70</definedName>
    <definedName name="OSRRefD22_13x_0" localSheetId="97">'501'!$D$65</definedName>
    <definedName name="OSRRefD22_13x_0" localSheetId="9">'Div 2'!$D$66:$D$69</definedName>
    <definedName name="OSRRefD22_13x_0" localSheetId="19">'Div 3'!$D$222</definedName>
    <definedName name="OSRRefD22_13x_0" localSheetId="73">'Div 4'!$D$78</definedName>
    <definedName name="OSRRefD22_13x_0" localSheetId="96">'Div 5'!$D$65</definedName>
    <definedName name="OSRRefD22_13x_0" localSheetId="63">'Div 6'!$D$98</definedName>
    <definedName name="OSRRefD22_13x_0" localSheetId="2">Summary!$D$259</definedName>
    <definedName name="OSRRefD22_14x_0" localSheetId="13">'201'!$D$65</definedName>
    <definedName name="OSRRefD22_14x_0" localSheetId="14">'202'!$D$64</definedName>
    <definedName name="OSRRefD22_14x_0" localSheetId="15">'203'!$D$67</definedName>
    <definedName name="OSRRefD22_14x_0" localSheetId="22">'300'!$D$219</definedName>
    <definedName name="OSRRefD22_14x_0" localSheetId="25">'300 &amp; 317'!$D$244</definedName>
    <definedName name="OSRRefD22_14x_0" localSheetId="50">'301'!$D$65:$D$68</definedName>
    <definedName name="OSRRefD22_14x_0" localSheetId="53">'307'!$D$123</definedName>
    <definedName name="OSRRefD22_14x_0" localSheetId="55">'308'!$D$115</definedName>
    <definedName name="OSRRefD22_14x_0" localSheetId="65">'310'!$D$75:$D$77</definedName>
    <definedName name="OSRRefD22_14x_0" localSheetId="74">'310 &amp; 491'!$D$88</definedName>
    <definedName name="OSRRefD22_14x_0" localSheetId="56">'311'!$D$114</definedName>
    <definedName name="OSRRefD22_14x_0" localSheetId="67">'313'!$D$80</definedName>
    <definedName name="OSRRefD22_14x_0" localSheetId="59">'315'!$D$107</definedName>
    <definedName name="OSRRefD22_14x_0" localSheetId="64">'317'!$D$100</definedName>
    <definedName name="OSRRefD22_14x_0" localSheetId="69">'322'!$D$72</definedName>
    <definedName name="OSRRefD22_14x_0" localSheetId="70">'325'!$D$71:$D$76</definedName>
    <definedName name="OSRRefD22_14x_0" localSheetId="71">'326'!$D$101:$D$103</definedName>
    <definedName name="OSRRefD22_14x_0" localSheetId="52">'330'!$D$130:$D$132</definedName>
    <definedName name="OSRRefD22_14x_0" localSheetId="58">'331'!$D$118:$D$120</definedName>
    <definedName name="OSRRefD22_14x_0" localSheetId="76">'405'!$D$68:$D$74</definedName>
    <definedName name="OSRRefD22_14x_0" localSheetId="77">'406'!$D$72:$D$73</definedName>
    <definedName name="OSRRefD22_14x_0" localSheetId="78">'411'!$D$70:$D$71</definedName>
    <definedName name="OSRRefD22_14x_0" localSheetId="79">'412'!$D$76</definedName>
    <definedName name="OSRRefD22_14x_0" localSheetId="82">'414'!$D$71</definedName>
    <definedName name="OSRRefD22_14x_0" localSheetId="83">'415'!$D$73:$D$80</definedName>
    <definedName name="OSRRefD22_14x_0" localSheetId="84">'418'!$D$71:$D$78</definedName>
    <definedName name="OSRRefD22_14x_0" localSheetId="87">'425'!$D$78</definedName>
    <definedName name="OSRRefD22_14x_0" localSheetId="91">'433'!$D$77</definedName>
    <definedName name="OSRRefD22_14x_0" localSheetId="93">'444'!$D$77</definedName>
    <definedName name="OSRRefD22_14x_0" localSheetId="95">'450'!$D$70:$D$76</definedName>
    <definedName name="OSRRefD22_14x_0" localSheetId="75">'491'!$D$79</definedName>
    <definedName name="OSRRefD22_14x_0" localSheetId="89">'492'!$D$72:$D$74</definedName>
    <definedName name="OSRRefD22_14x_0" localSheetId="97">'501'!$D$67</definedName>
    <definedName name="OSRRefD22_14x_0" localSheetId="9">'Div 2'!$D$71:$D$72</definedName>
    <definedName name="OSRRefD22_14x_0" localSheetId="19">'Div 3'!$D$224</definedName>
    <definedName name="OSRRefD22_14x_0" localSheetId="73">'Div 4'!$D$80</definedName>
    <definedName name="OSRRefD22_14x_0" localSheetId="96">'Div 5'!$D$67</definedName>
    <definedName name="OSRRefD22_14x_0" localSheetId="63">'Div 6'!$D$100</definedName>
    <definedName name="OSRRefD22_14x_0" localSheetId="2">Summary!$D$261</definedName>
    <definedName name="OSRRefD22_15x_0" localSheetId="13">'201'!$D$67</definedName>
    <definedName name="OSRRefD22_15x_0" localSheetId="14">'202'!$D$66</definedName>
    <definedName name="OSRRefD22_15x_0" localSheetId="15">'203'!$D$69</definedName>
    <definedName name="OSRRefD22_15x_0" localSheetId="22">'300'!$D$221</definedName>
    <definedName name="OSRRefD22_15x_0" localSheetId="25">'300 &amp; 317'!$D$246</definedName>
    <definedName name="OSRRefD22_15x_0" localSheetId="50">'301'!$D$70</definedName>
    <definedName name="OSRRefD22_15x_0" localSheetId="65">'310'!$D$79</definedName>
    <definedName name="OSRRefD22_15x_0" localSheetId="74">'310 &amp; 491'!$D$90</definedName>
    <definedName name="OSRRefD22_15x_0" localSheetId="59">'315'!$D$109:$D$110</definedName>
    <definedName name="OSRRefD22_15x_0" localSheetId="64">'317'!$D$102:$D$103</definedName>
    <definedName name="OSRRefD22_15x_0" localSheetId="69">'322'!$D$74</definedName>
    <definedName name="OSRRefD22_15x_0" localSheetId="70">'325'!$D$78</definedName>
    <definedName name="OSRRefD22_15x_0" localSheetId="71">'326'!$D$105:$D$106</definedName>
    <definedName name="OSRRefD22_15x_0" localSheetId="52">'330'!$D$134</definedName>
    <definedName name="OSRRefD22_15x_0" localSheetId="58">'331'!$D$122:$D$123</definedName>
    <definedName name="OSRRefD22_15x_0" localSheetId="76">'405'!$D$76</definedName>
    <definedName name="OSRRefD22_15x_0" localSheetId="78">'411'!$D$73:$D$80</definedName>
    <definedName name="OSRRefD22_15x_0" localSheetId="82">'414'!$D$73</definedName>
    <definedName name="OSRRefD22_15x_0" localSheetId="83">'415'!$D$82</definedName>
    <definedName name="OSRRefD22_15x_0" localSheetId="84">'418'!$D$80</definedName>
    <definedName name="OSRRefD22_15x_0" localSheetId="87">'425'!$D$80</definedName>
    <definedName name="OSRRefD22_15x_0" localSheetId="91">'433'!$D$79:$D$80</definedName>
    <definedName name="OSRRefD22_15x_0" localSheetId="93">'444'!$D$79</definedName>
    <definedName name="OSRRefD22_15x_0" localSheetId="95">'450'!$D$78</definedName>
    <definedName name="OSRRefD22_15x_0" localSheetId="75">'491'!$D$81</definedName>
    <definedName name="OSRRefD22_15x_0" localSheetId="89">'492'!$D$76:$D$83</definedName>
    <definedName name="OSRRefD22_15x_0" localSheetId="9">'Div 2'!$D$74:$D$75</definedName>
    <definedName name="OSRRefD22_15x_0" localSheetId="19">'Div 3'!$D$226</definedName>
    <definedName name="OSRRefD22_15x_0" localSheetId="73">'Div 4'!$D$82</definedName>
    <definedName name="OSRRefD22_15x_0" localSheetId="63">'Div 6'!$D$102:$D$103</definedName>
    <definedName name="OSRRefD22_15x_0" localSheetId="2">Summary!$D$263</definedName>
    <definedName name="OSRRefD22_16x_0" localSheetId="13">'201'!$D$69:$D$70</definedName>
    <definedName name="OSRRefD22_16x_0" localSheetId="14">'202'!$D$68</definedName>
    <definedName name="OSRRefD22_16x_0" localSheetId="22">'300'!$D$223:$D$226</definedName>
    <definedName name="OSRRefD22_16x_0" localSheetId="25">'300 &amp; 317'!$D$248:$D$251</definedName>
    <definedName name="OSRRefD22_16x_0" localSheetId="50">'301'!$D$72:$D$74</definedName>
    <definedName name="OSRRefD22_16x_0" localSheetId="65">'310'!$D$81:$D$84</definedName>
    <definedName name="OSRRefD22_16x_0" localSheetId="74">'310 &amp; 491'!$D$92:$D$95</definedName>
    <definedName name="OSRRefD22_16x_0" localSheetId="69">'322'!$D$76</definedName>
    <definedName name="OSRRefD22_16x_0" localSheetId="70">'325'!$D$80</definedName>
    <definedName name="OSRRefD22_16x_0" localSheetId="71">'326'!$D$108:$D$112</definedName>
    <definedName name="OSRRefD22_16x_0" localSheetId="52">'330'!$D$136</definedName>
    <definedName name="OSRRefD22_16x_0" localSheetId="58">'331'!$D$125:$D$127</definedName>
    <definedName name="OSRRefD22_16x_0" localSheetId="76">'405'!$D$78</definedName>
    <definedName name="OSRRefD22_16x_0" localSheetId="78">'411'!$D$82</definedName>
    <definedName name="OSRRefD22_16x_0" localSheetId="83">'415'!$D$84</definedName>
    <definedName name="OSRRefD22_16x_0" localSheetId="84">'418'!$D$82</definedName>
    <definedName name="OSRRefD22_16x_0" localSheetId="93">'444'!$D$81</definedName>
    <definedName name="OSRRefD22_16x_0" localSheetId="95">'450'!$D$80</definedName>
    <definedName name="OSRRefD22_16x_0" localSheetId="75">'491'!$D$83:$D$86</definedName>
    <definedName name="OSRRefD22_16x_0" localSheetId="89">'492'!$D$85</definedName>
    <definedName name="OSRRefD22_16x_0" localSheetId="9">'Div 2'!$D$77:$D$81</definedName>
    <definedName name="OSRRefD22_16x_0" localSheetId="19">'Div 3'!$D$228</definedName>
    <definedName name="OSRRefD22_16x_0" localSheetId="73">'Div 4'!$D$84</definedName>
    <definedName name="OSRRefD22_16x_0" localSheetId="2">Summary!$D$265</definedName>
    <definedName name="OSRRefD22_17x_0" localSheetId="22">'300'!$D$228:$D$230</definedName>
    <definedName name="OSRRefD22_17x_0" localSheetId="25">'300 &amp; 317'!$D$253:$D$255</definedName>
    <definedName name="OSRRefD22_17x_0" localSheetId="50">'301'!$D$76:$D$77</definedName>
    <definedName name="OSRRefD22_17x_0" localSheetId="65">'310'!$D$86:$D$87</definedName>
    <definedName name="OSRRefD22_17x_0" localSheetId="74">'310 &amp; 491'!$D$97:$D$98</definedName>
    <definedName name="OSRRefD22_17x_0" localSheetId="70">'325'!$D$82</definedName>
    <definedName name="OSRRefD22_17x_0" localSheetId="71">'326'!$D$114</definedName>
    <definedName name="OSRRefD22_17x_0" localSheetId="52">'330'!$D$138</definedName>
    <definedName name="OSRRefD22_17x_0" localSheetId="58">'331'!$D$129:$D$130</definedName>
    <definedName name="OSRRefD22_17x_0" localSheetId="76">'405'!$D$80</definedName>
    <definedName name="OSRRefD22_17x_0" localSheetId="78">'411'!$D$84</definedName>
    <definedName name="OSRRefD22_17x_0" localSheetId="83">'415'!$D$86</definedName>
    <definedName name="OSRRefD22_17x_0" localSheetId="95">'450'!$D$82:$D$83</definedName>
    <definedName name="OSRRefD22_17x_0" localSheetId="75">'491'!$D$88:$D$89</definedName>
    <definedName name="OSRRefD22_17x_0" localSheetId="89">'492'!$D$87</definedName>
    <definedName name="OSRRefD22_17x_0" localSheetId="9">'Div 2'!$D$83:$D$84</definedName>
    <definedName name="OSRRefD22_17x_0" localSheetId="19">'Div 3'!$D$230:$D$233</definedName>
    <definedName name="OSRRefD22_17x_0" localSheetId="73">'Div 4'!$D$86:$D$89</definedName>
    <definedName name="OSRRefD22_17x_0" localSheetId="2">Summary!$D$267</definedName>
    <definedName name="OSRRefD22_18x_0" localSheetId="22">'300'!$D$232:$D$235</definedName>
    <definedName name="OSRRefD22_18x_0" localSheetId="25">'300 &amp; 317'!$D$257:$D$260</definedName>
    <definedName name="OSRRefD22_18x_0" localSheetId="50">'301'!$D$79:$D$84</definedName>
    <definedName name="OSRRefD22_18x_0" localSheetId="65">'310'!$D$89:$D$96</definedName>
    <definedName name="OSRRefD22_18x_0" localSheetId="74">'310 &amp; 491'!$D$100:$D$104</definedName>
    <definedName name="OSRRefD22_18x_0" localSheetId="71">'326'!$D$116</definedName>
    <definedName name="OSRRefD22_18x_0" localSheetId="58">'331'!$D$132:$D$137</definedName>
    <definedName name="OSRRefD22_18x_0" localSheetId="76">'405'!$D$82</definedName>
    <definedName name="OSRRefD22_18x_0" localSheetId="78">'411'!$D$86:$D$88</definedName>
    <definedName name="OSRRefD22_18x_0" localSheetId="83">'415'!$D$88</definedName>
    <definedName name="OSRRefD22_18x_0" localSheetId="75">'491'!$D$91:$D$95</definedName>
    <definedName name="OSRRefD22_18x_0" localSheetId="89">'492'!$D$89:$D$90</definedName>
    <definedName name="OSRRefD22_18x_0" localSheetId="9">'Div 2'!$D$86</definedName>
    <definedName name="OSRRefD22_18x_0" localSheetId="19">'Div 3'!$D$235:$D$237</definedName>
    <definedName name="OSRRefD22_18x_0" localSheetId="73">'Div 4'!$D$91:$D$92</definedName>
    <definedName name="OSRRefD22_18x_0" localSheetId="2">Summary!$D$269:$D$272</definedName>
    <definedName name="OSRRefD22_19x_0" localSheetId="22">'300'!$D$237:$D$238</definedName>
    <definedName name="OSRRefD22_19x_0" localSheetId="25">'300 &amp; 317'!$D$262:$D$263</definedName>
    <definedName name="OSRRefD22_19x_0" localSheetId="50">'301'!$D$86</definedName>
    <definedName name="OSRRefD22_19x_0" localSheetId="65">'310'!$D$98</definedName>
    <definedName name="OSRRefD22_19x_0" localSheetId="74">'310 &amp; 491'!$D$106:$D$107</definedName>
    <definedName name="OSRRefD22_19x_0" localSheetId="71">'326'!$D$118</definedName>
    <definedName name="OSRRefD22_19x_0" localSheetId="58">'331'!$D$139</definedName>
    <definedName name="OSRRefD22_19x_0" localSheetId="78">'411'!$D$90</definedName>
    <definedName name="OSRRefD22_19x_0" localSheetId="75">'491'!$D$97:$D$98</definedName>
    <definedName name="OSRRefD22_19x_0" localSheetId="9">'Div 2'!$D$88:$D$89</definedName>
    <definedName name="OSRRefD22_19x_0" localSheetId="19">'Div 3'!$D$239:$D$243</definedName>
    <definedName name="OSRRefD22_19x_0" localSheetId="73">'Div 4'!$D$94:$D$98</definedName>
    <definedName name="OSRRefD22_19x_0" localSheetId="2">Summary!$D$274:$D$276</definedName>
    <definedName name="OSRRefD22_1x_0" localSheetId="12">'200'!$D$22</definedName>
    <definedName name="OSRRefD22_1x_0" localSheetId="13">'201'!$D$30:$D$32</definedName>
    <definedName name="OSRRefD22_1x_0" localSheetId="14">'202'!$D$29:$D$34</definedName>
    <definedName name="OSRRefD22_1x_0" localSheetId="15">'203'!$D$31:$D$35</definedName>
    <definedName name="OSRRefD22_1x_0" localSheetId="16">'204'!$D$31:$D$36</definedName>
    <definedName name="OSRRefD22_1x_0" localSheetId="17">'205'!$D$29</definedName>
    <definedName name="OSRRefD22_1x_0" localSheetId="18">'206'!$D$29:$D$34</definedName>
    <definedName name="OSRRefD22_1x_0" localSheetId="22">'300'!$D$183:$D$189</definedName>
    <definedName name="OSRRefD22_1x_0" localSheetId="25">'300 &amp; 317'!$D$208:$D$214</definedName>
    <definedName name="OSRRefD22_1x_0" localSheetId="50">'301'!$D$30:$D$36</definedName>
    <definedName name="OSRRefD22_1x_0" localSheetId="51">'306'!$D$30:$D$34</definedName>
    <definedName name="OSRRefD22_1x_0" localSheetId="53">'307'!$D$89:$D$92</definedName>
    <definedName name="OSRRefD22_1x_0" localSheetId="55">'308'!$D$76:$D$80</definedName>
    <definedName name="OSRRefD22_1x_0" localSheetId="66">'309'!$D$33:$D$37</definedName>
    <definedName name="OSRRefD22_1x_0" localSheetId="65">'310'!$D$42:$D$47</definedName>
    <definedName name="OSRRefD22_1x_0" localSheetId="74">'310 &amp; 491'!$D$52:$D$58</definedName>
    <definedName name="OSRRefD22_1x_0" localSheetId="56">'311'!$D$75:$D$79</definedName>
    <definedName name="OSRRefD22_1x_0" localSheetId="67">'313'!$D$39:$D$44</definedName>
    <definedName name="OSRRefD22_1x_0" localSheetId="54">'314'!$D$66:$D$69</definedName>
    <definedName name="OSRRefD22_1x_0" localSheetId="59">'315'!$D$66:$D$71</definedName>
    <definedName name="OSRRefD22_1x_0" localSheetId="61">'316'!$D$44:$D$47</definedName>
    <definedName name="OSRRefD22_1x_0" localSheetId="64">'317'!$D$68:$D$72</definedName>
    <definedName name="OSRRefD22_1x_0" localSheetId="62">'320'!$D$40:$D$45</definedName>
    <definedName name="OSRRefD22_1x_0" localSheetId="68">'321'!$D$32:$D$36</definedName>
    <definedName name="OSRRefD22_1x_0" localSheetId="69">'322'!$D$33:$D$37</definedName>
    <definedName name="OSRRefD22_1x_0" localSheetId="70">'325'!$D$33:$D$38</definedName>
    <definedName name="OSRRefD22_1x_0" localSheetId="71">'326'!$D$71:$D$74</definedName>
    <definedName name="OSRRefD22_1x_0" localSheetId="72">'327'!$D$24</definedName>
    <definedName name="OSRRefD22_1x_0" localSheetId="52">'330'!$D$97:$D$101</definedName>
    <definedName name="OSRRefD22_1x_0" localSheetId="58">'331'!$D$85:$D$90</definedName>
    <definedName name="OSRRefD22_1x_0" localSheetId="60">'332'!$D$55:$D$60</definedName>
    <definedName name="OSRRefD22_1x_0" localSheetId="76">'405'!$D$33:$D$37</definedName>
    <definedName name="OSRRefD22_1x_0" localSheetId="77">'406'!$D$33:$D$38</definedName>
    <definedName name="OSRRefD22_1x_0" localSheetId="78">'411'!$D$30:$D$35</definedName>
    <definedName name="OSRRefD22_1x_0" localSheetId="79">'412'!$D$34:$D$39</definedName>
    <definedName name="OSRRefD22_1x_0" localSheetId="81">'413'!$D$33:$D$38</definedName>
    <definedName name="OSRRefD22_1x_0" localSheetId="82">'414'!$D$33:$D$38</definedName>
    <definedName name="OSRRefD22_1x_0" localSheetId="83">'415'!$D$33:$D$38</definedName>
    <definedName name="OSRRefD22_1x_0" localSheetId="84">'418'!$D$33:$D$38</definedName>
    <definedName name="OSRRefD22_1x_0" localSheetId="80">'420'!$D$33:$D$36</definedName>
    <definedName name="OSRRefD22_1x_0" localSheetId="85">'423'!$D$30:$D$31</definedName>
    <definedName name="OSRRefD22_1x_0" localSheetId="86">'424'!$D$30:$D$34</definedName>
    <definedName name="OSRRefD22_1x_0" localSheetId="87">'425'!$D$37:$D$42</definedName>
    <definedName name="OSRRefD22_1x_0" localSheetId="90">'430'!$D$29</definedName>
    <definedName name="OSRRefD22_1x_0" localSheetId="91">'433'!$D$36:$D$41</definedName>
    <definedName name="OSRRefD22_1x_0" localSheetId="92">'435'!$D$29:$D$31</definedName>
    <definedName name="OSRRefD22_1x_0" localSheetId="93">'444'!$D$35:$D$40</definedName>
    <definedName name="OSRRefD22_1x_0" localSheetId="95">'450'!$D$35:$D$40</definedName>
    <definedName name="OSRRefD22_1x_0" localSheetId="88">'455'!$D$28:$D$29</definedName>
    <definedName name="OSRRefD22_1x_0" localSheetId="75">'491'!$D$44:$D$50</definedName>
    <definedName name="OSRRefD22_1x_0" localSheetId="89">'492'!$D$38:$D$44</definedName>
    <definedName name="OSRRefD22_1x_0" localSheetId="97">'501'!$D$30:$D$35</definedName>
    <definedName name="OSRRefD22_1x_0" localSheetId="9">'Div 2'!$D$32:$D$38</definedName>
    <definedName name="OSRRefD22_1x_0" localSheetId="19">'Div 3'!$D$188:$D$194</definedName>
    <definedName name="OSRRefD22_1x_0" localSheetId="73">'Div 4'!$D$45:$D$51</definedName>
    <definedName name="OSRRefD22_1x_0" localSheetId="96">'Div 5'!$D$30:$D$35</definedName>
    <definedName name="OSRRefD22_1x_0" localSheetId="63">'Div 6'!$D$68:$D$72</definedName>
    <definedName name="OSRRefD22_1x_0" localSheetId="2">Summary!$D$223:$D$229</definedName>
    <definedName name="OSRRefD22_20x_0" localSheetId="22">'300'!$D$240:$D$246</definedName>
    <definedName name="OSRRefD22_20x_0" localSheetId="25">'300 &amp; 317'!$D$265:$D$271</definedName>
    <definedName name="OSRRefD22_20x_0" localSheetId="50">'301'!$D$88</definedName>
    <definedName name="OSRRefD22_20x_0" localSheetId="65">'310'!$D$100</definedName>
    <definedName name="OSRRefD22_20x_0" localSheetId="74">'310 &amp; 491'!$D$109:$D$117</definedName>
    <definedName name="OSRRefD22_20x_0" localSheetId="71">'326'!$D$120</definedName>
    <definedName name="OSRRefD22_20x_0" localSheetId="58">'331'!$D$141</definedName>
    <definedName name="OSRRefD22_20x_0" localSheetId="75">'491'!$D$100:$D$108</definedName>
    <definedName name="OSRRefD22_20x_0" localSheetId="19">'Div 3'!$D$245:$D$246</definedName>
    <definedName name="OSRRefD22_20x_0" localSheetId="73">'Div 4'!$D$100:$D$101</definedName>
    <definedName name="OSRRefD22_20x_0" localSheetId="2">Summary!$D$278:$D$282</definedName>
    <definedName name="OSRRefD22_21x_0" localSheetId="22">'300'!$D$248:$D$249</definedName>
    <definedName name="OSRRefD22_21x_0" localSheetId="25">'300 &amp; 317'!$D$273:$D$274</definedName>
    <definedName name="OSRRefD22_21x_0" localSheetId="50">'301'!$D$90:$D$92</definedName>
    <definedName name="OSRRefD22_21x_0" localSheetId="65">'310'!$D$102</definedName>
    <definedName name="OSRRefD22_21x_0" localSheetId="74">'310 &amp; 491'!$D$119</definedName>
    <definedName name="OSRRefD22_21x_0" localSheetId="58">'331'!$D$143:$D$144</definedName>
    <definedName name="OSRRefD22_21x_0" localSheetId="75">'491'!$D$110</definedName>
    <definedName name="OSRRefD22_21x_0" localSheetId="19">'Div 3'!$D$248:$D$255</definedName>
    <definedName name="OSRRefD22_21x_0" localSheetId="73">'Div 4'!$D$103:$D$111</definedName>
    <definedName name="OSRRefD22_21x_0" localSheetId="2">Summary!$D$284:$D$285</definedName>
    <definedName name="OSRRefD22_22x_0" localSheetId="22">'300'!$D$251</definedName>
    <definedName name="OSRRefD22_22x_0" localSheetId="25">'300 &amp; 317'!$D$276</definedName>
    <definedName name="OSRRefD22_22x_0" localSheetId="50">'301'!$D$94</definedName>
    <definedName name="OSRRefD22_22x_0" localSheetId="65">'310'!$D$104</definedName>
    <definedName name="OSRRefD22_22x_0" localSheetId="74">'310 &amp; 491'!$D$121</definedName>
    <definedName name="OSRRefD22_22x_0" localSheetId="58">'331'!$D$146</definedName>
    <definedName name="OSRRefD22_22x_0" localSheetId="75">'491'!$D$112</definedName>
    <definedName name="OSRRefD22_22x_0" localSheetId="19">'Div 3'!$D$257:$D$258</definedName>
    <definedName name="OSRRefD22_22x_0" localSheetId="73">'Div 4'!$D$113</definedName>
    <definedName name="OSRRefD22_22x_0" localSheetId="2">Summary!$D$287:$D$295</definedName>
    <definedName name="OSRRefD22_23x_0" localSheetId="22">'300'!$D$253:$D$255</definedName>
    <definedName name="OSRRefD22_23x_0" localSheetId="25">'300 &amp; 317'!$D$278:$D$280</definedName>
    <definedName name="OSRRefD22_23x_0" localSheetId="74">'310 &amp; 491'!$D$123:$D$125</definedName>
    <definedName name="OSRRefD22_23x_0" localSheetId="75">'491'!$D$114:$D$116</definedName>
    <definedName name="OSRRefD22_23x_0" localSheetId="19">'Div 3'!$D$260</definedName>
    <definedName name="OSRRefD22_23x_0" localSheetId="73">'Div 4'!$D$115</definedName>
    <definedName name="OSRRefD22_23x_0" localSheetId="2">Summary!$D$297:$D$298</definedName>
    <definedName name="OSRRefD22_24x_0" localSheetId="22">'300'!$D$257</definedName>
    <definedName name="OSRRefD22_24x_0" localSheetId="25">'300 &amp; 317'!$D$282</definedName>
    <definedName name="OSRRefD22_24x_0" localSheetId="74">'310 &amp; 491'!$D$127</definedName>
    <definedName name="OSRRefD22_24x_0" localSheetId="75">'491'!$D$118</definedName>
    <definedName name="OSRRefD22_24x_0" localSheetId="19">'Div 3'!$D$262:$D$264</definedName>
    <definedName name="OSRRefD22_24x_0" localSheetId="73">'Div 4'!$D$117:$D$119</definedName>
    <definedName name="OSRRefD22_24x_0" localSheetId="2">Summary!$D$300</definedName>
    <definedName name="OSRRefD22_25x_0" localSheetId="19">'Div 3'!$D$266</definedName>
    <definedName name="OSRRefD22_25x_0" localSheetId="73">'Div 4'!$D$121</definedName>
    <definedName name="OSRRefD22_25x_0" localSheetId="2">Summary!$D$302:$D$304</definedName>
    <definedName name="OSRRefD22_26x_0" localSheetId="2">Summary!$D$306</definedName>
    <definedName name="OSRRefD22_2x_0" localSheetId="12">'200'!$D$24</definedName>
    <definedName name="OSRRefD22_2x_0" localSheetId="13">'201'!$D$34</definedName>
    <definedName name="OSRRefD22_2x_0" localSheetId="14">'202'!$D$36</definedName>
    <definedName name="OSRRefD22_2x_0" localSheetId="15">'203'!$D$37</definedName>
    <definedName name="OSRRefD22_2x_0" localSheetId="16">'204'!$D$38</definedName>
    <definedName name="OSRRefD22_2x_0" localSheetId="17">'205'!$D$31</definedName>
    <definedName name="OSRRefD22_2x_0" localSheetId="18">'206'!$D$36</definedName>
    <definedName name="OSRRefD22_2x_0" localSheetId="22">'300'!$D$191</definedName>
    <definedName name="OSRRefD22_2x_0" localSheetId="25">'300 &amp; 317'!$D$216</definedName>
    <definedName name="OSRRefD22_2x_0" localSheetId="50">'301'!$D$38</definedName>
    <definedName name="OSRRefD22_2x_0" localSheetId="51">'306'!$D$36</definedName>
    <definedName name="OSRRefD22_2x_0" localSheetId="53">'307'!$D$94</definedName>
    <definedName name="OSRRefD22_2x_0" localSheetId="55">'308'!$D$82</definedName>
    <definedName name="OSRRefD22_2x_0" localSheetId="66">'309'!$D$39</definedName>
    <definedName name="OSRRefD22_2x_0" localSheetId="65">'310'!$D$49</definedName>
    <definedName name="OSRRefD22_2x_0" localSheetId="74">'310 &amp; 491'!$D$60</definedName>
    <definedName name="OSRRefD22_2x_0" localSheetId="56">'311'!$D$81</definedName>
    <definedName name="OSRRefD22_2x_0" localSheetId="67">'313'!$D$46</definedName>
    <definedName name="OSRRefD22_2x_0" localSheetId="54">'314'!$D$71</definedName>
    <definedName name="OSRRefD22_2x_0" localSheetId="59">'315'!$D$73</definedName>
    <definedName name="OSRRefD22_2x_0" localSheetId="61">'316'!$D$49</definedName>
    <definedName name="OSRRefD22_2x_0" localSheetId="64">'317'!$D$74</definedName>
    <definedName name="OSRRefD22_2x_0" localSheetId="62">'320'!$D$47</definedName>
    <definedName name="OSRRefD22_2x_0" localSheetId="68">'321'!$D$38</definedName>
    <definedName name="OSRRefD22_2x_0" localSheetId="69">'322'!$D$39</definedName>
    <definedName name="OSRRefD22_2x_0" localSheetId="70">'325'!$D$40</definedName>
    <definedName name="OSRRefD22_2x_0" localSheetId="71">'326'!$D$76</definedName>
    <definedName name="OSRRefD22_2x_0" localSheetId="72">'327'!$D$26</definedName>
    <definedName name="OSRRefD22_2x_0" localSheetId="52">'330'!$D$103</definedName>
    <definedName name="OSRRefD22_2x_0" localSheetId="58">'331'!$D$92</definedName>
    <definedName name="OSRRefD22_2x_0" localSheetId="60">'332'!$D$62</definedName>
    <definedName name="OSRRefD22_2x_0" localSheetId="76">'405'!$D$39</definedName>
    <definedName name="OSRRefD22_2x_0" localSheetId="77">'406'!$D$40</definedName>
    <definedName name="OSRRefD22_2x_0" localSheetId="78">'411'!$D$37</definedName>
    <definedName name="OSRRefD22_2x_0" localSheetId="79">'412'!$D$41</definedName>
    <definedName name="OSRRefD22_2x_0" localSheetId="81">'413'!$D$40</definedName>
    <definedName name="OSRRefD22_2x_0" localSheetId="82">'414'!$D$40</definedName>
    <definedName name="OSRRefD22_2x_0" localSheetId="83">'415'!$D$40</definedName>
    <definedName name="OSRRefD22_2x_0" localSheetId="84">'418'!$D$40</definedName>
    <definedName name="OSRRefD22_2x_0" localSheetId="80">'420'!$D$38</definedName>
    <definedName name="OSRRefD22_2x_0" localSheetId="85">'423'!$D$33</definedName>
    <definedName name="OSRRefD22_2x_0" localSheetId="86">'424'!$D$36</definedName>
    <definedName name="OSRRefD22_2x_0" localSheetId="87">'425'!$D$44</definedName>
    <definedName name="OSRRefD22_2x_0" localSheetId="90">'430'!$D$31</definedName>
    <definedName name="OSRRefD22_2x_0" localSheetId="91">'433'!$D$43</definedName>
    <definedName name="OSRRefD22_2x_0" localSheetId="92">'435'!$D$33</definedName>
    <definedName name="OSRRefD22_2x_0" localSheetId="93">'444'!$D$42</definedName>
    <definedName name="OSRRefD22_2x_0" localSheetId="95">'450'!$D$42</definedName>
    <definedName name="OSRRefD22_2x_0" localSheetId="88">'455'!$D$31</definedName>
    <definedName name="OSRRefD22_2x_0" localSheetId="75">'491'!$D$52</definedName>
    <definedName name="OSRRefD22_2x_0" localSheetId="89">'492'!$D$46</definedName>
    <definedName name="OSRRefD22_2x_0" localSheetId="97">'501'!$D$37</definedName>
    <definedName name="OSRRefD22_2x_0" localSheetId="9">'Div 2'!$D$40</definedName>
    <definedName name="OSRRefD22_2x_0" localSheetId="19">'Div 3'!$D$196</definedName>
    <definedName name="OSRRefD22_2x_0" localSheetId="73">'Div 4'!$D$53</definedName>
    <definedName name="OSRRefD22_2x_0" localSheetId="96">'Div 5'!$D$37</definedName>
    <definedName name="OSRRefD22_2x_0" localSheetId="63">'Div 6'!$D$74</definedName>
    <definedName name="OSRRefD22_2x_0" localSheetId="2">Summary!$D$231</definedName>
    <definedName name="OSRRefD22_3x_0" localSheetId="12">'200'!$D$26</definedName>
    <definedName name="OSRRefD22_3x_0" localSheetId="13">'201'!$D$36</definedName>
    <definedName name="OSRRefD22_3x_0" localSheetId="14">'202'!$D$38</definedName>
    <definedName name="OSRRefD22_3x_0" localSheetId="15">'203'!$D$39</definedName>
    <definedName name="OSRRefD22_3x_0" localSheetId="16">'204'!$D$40:$D$41</definedName>
    <definedName name="OSRRefD22_3x_0" localSheetId="17">'205'!$D$33</definedName>
    <definedName name="OSRRefD22_3x_0" localSheetId="18">'206'!$D$38</definedName>
    <definedName name="OSRRefD22_3x_0" localSheetId="22">'300'!$D$193:$D$194</definedName>
    <definedName name="OSRRefD22_3x_0" localSheetId="25">'300 &amp; 317'!$D$218:$D$219</definedName>
    <definedName name="OSRRefD22_3x_0" localSheetId="50">'301'!$D$40:$D$41</definedName>
    <definedName name="OSRRefD22_3x_0" localSheetId="51">'306'!$D$38</definedName>
    <definedName name="OSRRefD22_3x_0" localSheetId="53">'307'!$D$96</definedName>
    <definedName name="OSRRefD22_3x_0" localSheetId="55">'308'!$D$84:$D$85</definedName>
    <definedName name="OSRRefD22_3x_0" localSheetId="66">'309'!$D$41</definedName>
    <definedName name="OSRRefD22_3x_0" localSheetId="65">'310'!$D$51</definedName>
    <definedName name="OSRRefD22_3x_0" localSheetId="74">'310 &amp; 491'!$D$62</definedName>
    <definedName name="OSRRefD22_3x_0" localSheetId="56">'311'!$D$83:$D$84</definedName>
    <definedName name="OSRRefD22_3x_0" localSheetId="67">'313'!$D$48</definedName>
    <definedName name="OSRRefD22_3x_0" localSheetId="54">'314'!$D$73:$D$74</definedName>
    <definedName name="OSRRefD22_3x_0" localSheetId="59">'315'!$D$75:$D$76</definedName>
    <definedName name="OSRRefD22_3x_0" localSheetId="61">'316'!$D$51</definedName>
    <definedName name="OSRRefD22_3x_0" localSheetId="64">'317'!$D$76</definedName>
    <definedName name="OSRRefD22_3x_0" localSheetId="62">'320'!$D$49</definedName>
    <definedName name="OSRRefD22_3x_0" localSheetId="68">'321'!$D$40</definedName>
    <definedName name="OSRRefD22_3x_0" localSheetId="69">'322'!$D$41</definedName>
    <definedName name="OSRRefD22_3x_0" localSheetId="70">'325'!$D$42</definedName>
    <definedName name="OSRRefD22_3x_0" localSheetId="71">'326'!$D$78</definedName>
    <definedName name="OSRRefD22_3x_0" localSheetId="52">'330'!$D$105</definedName>
    <definedName name="OSRRefD22_3x_0" localSheetId="58">'331'!$D$94</definedName>
    <definedName name="OSRRefD22_3x_0" localSheetId="60">'332'!$D$64</definedName>
    <definedName name="OSRRefD22_3x_0" localSheetId="76">'405'!$D$41</definedName>
    <definedName name="OSRRefD22_3x_0" localSheetId="77">'406'!$D$42</definedName>
    <definedName name="OSRRefD22_3x_0" localSheetId="78">'411'!$D$39</definedName>
    <definedName name="OSRRefD22_3x_0" localSheetId="79">'412'!$D$43</definedName>
    <definedName name="OSRRefD22_3x_0" localSheetId="81">'413'!$D$42</definedName>
    <definedName name="OSRRefD22_3x_0" localSheetId="82">'414'!$D$42</definedName>
    <definedName name="OSRRefD22_3x_0" localSheetId="83">'415'!$D$42</definedName>
    <definedName name="OSRRefD22_3x_0" localSheetId="84">'418'!$D$42</definedName>
    <definedName name="OSRRefD22_3x_0" localSheetId="80">'420'!$D$40</definedName>
    <definedName name="OSRRefD22_3x_0" localSheetId="85">'423'!$D$35</definedName>
    <definedName name="OSRRefD22_3x_0" localSheetId="86">'424'!$D$38</definedName>
    <definedName name="OSRRefD22_3x_0" localSheetId="87">'425'!$D$46</definedName>
    <definedName name="OSRRefD22_3x_0" localSheetId="90">'430'!$D$33</definedName>
    <definedName name="OSRRefD22_3x_0" localSheetId="91">'433'!$D$45</definedName>
    <definedName name="OSRRefD22_3x_0" localSheetId="92">'435'!$D$35</definedName>
    <definedName name="OSRRefD22_3x_0" localSheetId="93">'444'!$D$44</definedName>
    <definedName name="OSRRefD22_3x_0" localSheetId="95">'450'!$D$44</definedName>
    <definedName name="OSRRefD22_3x_0" localSheetId="75">'491'!$D$54</definedName>
    <definedName name="OSRRefD22_3x_0" localSheetId="89">'492'!$D$48</definedName>
    <definedName name="OSRRefD22_3x_0" localSheetId="97">'501'!$D$39</definedName>
    <definedName name="OSRRefD22_3x_0" localSheetId="9">'Div 2'!$D$42</definedName>
    <definedName name="OSRRefD22_3x_0" localSheetId="19">'Div 3'!$D$198:$D$199</definedName>
    <definedName name="OSRRefD22_3x_0" localSheetId="73">'Div 4'!$D$55</definedName>
    <definedName name="OSRRefD22_3x_0" localSheetId="96">'Div 5'!$D$39</definedName>
    <definedName name="OSRRefD22_3x_0" localSheetId="63">'Div 6'!$D$76</definedName>
    <definedName name="OSRRefD22_3x_0" localSheetId="2">Summary!$D$233:$D$234</definedName>
    <definedName name="OSRRefD22_4x_0" localSheetId="12">'200'!$D$28:$D$29</definedName>
    <definedName name="OSRRefD22_4x_0" localSheetId="13">'201'!$D$38</definedName>
    <definedName name="OSRRefD22_4x_0" localSheetId="14">'202'!$D$40</definedName>
    <definedName name="OSRRefD22_4x_0" localSheetId="15">'203'!$D$41</definedName>
    <definedName name="OSRRefD22_4x_0" localSheetId="16">'204'!$D$43</definedName>
    <definedName name="OSRRefD22_4x_0" localSheetId="17">'205'!$D$35:$D$37</definedName>
    <definedName name="OSRRefD22_4x_0" localSheetId="18">'206'!$D$40</definedName>
    <definedName name="OSRRefD22_4x_0" localSheetId="22">'300'!$D$196</definedName>
    <definedName name="OSRRefD22_4x_0" localSheetId="25">'300 &amp; 317'!$D$221</definedName>
    <definedName name="OSRRefD22_4x_0" localSheetId="50">'301'!$D$43</definedName>
    <definedName name="OSRRefD22_4x_0" localSheetId="51">'306'!$D$40</definedName>
    <definedName name="OSRRefD22_4x_0" localSheetId="53">'307'!$D$98:$D$99</definedName>
    <definedName name="OSRRefD22_4x_0" localSheetId="55">'308'!$D$87</definedName>
    <definedName name="OSRRefD22_4x_0" localSheetId="66">'309'!$D$43</definedName>
    <definedName name="OSRRefD22_4x_0" localSheetId="65">'310'!$D$53</definedName>
    <definedName name="OSRRefD22_4x_0" localSheetId="74">'310 &amp; 491'!$D$64</definedName>
    <definedName name="OSRRefD22_4x_0" localSheetId="56">'311'!$D$86</definedName>
    <definedName name="OSRRefD22_4x_0" localSheetId="67">'313'!$D$50</definedName>
    <definedName name="OSRRefD22_4x_0" localSheetId="54">'314'!$D$76</definedName>
    <definedName name="OSRRefD22_4x_0" localSheetId="59">'315'!$D$78</definedName>
    <definedName name="OSRRefD22_4x_0" localSheetId="61">'316'!$D$53</definedName>
    <definedName name="OSRRefD22_4x_0" localSheetId="64">'317'!$D$78</definedName>
    <definedName name="OSRRefD22_4x_0" localSheetId="62">'320'!$D$51:$D$52</definedName>
    <definedName name="OSRRefD22_4x_0" localSheetId="68">'321'!$D$42</definedName>
    <definedName name="OSRRefD22_4x_0" localSheetId="69">'322'!$D$43</definedName>
    <definedName name="OSRRefD22_4x_0" localSheetId="70">'325'!$D$44</definedName>
    <definedName name="OSRRefD22_4x_0" localSheetId="71">'326'!$D$80</definedName>
    <definedName name="OSRRefD22_4x_0" localSheetId="52">'330'!$D$107:$D$108</definedName>
    <definedName name="OSRRefD22_4x_0" localSheetId="58">'331'!$D$96</definedName>
    <definedName name="OSRRefD22_4x_0" localSheetId="60">'332'!$D$66</definedName>
    <definedName name="OSRRefD22_4x_0" localSheetId="76">'405'!$D$43</definedName>
    <definedName name="OSRRefD22_4x_0" localSheetId="77">'406'!$D$44</definedName>
    <definedName name="OSRRefD22_4x_0" localSheetId="78">'411'!$D$41:$D$43</definedName>
    <definedName name="OSRRefD22_4x_0" localSheetId="79">'412'!$D$45</definedName>
    <definedName name="OSRRefD22_4x_0" localSheetId="81">'413'!$D$44</definedName>
    <definedName name="OSRRefD22_4x_0" localSheetId="82">'414'!$D$44</definedName>
    <definedName name="OSRRefD22_4x_0" localSheetId="83">'415'!$D$44</definedName>
    <definedName name="OSRRefD22_4x_0" localSheetId="84">'418'!$D$44</definedName>
    <definedName name="OSRRefD22_4x_0" localSheetId="80">'420'!$D$42</definedName>
    <definedName name="OSRRefD22_4x_0" localSheetId="85">'423'!$D$37</definedName>
    <definedName name="OSRRefD22_4x_0" localSheetId="86">'424'!$D$40</definedName>
    <definedName name="OSRRefD22_4x_0" localSheetId="87">'425'!$D$48</definedName>
    <definedName name="OSRRefD22_4x_0" localSheetId="90">'430'!$D$35</definedName>
    <definedName name="OSRRefD22_4x_0" localSheetId="91">'433'!$D$47</definedName>
    <definedName name="OSRRefD22_4x_0" localSheetId="92">'435'!$D$37</definedName>
    <definedName name="OSRRefD22_4x_0" localSheetId="93">'444'!$D$46</definedName>
    <definedName name="OSRRefD22_4x_0" localSheetId="95">'450'!$D$46</definedName>
    <definedName name="OSRRefD22_4x_0" localSheetId="75">'491'!$D$56</definedName>
    <definedName name="OSRRefD22_4x_0" localSheetId="89">'492'!$D$50</definedName>
    <definedName name="OSRRefD22_4x_0" localSheetId="97">'501'!$D$41</definedName>
    <definedName name="OSRRefD22_4x_0" localSheetId="9">'Div 2'!$D$44</definedName>
    <definedName name="OSRRefD22_4x_0" localSheetId="19">'Div 3'!$D$201</definedName>
    <definedName name="OSRRefD22_4x_0" localSheetId="73">'Div 4'!$D$57</definedName>
    <definedName name="OSRRefD22_4x_0" localSheetId="96">'Div 5'!$D$41</definedName>
    <definedName name="OSRRefD22_4x_0" localSheetId="63">'Div 6'!$D$78</definedName>
    <definedName name="OSRRefD22_4x_0" localSheetId="2">Summary!$D$236</definedName>
    <definedName name="OSRRefD22_5x_0" localSheetId="13">'201'!$D$40</definedName>
    <definedName name="OSRRefD22_5x_0" localSheetId="14">'202'!$D$42</definedName>
    <definedName name="OSRRefD22_5x_0" localSheetId="15">'203'!$D$43</definedName>
    <definedName name="OSRRefD22_5x_0" localSheetId="16">'204'!$D$45</definedName>
    <definedName name="OSRRefD22_5x_0" localSheetId="17">'205'!$D$39</definedName>
    <definedName name="OSRRefD22_5x_0" localSheetId="18">'206'!$D$42</definedName>
    <definedName name="OSRRefD22_5x_0" localSheetId="22">'300'!$D$198:$D$199</definedName>
    <definedName name="OSRRefD22_5x_0" localSheetId="25">'300 &amp; 317'!$D$223:$D$224</definedName>
    <definedName name="OSRRefD22_5x_0" localSheetId="50">'301'!$D$45:$D$46</definedName>
    <definedName name="OSRRefD22_5x_0" localSheetId="51">'306'!$D$42</definedName>
    <definedName name="OSRRefD22_5x_0" localSheetId="53">'307'!$D$101</definedName>
    <definedName name="OSRRefD22_5x_0" localSheetId="55">'308'!$D$89</definedName>
    <definedName name="OSRRefD22_5x_0" localSheetId="66">'309'!$D$45</definedName>
    <definedName name="OSRRefD22_5x_0" localSheetId="65">'310'!$D$55:$D$56</definedName>
    <definedName name="OSRRefD22_5x_0" localSheetId="74">'310 &amp; 491'!$D$66:$D$68</definedName>
    <definedName name="OSRRefD22_5x_0" localSheetId="56">'311'!$D$88</definedName>
    <definedName name="OSRRefD22_5x_0" localSheetId="67">'313'!$D$52</definedName>
    <definedName name="OSRRefD22_5x_0" localSheetId="54">'314'!$D$78</definedName>
    <definedName name="OSRRefD22_5x_0" localSheetId="59">'315'!$D$80:$D$81</definedName>
    <definedName name="OSRRefD22_5x_0" localSheetId="61">'316'!$D$55</definedName>
    <definedName name="OSRRefD22_5x_0" localSheetId="64">'317'!$D$80</definedName>
    <definedName name="OSRRefD22_5x_0" localSheetId="62">'320'!$D$54</definedName>
    <definedName name="OSRRefD22_5x_0" localSheetId="68">'321'!$D$44</definedName>
    <definedName name="OSRRefD22_5x_0" localSheetId="69">'322'!$D$45</definedName>
    <definedName name="OSRRefD22_5x_0" localSheetId="70">'325'!$D$46:$D$47</definedName>
    <definedName name="OSRRefD22_5x_0" localSheetId="71">'326'!$D$82</definedName>
    <definedName name="OSRRefD22_5x_0" localSheetId="52">'330'!$D$110</definedName>
    <definedName name="OSRRefD22_5x_0" localSheetId="58">'331'!$D$98:$D$99</definedName>
    <definedName name="OSRRefD22_5x_0" localSheetId="60">'332'!$D$68</definedName>
    <definedName name="OSRRefD22_5x_0" localSheetId="76">'405'!$D$45:$D$46</definedName>
    <definedName name="OSRRefD22_5x_0" localSheetId="77">'406'!$D$46</definedName>
    <definedName name="OSRRefD22_5x_0" localSheetId="78">'411'!$D$45</definedName>
    <definedName name="OSRRefD22_5x_0" localSheetId="79">'412'!$D$47</definedName>
    <definedName name="OSRRefD22_5x_0" localSheetId="81">'413'!$D$46</definedName>
    <definedName name="OSRRefD22_5x_0" localSheetId="82">'414'!$D$46</definedName>
    <definedName name="OSRRefD22_5x_0" localSheetId="83">'415'!$D$46:$D$47</definedName>
    <definedName name="OSRRefD22_5x_0" localSheetId="84">'418'!$D$46:$D$47</definedName>
    <definedName name="OSRRefD22_5x_0" localSheetId="80">'420'!$D$44</definedName>
    <definedName name="OSRRefD22_5x_0" localSheetId="85">'423'!$D$39</definedName>
    <definedName name="OSRRefD22_5x_0" localSheetId="86">'424'!$D$42</definedName>
    <definedName name="OSRRefD22_5x_0" localSheetId="87">'425'!$D$50</definedName>
    <definedName name="OSRRefD22_5x_0" localSheetId="90">'430'!$D$37</definedName>
    <definedName name="OSRRefD22_5x_0" localSheetId="91">'433'!$D$49</definedName>
    <definedName name="OSRRefD22_5x_0" localSheetId="92">'435'!$D$39</definedName>
    <definedName name="OSRRefD22_5x_0" localSheetId="93">'444'!$D$48</definedName>
    <definedName name="OSRRefD22_5x_0" localSheetId="95">'450'!$D$48</definedName>
    <definedName name="OSRRefD22_5x_0" localSheetId="75">'491'!$D$58:$D$60</definedName>
    <definedName name="OSRRefD22_5x_0" localSheetId="89">'492'!$D$52</definedName>
    <definedName name="OSRRefD22_5x_0" localSheetId="97">'501'!$D$43:$D$44</definedName>
    <definedName name="OSRRefD22_5x_0" localSheetId="9">'Div 2'!$D$46:$D$47</definedName>
    <definedName name="OSRRefD22_5x_0" localSheetId="19">'Div 3'!$D$203:$D$204</definedName>
    <definedName name="OSRRefD22_5x_0" localSheetId="73">'Div 4'!$D$59:$D$61</definedName>
    <definedName name="OSRRefD22_5x_0" localSheetId="96">'Div 5'!$D$43:$D$44</definedName>
    <definedName name="OSRRefD22_5x_0" localSheetId="63">'Div 6'!$D$80</definedName>
    <definedName name="OSRRefD22_5x_0" localSheetId="2">Summary!$D$238:$D$240</definedName>
    <definedName name="OSRRefD22_6x_0" localSheetId="13">'201'!$D$42</definedName>
    <definedName name="OSRRefD22_6x_0" localSheetId="14">'202'!$D$44</definedName>
    <definedName name="OSRRefD22_6x_0" localSheetId="15">'203'!$D$45</definedName>
    <definedName name="OSRRefD22_6x_0" localSheetId="16">'204'!$D$47:$D$50</definedName>
    <definedName name="OSRRefD22_6x_0" localSheetId="17">'205'!$D$41:$D$42</definedName>
    <definedName name="OSRRefD22_6x_0" localSheetId="18">'206'!$D$44:$D$45</definedName>
    <definedName name="OSRRefD22_6x_0" localSheetId="22">'300'!$D$201:$D$202</definedName>
    <definedName name="OSRRefD22_6x_0" localSheetId="25">'300 &amp; 317'!$D$226:$D$227</definedName>
    <definedName name="OSRRefD22_6x_0" localSheetId="50">'301'!$D$48:$D$49</definedName>
    <definedName name="OSRRefD22_6x_0" localSheetId="51">'306'!$D$44</definedName>
    <definedName name="OSRRefD22_6x_0" localSheetId="53">'307'!$D$103</definedName>
    <definedName name="OSRRefD22_6x_0" localSheetId="55">'308'!$D$91:$D$92</definedName>
    <definedName name="OSRRefD22_6x_0" localSheetId="66">'309'!$D$47</definedName>
    <definedName name="OSRRefD22_6x_0" localSheetId="65">'310'!$D$58</definedName>
    <definedName name="OSRRefD22_6x_0" localSheetId="74">'310 &amp; 491'!$D$70</definedName>
    <definedName name="OSRRefD22_6x_0" localSheetId="56">'311'!$D$90:$D$91</definedName>
    <definedName name="OSRRefD22_6x_0" localSheetId="67">'313'!$D$54</definedName>
    <definedName name="OSRRefD22_6x_0" localSheetId="54">'314'!$D$80</definedName>
    <definedName name="OSRRefD22_6x_0" localSheetId="59">'315'!$D$83</definedName>
    <definedName name="OSRRefD22_6x_0" localSheetId="61">'316'!$D$57</definedName>
    <definedName name="OSRRefD22_6x_0" localSheetId="64">'317'!$D$82</definedName>
    <definedName name="OSRRefD22_6x_0" localSheetId="62">'320'!$D$56</definedName>
    <definedName name="OSRRefD22_6x_0" localSheetId="68">'321'!$D$46</definedName>
    <definedName name="OSRRefD22_6x_0" localSheetId="69">'322'!$D$47</definedName>
    <definedName name="OSRRefD22_6x_0" localSheetId="70">'325'!$D$49</definedName>
    <definedName name="OSRRefD22_6x_0" localSheetId="71">'326'!$D$84</definedName>
    <definedName name="OSRRefD22_6x_0" localSheetId="52">'330'!$D$112</definedName>
    <definedName name="OSRRefD22_6x_0" localSheetId="58">'331'!$D$101</definedName>
    <definedName name="OSRRefD22_6x_0" localSheetId="60">'332'!$D$70:$D$71</definedName>
    <definedName name="OSRRefD22_6x_0" localSheetId="76">'405'!$D$48</definedName>
    <definedName name="OSRRefD22_6x_0" localSheetId="77">'406'!$D$48</definedName>
    <definedName name="OSRRefD22_6x_0" localSheetId="78">'411'!$D$47</definedName>
    <definedName name="OSRRefD22_6x_0" localSheetId="79">'412'!$D$49</definedName>
    <definedName name="OSRRefD22_6x_0" localSheetId="81">'413'!$D$48</definedName>
    <definedName name="OSRRefD22_6x_0" localSheetId="82">'414'!$D$48</definedName>
    <definedName name="OSRRefD22_6x_0" localSheetId="83">'415'!$D$49</definedName>
    <definedName name="OSRRefD22_6x_0" localSheetId="84">'418'!$D$49</definedName>
    <definedName name="OSRRefD22_6x_0" localSheetId="80">'420'!$D$46:$D$47</definedName>
    <definedName name="OSRRefD22_6x_0" localSheetId="85">'423'!$D$41</definedName>
    <definedName name="OSRRefD22_6x_0" localSheetId="86">'424'!$D$44</definedName>
    <definedName name="OSRRefD22_6x_0" localSheetId="87">'425'!$D$52</definedName>
    <definedName name="OSRRefD22_6x_0" localSheetId="90">'430'!$D$39:$D$40</definedName>
    <definedName name="OSRRefD22_6x_0" localSheetId="91">'433'!$D$51</definedName>
    <definedName name="OSRRefD22_6x_0" localSheetId="92">'435'!$D$41</definedName>
    <definedName name="OSRRefD22_6x_0" localSheetId="93">'444'!$D$50</definedName>
    <definedName name="OSRRefD22_6x_0" localSheetId="95">'450'!$D$50</definedName>
    <definedName name="OSRRefD22_6x_0" localSheetId="75">'491'!$D$62</definedName>
    <definedName name="OSRRefD22_6x_0" localSheetId="89">'492'!$D$54</definedName>
    <definedName name="OSRRefD22_6x_0" localSheetId="97">'501'!$D$46</definedName>
    <definedName name="OSRRefD22_6x_0" localSheetId="9">'Div 2'!$D$49</definedName>
    <definedName name="OSRRefD22_6x_0" localSheetId="19">'Div 3'!$D$206:$D$207</definedName>
    <definedName name="OSRRefD22_6x_0" localSheetId="73">'Div 4'!$D$63</definedName>
    <definedName name="OSRRefD22_6x_0" localSheetId="96">'Div 5'!$D$46</definedName>
    <definedName name="OSRRefD22_6x_0" localSheetId="63">'Div 6'!$D$82</definedName>
    <definedName name="OSRRefD22_6x_0" localSheetId="2">Summary!$D$242:$D$243</definedName>
    <definedName name="OSRRefD22_7x_0" localSheetId="13">'201'!$D$44</definedName>
    <definedName name="OSRRefD22_7x_0" localSheetId="14">'202'!$D$46</definedName>
    <definedName name="OSRRefD22_7x_0" localSheetId="15">'203'!$D$47</definedName>
    <definedName name="OSRRefD22_7x_0" localSheetId="16">'204'!$D$52:$D$53</definedName>
    <definedName name="OSRRefD22_7x_0" localSheetId="17">'205'!$D$44</definedName>
    <definedName name="OSRRefD22_7x_0" localSheetId="18">'206'!$D$47</definedName>
    <definedName name="OSRRefD22_7x_0" localSheetId="22">'300'!$D$204</definedName>
    <definedName name="OSRRefD22_7x_0" localSheetId="25">'300 &amp; 317'!$D$229</definedName>
    <definedName name="OSRRefD22_7x_0" localSheetId="50">'301'!$D$51</definedName>
    <definedName name="OSRRefD22_7x_0" localSheetId="51">'306'!$D$46:$D$47</definedName>
    <definedName name="OSRRefD22_7x_0" localSheetId="53">'307'!$D$105</definedName>
    <definedName name="OSRRefD22_7x_0" localSheetId="55">'308'!$D$94</definedName>
    <definedName name="OSRRefD22_7x_0" localSheetId="66">'309'!$D$49</definedName>
    <definedName name="OSRRefD22_7x_0" localSheetId="65">'310'!$D$60</definedName>
    <definedName name="OSRRefD22_7x_0" localSheetId="74">'310 &amp; 491'!$D$72</definedName>
    <definedName name="OSRRefD22_7x_0" localSheetId="56">'311'!$D$93</definedName>
    <definedName name="OSRRefD22_7x_0" localSheetId="67">'313'!$D$56:$D$57</definedName>
    <definedName name="OSRRefD22_7x_0" localSheetId="54">'314'!$D$82:$D$84</definedName>
    <definedName name="OSRRefD22_7x_0" localSheetId="59">'315'!$D$85</definedName>
    <definedName name="OSRRefD22_7x_0" localSheetId="61">'316'!$D$59</definedName>
    <definedName name="OSRRefD22_7x_0" localSheetId="64">'317'!$D$84:$D$85</definedName>
    <definedName name="OSRRefD22_7x_0" localSheetId="62">'320'!$D$58:$D$59</definedName>
    <definedName name="OSRRefD22_7x_0" localSheetId="68">'321'!$D$48:$D$50</definedName>
    <definedName name="OSRRefD22_7x_0" localSheetId="69">'322'!$D$49</definedName>
    <definedName name="OSRRefD22_7x_0" localSheetId="70">'325'!$D$51</definedName>
    <definedName name="OSRRefD22_7x_0" localSheetId="71">'326'!$D$86</definedName>
    <definedName name="OSRRefD22_7x_0" localSheetId="52">'330'!$D$114</definedName>
    <definedName name="OSRRefD22_7x_0" localSheetId="58">'331'!$D$103</definedName>
    <definedName name="OSRRefD22_7x_0" localSheetId="60">'332'!$D$73</definedName>
    <definedName name="OSRRefD22_7x_0" localSheetId="76">'405'!$D$50</definedName>
    <definedName name="OSRRefD22_7x_0" localSheetId="77">'406'!$D$50</definedName>
    <definedName name="OSRRefD22_7x_0" localSheetId="78">'411'!$D$49</definedName>
    <definedName name="OSRRefD22_7x_0" localSheetId="79">'412'!$D$51</definedName>
    <definedName name="OSRRefD22_7x_0" localSheetId="81">'413'!$D$50:$D$52</definedName>
    <definedName name="OSRRefD22_7x_0" localSheetId="82">'414'!$D$50</definedName>
    <definedName name="OSRRefD22_7x_0" localSheetId="83">'415'!$D$51</definedName>
    <definedName name="OSRRefD22_7x_0" localSheetId="84">'418'!$D$51</definedName>
    <definedName name="OSRRefD22_7x_0" localSheetId="80">'420'!$D$49</definedName>
    <definedName name="OSRRefD22_7x_0" localSheetId="86">'424'!$D$46</definedName>
    <definedName name="OSRRefD22_7x_0" localSheetId="87">'425'!$D$54</definedName>
    <definedName name="OSRRefD22_7x_0" localSheetId="90">'430'!$D$42</definedName>
    <definedName name="OSRRefD22_7x_0" localSheetId="91">'433'!$D$53</definedName>
    <definedName name="OSRRefD22_7x_0" localSheetId="92">'435'!$D$43</definedName>
    <definedName name="OSRRefD22_7x_0" localSheetId="93">'444'!$D$52</definedName>
    <definedName name="OSRRefD22_7x_0" localSheetId="95">'450'!$D$52</definedName>
    <definedName name="OSRRefD22_7x_0" localSheetId="75">'491'!$D$64</definedName>
    <definedName name="OSRRefD22_7x_0" localSheetId="89">'492'!$D$56</definedName>
    <definedName name="OSRRefD22_7x_0" localSheetId="97">'501'!$D$48</definedName>
    <definedName name="OSRRefD22_7x_0" localSheetId="9">'Div 2'!$D$51</definedName>
    <definedName name="OSRRefD22_7x_0" localSheetId="19">'Div 3'!$D$209</definedName>
    <definedName name="OSRRefD22_7x_0" localSheetId="73">'Div 4'!$D$65</definedName>
    <definedName name="OSRRefD22_7x_0" localSheetId="96">'Div 5'!$D$48</definedName>
    <definedName name="OSRRefD22_7x_0" localSheetId="63">'Div 6'!$D$84:$D$85</definedName>
    <definedName name="OSRRefD22_7x_0" localSheetId="2">Summary!$D$245</definedName>
    <definedName name="OSRRefD22_8x_0" localSheetId="13">'201'!$D$46</definedName>
    <definedName name="OSRRefD22_8x_0" localSheetId="14">'202'!$D$48</definedName>
    <definedName name="OSRRefD22_8x_0" localSheetId="15">'203'!$D$49</definedName>
    <definedName name="OSRRefD22_8x_0" localSheetId="16">'204'!$D$55:$D$56</definedName>
    <definedName name="OSRRefD22_8x_0" localSheetId="17">'205'!$D$46</definedName>
    <definedName name="OSRRefD22_8x_0" localSheetId="18">'206'!$D$49</definedName>
    <definedName name="OSRRefD22_8x_0" localSheetId="22">'300'!$D$206</definedName>
    <definedName name="OSRRefD22_8x_0" localSheetId="25">'300 &amp; 317'!$D$231</definedName>
    <definedName name="OSRRefD22_8x_0" localSheetId="50">'301'!$D$53</definedName>
    <definedName name="OSRRefD22_8x_0" localSheetId="51">'306'!$D$49:$D$53</definedName>
    <definedName name="OSRRefD22_8x_0" localSheetId="53">'307'!$D$107</definedName>
    <definedName name="OSRRefD22_8x_0" localSheetId="55">'308'!$D$96</definedName>
    <definedName name="OSRRefD22_8x_0" localSheetId="66">'309'!$D$51</definedName>
    <definedName name="OSRRefD22_8x_0" localSheetId="65">'310'!$D$62</definedName>
    <definedName name="OSRRefD22_8x_0" localSheetId="74">'310 &amp; 491'!$D$74</definedName>
    <definedName name="OSRRefD22_8x_0" localSheetId="56">'311'!$D$95</definedName>
    <definedName name="OSRRefD22_8x_0" localSheetId="67">'313'!$D$59</definedName>
    <definedName name="OSRRefD22_8x_0" localSheetId="54">'314'!$D$86</definedName>
    <definedName name="OSRRefD22_8x_0" localSheetId="59">'315'!$D$87</definedName>
    <definedName name="OSRRefD22_8x_0" localSheetId="61">'316'!$D$61:$D$62</definedName>
    <definedName name="OSRRefD22_8x_0" localSheetId="64">'317'!$D$87</definedName>
    <definedName name="OSRRefD22_8x_0" localSheetId="62">'320'!$D$61</definedName>
    <definedName name="OSRRefD22_8x_0" localSheetId="68">'321'!$D$52</definedName>
    <definedName name="OSRRefD22_8x_0" localSheetId="69">'322'!$D$51</definedName>
    <definedName name="OSRRefD22_8x_0" localSheetId="70">'325'!$D$53</definedName>
    <definedName name="OSRRefD22_8x_0" localSheetId="71">'326'!$D$88</definedName>
    <definedName name="OSRRefD22_8x_0" localSheetId="52">'330'!$D$116</definedName>
    <definedName name="OSRRefD22_8x_0" localSheetId="58">'331'!$D$105:$D$106</definedName>
    <definedName name="OSRRefD22_8x_0" localSheetId="60">'332'!$D$75</definedName>
    <definedName name="OSRRefD22_8x_0" localSheetId="76">'405'!$D$52</definedName>
    <definedName name="OSRRefD22_8x_0" localSheetId="77">'406'!$D$52</definedName>
    <definedName name="OSRRefD22_8x_0" localSheetId="78">'411'!$D$51</definedName>
    <definedName name="OSRRefD22_8x_0" localSheetId="79">'412'!$D$53</definedName>
    <definedName name="OSRRefD22_8x_0" localSheetId="81">'413'!$D$54:$D$55</definedName>
    <definedName name="OSRRefD22_8x_0" localSheetId="82">'414'!$D$52</definedName>
    <definedName name="OSRRefD22_8x_0" localSheetId="83">'415'!$D$53</definedName>
    <definedName name="OSRRefD22_8x_0" localSheetId="84">'418'!$D$53</definedName>
    <definedName name="OSRRefD22_8x_0" localSheetId="86">'424'!$D$48</definedName>
    <definedName name="OSRRefD22_8x_0" localSheetId="87">'425'!$D$56</definedName>
    <definedName name="OSRRefD22_8x_0" localSheetId="90">'430'!$D$44</definedName>
    <definedName name="OSRRefD22_8x_0" localSheetId="91">'433'!$D$55</definedName>
    <definedName name="OSRRefD22_8x_0" localSheetId="92">'435'!$D$45:$D$48</definedName>
    <definedName name="OSRRefD22_8x_0" localSheetId="93">'444'!$D$54</definedName>
    <definedName name="OSRRefD22_8x_0" localSheetId="95">'450'!$D$54</definedName>
    <definedName name="OSRRefD22_8x_0" localSheetId="75">'491'!$D$66</definedName>
    <definedName name="OSRRefD22_8x_0" localSheetId="89">'492'!$D$58</definedName>
    <definedName name="OSRRefD22_8x_0" localSheetId="97">'501'!$D$50</definedName>
    <definedName name="OSRRefD22_8x_0" localSheetId="9">'Div 2'!$D$53</definedName>
    <definedName name="OSRRefD22_8x_0" localSheetId="19">'Div 3'!$D$211</definedName>
    <definedName name="OSRRefD22_8x_0" localSheetId="73">'Div 4'!$D$67</definedName>
    <definedName name="OSRRefD22_8x_0" localSheetId="96">'Div 5'!$D$50</definedName>
    <definedName name="OSRRefD22_8x_0" localSheetId="63">'Div 6'!$D$87</definedName>
    <definedName name="OSRRefD22_8x_0" localSheetId="2">Summary!$D$247</definedName>
    <definedName name="OSRRefD22_9x_0" localSheetId="13">'201'!$D$48</definedName>
    <definedName name="OSRRefD22_9x_0" localSheetId="14">'202'!$D$50</definedName>
    <definedName name="OSRRefD22_9x_0" localSheetId="15">'203'!$D$51:$D$53</definedName>
    <definedName name="OSRRefD22_9x_0" localSheetId="16">'204'!$D$58</definedName>
    <definedName name="OSRRefD22_9x_0" localSheetId="22">'300'!$D$208</definedName>
    <definedName name="OSRRefD22_9x_0" localSheetId="25">'300 &amp; 317'!$D$233</definedName>
    <definedName name="OSRRefD22_9x_0" localSheetId="50">'301'!$D$55</definedName>
    <definedName name="OSRRefD22_9x_0" localSheetId="51">'306'!$D$55</definedName>
    <definedName name="OSRRefD22_9x_0" localSheetId="53">'307'!$D$109:$D$110</definedName>
    <definedName name="OSRRefD22_9x_0" localSheetId="55">'308'!$D$98:$D$100</definedName>
    <definedName name="OSRRefD22_9x_0" localSheetId="66">'309'!$D$53:$D$54</definedName>
    <definedName name="OSRRefD22_9x_0" localSheetId="65">'310'!$D$64:$D$65</definedName>
    <definedName name="OSRRefD22_9x_0" localSheetId="74">'310 &amp; 491'!$D$76</definedName>
    <definedName name="OSRRefD22_9x_0" localSheetId="56">'311'!$D$97:$D$99</definedName>
    <definedName name="OSRRefD22_9x_0" localSheetId="67">'313'!$D$61:$D$63</definedName>
    <definedName name="OSRRefD22_9x_0" localSheetId="54">'314'!$D$88</definedName>
    <definedName name="OSRRefD22_9x_0" localSheetId="59">'315'!$D$89:$D$91</definedName>
    <definedName name="OSRRefD22_9x_0" localSheetId="61">'316'!$D$64</definedName>
    <definedName name="OSRRefD22_9x_0" localSheetId="64">'317'!$D$89</definedName>
    <definedName name="OSRRefD22_9x_0" localSheetId="68">'321'!$D$54:$D$56</definedName>
    <definedName name="OSRRefD22_9x_0" localSheetId="69">'322'!$D$53</definedName>
    <definedName name="OSRRefD22_9x_0" localSheetId="70">'325'!$D$55</definedName>
    <definedName name="OSRRefD22_9x_0" localSheetId="71">'326'!$D$90</definedName>
    <definedName name="OSRRefD22_9x_0" localSheetId="52">'330'!$D$118</definedName>
    <definedName name="OSRRefD22_9x_0" localSheetId="58">'331'!$D$108</definedName>
    <definedName name="OSRRefD22_9x_0" localSheetId="60">'332'!$D$77:$D$78</definedName>
    <definedName name="OSRRefD22_9x_0" localSheetId="76">'405'!$D$54</definedName>
    <definedName name="OSRRefD22_9x_0" localSheetId="77">'406'!$D$54:$D$56</definedName>
    <definedName name="OSRRefD22_9x_0" localSheetId="78">'411'!$D$53</definedName>
    <definedName name="OSRRefD22_9x_0" localSheetId="79">'412'!$D$55:$D$57</definedName>
    <definedName name="OSRRefD22_9x_0" localSheetId="81">'413'!$D$57:$D$62</definedName>
    <definedName name="OSRRefD22_9x_0" localSheetId="82">'414'!$D$54:$D$55</definedName>
    <definedName name="OSRRefD22_9x_0" localSheetId="83">'415'!$D$55</definedName>
    <definedName name="OSRRefD22_9x_0" localSheetId="84">'418'!$D$55</definedName>
    <definedName name="OSRRefD22_9x_0" localSheetId="86">'424'!$D$50:$D$51</definedName>
    <definedName name="OSRRefD22_9x_0" localSheetId="87">'425'!$D$58:$D$60</definedName>
    <definedName name="OSRRefD22_9x_0" localSheetId="90">'430'!$D$46</definedName>
    <definedName name="OSRRefD22_9x_0" localSheetId="91">'433'!$D$57</definedName>
    <definedName name="OSRRefD22_9x_0" localSheetId="92">'435'!$D$50</definedName>
    <definedName name="OSRRefD22_9x_0" localSheetId="93">'444'!$D$56</definedName>
    <definedName name="OSRRefD22_9x_0" localSheetId="95">'450'!$D$56</definedName>
    <definedName name="OSRRefD22_9x_0" localSheetId="75">'491'!$D$68</definedName>
    <definedName name="OSRRefD22_9x_0" localSheetId="89">'492'!$D$60</definedName>
    <definedName name="OSRRefD22_9x_0" localSheetId="97">'501'!$D$52</definedName>
    <definedName name="OSRRefD22_9x_0" localSheetId="9">'Div 2'!$D$55</definedName>
    <definedName name="OSRRefD22_9x_0" localSheetId="19">'Div 3'!$D$213</definedName>
    <definedName name="OSRRefD22_9x_0" localSheetId="73">'Div 4'!$D$69</definedName>
    <definedName name="OSRRefD22_9x_0" localSheetId="96">'Div 5'!$D$52</definedName>
    <definedName name="OSRRefD22_9x_0" localSheetId="63">'Div 6'!$D$89</definedName>
    <definedName name="OSRRefD22_9x_0" localSheetId="2">Summary!$D$249</definedName>
    <definedName name="OSRRefD22x_0" localSheetId="12">'200'!$D$20,'200'!$D$22,'200'!$D$24,'200'!$D$26,'200'!$D$28:$D$29</definedName>
    <definedName name="OSRRefD22x_0" localSheetId="13">'201'!$D$20:$D$28,'201'!$D$30:$D$32,'201'!$D$34,'201'!$D$36,'201'!$D$38,'201'!$D$40,'201'!$D$42,'201'!$D$44,'201'!$D$46,'201'!$D$48,'201'!$D$50:$D$52,'201'!$D$54:$D$56,'201'!$D$58,'201'!$D$60:$D$63,'201'!$D$65,'201'!$D$67,'201'!$D$69:$D$70</definedName>
    <definedName name="OSRRefD22x_0" localSheetId="14">'202'!$D$20:$D$27,'202'!$D$29:$D$34,'202'!$D$36,'202'!$D$38,'202'!$D$40,'202'!$D$42,'202'!$D$44,'202'!$D$46,'202'!$D$48,'202'!$D$50,'202'!$D$52:$D$54,'202'!$D$56,'202'!$D$58,'202'!$D$60:$D$62,'202'!$D$64,'202'!$D$66,'202'!$D$68</definedName>
    <definedName name="OSRRefD22x_0" localSheetId="15">'203'!$D$20:$D$29,'203'!$D$31:$D$35,'203'!$D$37,'203'!$D$39,'203'!$D$41,'203'!$D$43,'203'!$D$45,'203'!$D$47,'203'!$D$49,'203'!$D$51:$D$53,'203'!$D$55:$D$56,'203'!$D$58:$D$59,'203'!$D$61:$D$63,'203'!$D$65,'203'!$D$67,'203'!$D$69</definedName>
    <definedName name="OSRRefD22x_0" localSheetId="16">'204'!$D$20:$D$29,'204'!$D$31:$D$36,'204'!$D$38,'204'!$D$40:$D$41,'204'!$D$43,'204'!$D$45,'204'!$D$47:$D$50,'204'!$D$52:$D$53,'204'!$D$55:$D$56,'204'!$D$58,'204'!$D$60:$D$61</definedName>
    <definedName name="OSRRefD22x_0" localSheetId="17">'205'!$D$20:$D$27,'205'!$D$29,'205'!$D$31,'205'!$D$33,'205'!$D$35:$D$37,'205'!$D$39,'205'!$D$41:$D$42,'205'!$D$44,'205'!$D$46</definedName>
    <definedName name="OSRRefD22x_0" localSheetId="18">'206'!$D$20:$D$27,'206'!$D$29:$D$34,'206'!$D$36,'206'!$D$38,'206'!$D$40,'206'!$D$42,'206'!$D$44:$D$45,'206'!$D$47,'206'!$D$49</definedName>
    <definedName name="OSRRefD22x_0" localSheetId="22">'300'!$D$173:$D$181,'300'!$D$183:$D$189,'300'!$D$191,'300'!$D$193:$D$194,'300'!$D$196,'300'!$D$198:$D$199,'300'!$D$201:$D$202,'300'!$D$204,'300'!$D$206,'300'!$D$208,'300'!$D$210:$D$211,'300'!$D$213,'300'!$D$215,'300'!$D$217,'300'!$D$219,'300'!$D$221,'300'!$D$223:$D$226,'300'!$D$228:$D$230,'300'!$D$232:$D$235,'300'!$D$237:$D$238,'300'!$D$240:$D$246,'300'!$D$248:$D$249,'300'!$D$251,'300'!$D$253:$D$255,'300'!$D$257</definedName>
    <definedName name="OSRRefD22x_0" localSheetId="25">'300 &amp; 317'!$D$198:$D$206,'300 &amp; 317'!$D$208:$D$214,'300 &amp; 317'!$D$216,'300 &amp; 317'!$D$218:$D$219,'300 &amp; 317'!$D$221,'300 &amp; 317'!$D$223:$D$224,'300 &amp; 317'!$D$226:$D$227,'300 &amp; 317'!$D$229,'300 &amp; 317'!$D$231,'300 &amp; 317'!$D$233,'300 &amp; 317'!$D$235:$D$236,'300 &amp; 317'!$D$238,'300 &amp; 317'!$D$240,'300 &amp; 317'!$D$242,'300 &amp; 317'!$D$244,'300 &amp; 317'!$D$246,'300 &amp; 317'!$D$248:$D$251,'300 &amp; 317'!$D$253:$D$255,'300 &amp; 317'!$D$257:$D$260,'300 &amp; 317'!$D$262:$D$263,'300 &amp; 317'!$D$265:$D$271,'300 &amp; 317'!$D$273:$D$274,'300 &amp; 317'!$D$276,'300 &amp; 317'!$D$278:$D$280,'300 &amp; 317'!$D$282</definedName>
    <definedName name="OSRRefD22x_0" localSheetId="50">'301'!$D$21:$D$28,'301'!$D$30:$D$36,'301'!$D$38,'301'!$D$40:$D$41,'301'!$D$43,'301'!$D$45:$D$46,'301'!$D$48:$D$49,'301'!$D$51,'301'!$D$53,'301'!$D$55,'301'!$D$57,'301'!$D$59,'301'!$D$61,'301'!$D$63,'301'!$D$65:$D$68,'301'!$D$70,'301'!$D$72:$D$74,'301'!$D$76:$D$77,'301'!$D$79:$D$84,'301'!$D$86,'301'!$D$88,'301'!$D$90:$D$92,'301'!$D$94</definedName>
    <definedName name="OSRRefD22x_0" localSheetId="51">'306'!$D$20:$D$28,'306'!$D$30:$D$34,'306'!$D$36,'306'!$D$38,'306'!$D$40,'306'!$D$42,'306'!$D$44,'306'!$D$46:$D$47,'306'!$D$49:$D$53,'306'!$D$55,'306'!$D$57</definedName>
    <definedName name="OSRRefD22x_0" localSheetId="53">'307'!$D$80:$D$87,'307'!$D$89:$D$92,'307'!$D$94,'307'!$D$96,'307'!$D$98:$D$99,'307'!$D$101,'307'!$D$103,'307'!$D$105,'307'!$D$107,'307'!$D$109:$D$110,'307'!$D$112:$D$113,'307'!$D$115:$D$117,'307'!$D$119,'307'!$D$121,'307'!$D$123</definedName>
    <definedName name="OSRRefD22x_0" localSheetId="55">'308'!$D$66:$D$74,'308'!$D$76:$D$80,'308'!$D$82,'308'!$D$84:$D$85,'308'!$D$87,'308'!$D$89,'308'!$D$91:$D$92,'308'!$D$94,'308'!$D$96,'308'!$D$98:$D$100,'308'!$D$102:$D$103,'308'!$D$105:$D$108,'308'!$D$110:$D$111,'308'!$D$113,'308'!$D$115</definedName>
    <definedName name="OSRRefD22x_0" localSheetId="66">'309'!$D$24:$D$31,'309'!$D$33:$D$37,'309'!$D$39,'309'!$D$41,'309'!$D$43,'309'!$D$45,'309'!$D$47,'309'!$D$49,'309'!$D$51,'309'!$D$53:$D$54,'309'!$D$56:$D$58,'309'!$D$60,'309'!$D$62:$D$68,'309'!$D$70</definedName>
    <definedName name="OSRRefD22x_0" localSheetId="65">'310'!$D$33:$D$40,'310'!$D$42:$D$47,'310'!$D$49,'310'!$D$51,'310'!$D$53,'310'!$D$55:$D$56,'310'!$D$58,'310'!$D$60,'310'!$D$62,'310'!$D$64:$D$65,'310'!$D$67,'310'!$D$69,'310'!$D$71,'310'!$D$73,'310'!$D$75:$D$77,'310'!$D$79,'310'!$D$81:$D$84,'310'!$D$86:$D$87,'310'!$D$89:$D$96,'310'!$D$98,'310'!$D$100,'310'!$D$102,'310'!$D$104</definedName>
    <definedName name="OSRRefD22x_0" localSheetId="74">'310 &amp; 491'!$D$42:$D$50,'310 &amp; 491'!$D$52:$D$58,'310 &amp; 491'!$D$60,'310 &amp; 491'!$D$62,'310 &amp; 491'!$D$64,'310 &amp; 491'!$D$66:$D$68,'310 &amp; 491'!$D$70,'310 &amp; 491'!$D$72,'310 &amp; 491'!$D$74,'310 &amp; 491'!$D$76,'310 &amp; 491'!$D$78:$D$79,'310 &amp; 491'!$D$81:$D$82,'310 &amp; 491'!$D$84,'310 &amp; 491'!$D$86,'310 &amp; 491'!$D$88,'310 &amp; 491'!$D$90,'310 &amp; 491'!$D$92:$D$95,'310 &amp; 491'!$D$97:$D$98,'310 &amp; 491'!$D$100:$D$104,'310 &amp; 491'!$D$106:$D$107,'310 &amp; 491'!$D$109:$D$117,'310 &amp; 491'!$D$119,'310 &amp; 491'!$D$121,'310 &amp; 491'!$D$123:$D$125,'310 &amp; 491'!$D$127</definedName>
    <definedName name="OSRRefD22x_0" localSheetId="56">'311'!$D$65:$D$73,'311'!$D$75:$D$79,'311'!$D$81,'311'!$D$83:$D$84,'311'!$D$86,'311'!$D$88,'311'!$D$90:$D$91,'311'!$D$93,'311'!$D$95,'311'!$D$97:$D$99,'311'!$D$101:$D$102,'311'!$D$104:$D$107,'311'!$D$109:$D$110,'311'!$D$112,'311'!$D$114</definedName>
    <definedName name="OSRRefD22x_0" localSheetId="67">'313'!$D$30:$D$37,'313'!$D$39:$D$44,'313'!$D$46,'313'!$D$48,'313'!$D$50,'313'!$D$52,'313'!$D$54,'313'!$D$56:$D$57,'313'!$D$59,'313'!$D$61:$D$63,'313'!$D$65:$D$66,'313'!$D$68:$D$69,'313'!$D$71:$D$76,'313'!$D$78,'313'!$D$80</definedName>
    <definedName name="OSRRefD22x_0" localSheetId="54">'314'!$D$56:$D$64,'314'!$D$66:$D$69,'314'!$D$71,'314'!$D$73:$D$74,'314'!$D$76,'314'!$D$78,'314'!$D$80,'314'!$D$82:$D$84,'314'!$D$86,'314'!$D$88,'314'!$D$90</definedName>
    <definedName name="OSRRefD22x_0" localSheetId="59">'315'!$D$57:$D$64,'315'!$D$66:$D$71,'315'!$D$73,'315'!$D$75:$D$76,'315'!$D$78,'315'!$D$80:$D$81,'315'!$D$83,'315'!$D$85,'315'!$D$87,'315'!$D$89:$D$91,'315'!$D$93:$D$94,'315'!$D$96:$D$97,'315'!$D$99:$D$103,'315'!$D$105,'315'!$D$107,'315'!$D$109:$D$110</definedName>
    <definedName name="OSRRefD22x_0" localSheetId="61">'316'!$D$35:$D$42,'316'!$D$44:$D$47,'316'!$D$49,'316'!$D$51,'316'!$D$53,'316'!$D$55,'316'!$D$57,'316'!$D$59,'316'!$D$61:$D$62,'316'!$D$64,'316'!$D$66:$D$70,'316'!$D$72,'316'!$D$74</definedName>
    <definedName name="OSRRefD22x_0" localSheetId="64">'317'!$D$58:$D$66,'317'!$D$68:$D$72,'317'!$D$74,'317'!$D$76,'317'!$D$78,'317'!$D$80,'317'!$D$82,'317'!$D$84:$D$85,'317'!$D$87,'317'!$D$89,'317'!$D$91,'317'!$D$93,'317'!$D$95:$D$96,'317'!$D$98,'317'!$D$100,'317'!$D$102:$D$103</definedName>
    <definedName name="OSRRefD22x_0" localSheetId="62">'320'!$D$31:$D$38,'320'!$D$40:$D$45,'320'!$D$47,'320'!$D$49,'320'!$D$51:$D$52,'320'!$D$54,'320'!$D$56,'320'!$D$58:$D$59,'320'!$D$61</definedName>
    <definedName name="OSRRefD22x_0" localSheetId="68">'321'!$D$24:$D$30,'321'!$D$32:$D$36,'321'!$D$38,'321'!$D$40,'321'!$D$42,'321'!$D$44,'321'!$D$46,'321'!$D$48:$D$50,'321'!$D$52,'321'!$D$54:$D$56,'321'!$D$58:$D$63,'321'!$D$65,'321'!$D$67,'321'!$D$69</definedName>
    <definedName name="OSRRefD22x_0" localSheetId="69">'322'!$D$24:$D$31,'322'!$D$33:$D$37,'322'!$D$39,'322'!$D$41,'322'!$D$43,'322'!$D$45,'322'!$D$47,'322'!$D$49,'322'!$D$51,'322'!$D$53,'322'!$D$55:$D$56,'322'!$D$58:$D$60,'322'!$D$62,'322'!$D$64:$D$70,'322'!$D$72,'322'!$D$74,'322'!$D$76</definedName>
    <definedName name="OSRRefD22x_0" localSheetId="57">'324'!$D$25</definedName>
    <definedName name="OSRRefD22x_0" localSheetId="70">'325'!$D$24:$D$31,'325'!$D$33:$D$38,'325'!$D$40,'325'!$D$42,'325'!$D$44,'325'!$D$46:$D$47,'325'!$D$49,'325'!$D$51,'325'!$D$53,'325'!$D$55,'325'!$D$57,'325'!$D$59:$D$61,'325'!$D$63:$D$66,'325'!$D$68:$D$69,'325'!$D$71:$D$76,'325'!$D$78,'325'!$D$80,'325'!$D$82</definedName>
    <definedName name="OSRRefD22x_0" localSheetId="71">'326'!$D$62:$D$69,'326'!$D$71:$D$74,'326'!$D$76,'326'!$D$78,'326'!$D$80,'326'!$D$82,'326'!$D$84,'326'!$D$86,'326'!$D$88,'326'!$D$90,'326'!$D$92,'326'!$D$94,'326'!$D$96,'326'!$D$98:$D$99,'326'!$D$101:$D$103,'326'!$D$105:$D$106,'326'!$D$108:$D$112,'326'!$D$114,'326'!$D$116,'326'!$D$118,'326'!$D$120</definedName>
    <definedName name="OSRRefD22x_0" localSheetId="72">'327'!$D$22,'327'!$D$24,'327'!$D$26</definedName>
    <definedName name="OSRRefD22x_0" localSheetId="52">'330'!$D$87:$D$95,'330'!$D$97:$D$101,'330'!$D$103,'330'!$D$105,'330'!$D$107:$D$108,'330'!$D$110,'330'!$D$112,'330'!$D$114,'330'!$D$116,'330'!$D$118,'330'!$D$120,'330'!$D$122:$D$123,'330'!$D$125:$D$126,'330'!$D$128,'330'!$D$130:$D$132,'330'!$D$134,'330'!$D$136,'330'!$D$138</definedName>
    <definedName name="OSRRefD22x_0" localSheetId="58">'331'!$D$76:$D$83,'331'!$D$85:$D$90,'331'!$D$92,'331'!$D$94,'331'!$D$96,'331'!$D$98:$D$99,'331'!$D$101,'331'!$D$103,'331'!$D$105:$D$106,'331'!$D$108,'331'!$D$110,'331'!$D$112,'331'!$D$114,'331'!$D$116,'331'!$D$118:$D$120,'331'!$D$122:$D$123,'331'!$D$125:$D$127,'331'!$D$129:$D$130,'331'!$D$132:$D$137,'331'!$D$139,'331'!$D$141,'331'!$D$143:$D$144,'331'!$D$146</definedName>
    <definedName name="OSRRefD22x_0" localSheetId="60">'332'!$D$46:$D$53,'332'!$D$55:$D$60,'332'!$D$62,'332'!$D$64,'332'!$D$66,'332'!$D$68,'332'!$D$70:$D$71,'332'!$D$73,'332'!$D$75,'332'!$D$77:$D$78,'332'!$D$80,'332'!$D$82:$D$86,'332'!$D$88,'332'!$D$90</definedName>
    <definedName name="OSRRefD22x_0" localSheetId="76">'405'!$D$24:$D$31,'405'!$D$33:$D$37,'405'!$D$39,'405'!$D$41,'405'!$D$43,'405'!$D$45:$D$46,'405'!$D$48,'405'!$D$50,'405'!$D$52,'405'!$D$54,'405'!$D$56:$D$57,'405'!$D$59,'405'!$D$61:$D$63,'405'!$D$65:$D$66,'405'!$D$68:$D$74,'405'!$D$76,'405'!$D$78,'405'!$D$80,'405'!$D$82</definedName>
    <definedName name="OSRRefD22x_0" localSheetId="77">'406'!$D$24:$D$31,'406'!$D$33:$D$38,'406'!$D$40,'406'!$D$42,'406'!$D$44,'406'!$D$46,'406'!$D$48,'406'!$D$50,'406'!$D$52,'406'!$D$54:$D$56,'406'!$D$58:$D$59,'406'!$D$61:$D$66,'406'!$D$68,'406'!$D$70,'406'!$D$72:$D$73</definedName>
    <definedName name="OSRRefD22x_0" localSheetId="78">'411'!$D$20:$D$28,'411'!$D$30:$D$35,'411'!$D$37,'411'!$D$39,'411'!$D$41:$D$43,'411'!$D$45,'411'!$D$47,'411'!$D$49,'411'!$D$51,'411'!$D$53,'411'!$D$55,'411'!$D$57,'411'!$D$59:$D$62,'411'!$D$64:$D$68,'411'!$D$70:$D$71,'411'!$D$73:$D$80,'411'!$D$82,'411'!$D$84,'411'!$D$86:$D$88,'411'!$D$90</definedName>
    <definedName name="OSRRefD22x_0" localSheetId="79">'412'!$D$25:$D$32,'412'!$D$34:$D$39,'412'!$D$41,'412'!$D$43,'412'!$D$45,'412'!$D$47,'412'!$D$49,'412'!$D$51,'412'!$D$53,'412'!$D$55:$D$57,'412'!$D$59,'412'!$D$61:$D$63,'412'!$D$65:$D$72,'412'!$D$74,'412'!$D$76</definedName>
    <definedName name="OSRRefD22x_0" localSheetId="81">'413'!$D$24:$D$31,'413'!$D$33:$D$38,'413'!$D$40,'413'!$D$42,'413'!$D$44,'413'!$D$46,'413'!$D$48,'413'!$D$50:$D$52,'413'!$D$54:$D$55,'413'!$D$57:$D$62,'413'!$D$64,'413'!$D$66,'413'!$D$68</definedName>
    <definedName name="OSRRefD22x_0" localSheetId="82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3">'415'!$D$24:$D$31,'415'!$D$33:$D$38,'415'!$D$40,'415'!$D$42,'415'!$D$44,'415'!$D$46:$D$47,'415'!$D$49,'415'!$D$51,'415'!$D$53,'415'!$D$55,'415'!$D$57,'415'!$D$59:$D$62,'415'!$D$64:$D$68,'415'!$D$70:$D$71,'415'!$D$73:$D$80,'415'!$D$82,'415'!$D$84,'415'!$D$86,'415'!$D$88</definedName>
    <definedName name="OSRRefD22x_0" localSheetId="84">'418'!$D$24:$D$31,'418'!$D$33:$D$38,'418'!$D$40,'418'!$D$42,'418'!$D$44,'418'!$D$46:$D$47,'418'!$D$49,'418'!$D$51,'418'!$D$53,'418'!$D$55,'418'!$D$57:$D$58,'418'!$D$60:$D$62,'418'!$D$64:$D$66,'418'!$D$68:$D$69,'418'!$D$71:$D$78,'418'!$D$80,'418'!$D$82</definedName>
    <definedName name="OSRRefD22x_0" localSheetId="80">'420'!$D$24:$D$31,'420'!$D$33:$D$36,'420'!$D$38,'420'!$D$40,'420'!$D$42,'420'!$D$44,'420'!$D$46:$D$47,'420'!$D$49</definedName>
    <definedName name="OSRRefD22x_0" localSheetId="85">'423'!$D$21:$D$28,'423'!$D$30:$D$31,'423'!$D$33,'423'!$D$35,'423'!$D$37,'423'!$D$39,'423'!$D$41</definedName>
    <definedName name="OSRRefD22x_0" localSheetId="86">'424'!$D$26:$D$28,'424'!$D$30:$D$34,'424'!$D$36,'424'!$D$38,'424'!$D$40,'424'!$D$42,'424'!$D$44,'424'!$D$46,'424'!$D$48,'424'!$D$50:$D$51,'424'!$D$53,'424'!$D$55,'424'!$D$57:$D$62,'424'!$D$64</definedName>
    <definedName name="OSRRefD22x_0" localSheetId="87">'425'!$D$27:$D$35,'425'!$D$37:$D$42,'425'!$D$44,'425'!$D$46,'425'!$D$48,'425'!$D$50,'425'!$D$52,'425'!$D$54,'425'!$D$56,'425'!$D$58:$D$60,'425'!$D$62,'425'!$D$64:$D$66,'425'!$D$68:$D$74,'425'!$D$76,'425'!$D$78,'425'!$D$80</definedName>
    <definedName name="OSRRefD22x_0" localSheetId="90">'430'!$D$20:$D$27,'430'!$D$29,'430'!$D$31,'430'!$D$33,'430'!$D$35,'430'!$D$37,'430'!$D$39:$D$40,'430'!$D$42,'430'!$D$44,'430'!$D$46</definedName>
    <definedName name="OSRRefD22x_0" localSheetId="91">'433'!$D$26:$D$34,'433'!$D$36:$D$41,'433'!$D$43,'433'!$D$45,'433'!$D$47,'433'!$D$49,'433'!$D$51,'433'!$D$53,'433'!$D$55,'433'!$D$57,'433'!$D$59:$D$61,'433'!$D$63:$D$65,'433'!$D$67:$D$73,'433'!$D$75,'433'!$D$77,'433'!$D$79:$D$80</definedName>
    <definedName name="OSRRefD22x_0" localSheetId="92">'435'!$D$25:$D$27,'435'!$D$29:$D$31,'435'!$D$33,'435'!$D$35,'435'!$D$37,'435'!$D$39,'435'!$D$41,'435'!$D$43,'435'!$D$45:$D$48,'435'!$D$50</definedName>
    <definedName name="OSRRefD22x_0" localSheetId="93">'444'!$D$25:$D$33,'444'!$D$35:$D$40,'444'!$D$42,'444'!$D$44,'444'!$D$46,'444'!$D$48,'444'!$D$50,'444'!$D$52,'444'!$D$54,'444'!$D$56,'444'!$D$58,'444'!$D$60:$D$62,'444'!$D$64:$D$66,'444'!$D$68:$D$75,'444'!$D$77,'444'!$D$79,'444'!$D$81</definedName>
    <definedName name="OSRRefD22x_0" localSheetId="94">'445'!$D$20</definedName>
    <definedName name="OSRRefD22x_0" localSheetId="95">'450'!$D$25:$D$33,'450'!$D$35:$D$40,'450'!$D$42,'450'!$D$44,'450'!$D$46,'450'!$D$48,'450'!$D$50,'450'!$D$52,'450'!$D$54,'450'!$D$56,'450'!$D$58,'450'!$D$60,'450'!$D$62:$D$64,'450'!$D$66:$D$68,'450'!$D$70:$D$76,'450'!$D$78,'450'!$D$80,'450'!$D$82:$D$83</definedName>
    <definedName name="OSRRefD22x_0" localSheetId="88">'455'!$D$20:$D$26,'455'!$D$28:$D$29,'455'!$D$31</definedName>
    <definedName name="OSRRefD22x_0" localSheetId="75">'491'!$D$34:$D$42,'491'!$D$44:$D$50,'491'!$D$52,'491'!$D$54,'491'!$D$56,'491'!$D$58:$D$60,'491'!$D$62,'491'!$D$64,'491'!$D$66,'491'!$D$68,'491'!$D$70,'491'!$D$72:$D$73,'491'!$D$75,'491'!$D$77,'491'!$D$79,'491'!$D$81,'491'!$D$83:$D$86,'491'!$D$88:$D$89,'491'!$D$91:$D$95,'491'!$D$97:$D$98,'491'!$D$100:$D$108,'491'!$D$110,'491'!$D$112,'491'!$D$114:$D$116,'491'!$D$118</definedName>
    <definedName name="OSRRefD22x_0" localSheetId="89">'492'!$D$28:$D$36,'492'!$D$38:$D$44,'492'!$D$46,'492'!$D$48,'492'!$D$50,'492'!$D$52,'492'!$D$54,'492'!$D$56,'492'!$D$58,'492'!$D$60,'492'!$D$62,'492'!$D$64,'492'!$D$66,'492'!$D$68:$D$70,'492'!$D$72:$D$74,'492'!$D$76:$D$83,'492'!$D$85,'492'!$D$87,'492'!$D$89:$D$90</definedName>
    <definedName name="OSRRefD22x_0" localSheetId="97">'501'!$D$21:$D$28,'501'!$D$30:$D$35,'501'!$D$37,'501'!$D$39,'501'!$D$41,'501'!$D$43:$D$44,'501'!$D$46,'501'!$D$48,'501'!$D$50,'501'!$D$52,'501'!$D$54:$D$56,'501'!$D$58,'501'!$D$60:$D$63,'501'!$D$65,'501'!$D$67</definedName>
    <definedName name="OSRRefD22x_0" localSheetId="9">'Div 2'!$D$20:$D$30,'Div 2'!$D$32:$D$38,'Div 2'!$D$40,'Div 2'!$D$42,'Div 2'!$D$44,'Div 2'!$D$46:$D$47,'Div 2'!$D$49,'Div 2'!$D$51,'Div 2'!$D$53,'Div 2'!$D$55,'Div 2'!$D$57,'Div 2'!$D$59,'Div 2'!$D$61:$D$64,'Div 2'!$D$66:$D$69,'Div 2'!$D$71:$D$72,'Div 2'!$D$74:$D$75,'Div 2'!$D$77:$D$81,'Div 2'!$D$83:$D$84,'Div 2'!$D$86,'Div 2'!$D$88:$D$89</definedName>
    <definedName name="OSRRefD22x_0" localSheetId="19">'Div 3'!$D$178:$D$186,'Div 3'!$D$188:$D$194,'Div 3'!$D$196,'Div 3'!$D$198:$D$199,'Div 3'!$D$201,'Div 3'!$D$203:$D$204,'Div 3'!$D$206:$D$207,'Div 3'!$D$209,'Div 3'!$D$211,'Div 3'!$D$213,'Div 3'!$D$215:$D$216,'Div 3'!$D$218,'Div 3'!$D$220,'Div 3'!$D$222,'Div 3'!$D$224,'Div 3'!$D$226,'Div 3'!$D$228,'Div 3'!$D$230:$D$233,'Div 3'!$D$235:$D$237,'Div 3'!$D$239:$D$243,'Div 3'!$D$245:$D$246,'Div 3'!$D$248:$D$255,'Div 3'!$D$257:$D$258,'Div 3'!$D$260,'Div 3'!$D$262:$D$264,'Div 3'!$D$266</definedName>
    <definedName name="OSRRefD22x_0" localSheetId="73">'Div 4'!$D$35:$D$43,'Div 4'!$D$45:$D$51,'Div 4'!$D$53,'Div 4'!$D$55,'Div 4'!$D$57,'Div 4'!$D$59:$D$61,'Div 4'!$D$63,'Div 4'!$D$65,'Div 4'!$D$67,'Div 4'!$D$69,'Div 4'!$D$71,'Div 4'!$D$73:$D$74,'Div 4'!$D$76,'Div 4'!$D$78,'Div 4'!$D$80,'Div 4'!$D$82,'Div 4'!$D$84,'Div 4'!$D$86:$D$89,'Div 4'!$D$91:$D$92,'Div 4'!$D$94:$D$98,'Div 4'!$D$100:$D$101,'Div 4'!$D$103:$D$111,'Div 4'!$D$113,'Div 4'!$D$115,'Div 4'!$D$117:$D$119,'Div 4'!$D$121</definedName>
    <definedName name="OSRRefD22x_0" localSheetId="96">'Div 5'!$D$21:$D$28,'Div 5'!$D$30:$D$35,'Div 5'!$D$37,'Div 5'!$D$39,'Div 5'!$D$41,'Div 5'!$D$43:$D$44,'Div 5'!$D$46,'Div 5'!$D$48,'Div 5'!$D$50,'Div 5'!$D$52,'Div 5'!$D$54:$D$56,'Div 5'!$D$58,'Div 5'!$D$60:$D$63,'Div 5'!$D$65,'Div 5'!$D$67</definedName>
    <definedName name="OSRRefD22x_0" localSheetId="63">'Div 6'!$D$58:$D$66,'Div 6'!$D$68:$D$72,'Div 6'!$D$74,'Div 6'!$D$76,'Div 6'!$D$78,'Div 6'!$D$80,'Div 6'!$D$82,'Div 6'!$D$84:$D$85,'Div 6'!$D$87,'Div 6'!$D$89,'Div 6'!$D$91,'Div 6'!$D$93,'Div 6'!$D$95:$D$96,'Div 6'!$D$98,'Div 6'!$D$100,'Div 6'!$D$102:$D$103</definedName>
    <definedName name="OSRRefD22x_0" localSheetId="2">Summary!$D$213:$D$221,Summary!$D$223:$D$229,Summary!$D$231,Summary!$D$233:$D$234,Summary!$D$236,Summary!$D$238:$D$240,Summary!$D$242:$D$243,Summary!$D$245,Summary!$D$247,Summary!$D$249,Summary!$D$251:$D$252,Summary!$D$254:$D$255,Summary!$D$257,Summary!$D$259,Summary!$D$261,Summary!$D$263,Summary!$D$265,Summary!$D$267,Summary!$D$269:$D$272,Summary!$D$274:$D$276,Summary!$D$278:$D$282,Summary!$D$284:$D$285,Summary!$D$287:$D$295,Summary!$D$297:$D$298,Summary!$D$300,Summary!$D$302:$D$304,Summary!$D$306</definedName>
    <definedName name="OSRRefD25x_0" localSheetId="22">'300'!$D$260:$D$268</definedName>
    <definedName name="OSRRefD25x_0" localSheetId="25">'300 &amp; 317'!$D$285:$D$296</definedName>
    <definedName name="OSRRefD25x_0" localSheetId="50">'301'!$D$97:$D$99</definedName>
    <definedName name="OSRRefD25x_0" localSheetId="53">'307'!$D$126</definedName>
    <definedName name="OSRRefD25x_0" localSheetId="55">'308'!$D$118:$D$120</definedName>
    <definedName name="OSRRefD25x_0" localSheetId="74">'310 &amp; 491'!$D$130:$D$132</definedName>
    <definedName name="OSRRefD25x_0" localSheetId="56">'311'!$D$117:$D$119</definedName>
    <definedName name="OSRRefD25x_0" localSheetId="59">'315'!$D$113</definedName>
    <definedName name="OSRRefD25x_0" localSheetId="61">'316'!$D$77</definedName>
    <definedName name="OSRRefD25x_0" localSheetId="64">'317'!$D$106:$D$109</definedName>
    <definedName name="OSRRefD25x_0" localSheetId="62">'320'!$D$64:$D$68</definedName>
    <definedName name="OSRRefD25x_0" localSheetId="52">'330'!$D$141</definedName>
    <definedName name="OSRRefD25x_0" localSheetId="58">'331'!$D$149</definedName>
    <definedName name="OSRRefD25x_0" localSheetId="60">'332'!$D$93:$D$98</definedName>
    <definedName name="OSRRefD25x_0" localSheetId="78">'411'!$D$93:$D$94</definedName>
    <definedName name="OSRRefD25x_0" localSheetId="81">'413'!$D$71</definedName>
    <definedName name="OSRRefD25x_0" localSheetId="83">'415'!$D$91</definedName>
    <definedName name="OSRRefD25x_0" localSheetId="84">'418'!$D$85</definedName>
    <definedName name="OSRRefD25x_0" localSheetId="85">'423'!$D$44</definedName>
    <definedName name="OSRRefD25x_0" localSheetId="86">'424'!$D$67</definedName>
    <definedName name="OSRRefD25x_0" localSheetId="87">'425'!$D$83</definedName>
    <definedName name="OSRRefD25x_0" localSheetId="88">'455'!$D$34:$D$35</definedName>
    <definedName name="OSRRefD25x_0" localSheetId="75">'491'!$D$121:$D$123</definedName>
    <definedName name="OSRRefD25x_0" localSheetId="97">'501'!$D$70:$D$71</definedName>
    <definedName name="OSRRefD25x_0" localSheetId="19">'Div 3'!$D$269:$D$277</definedName>
    <definedName name="OSRRefD25x_0" localSheetId="73">'Div 4'!$D$124:$D$126</definedName>
    <definedName name="OSRRefD25x_0" localSheetId="96">'Div 5'!$D$70:$D$71</definedName>
    <definedName name="OSRRefD25x_0" localSheetId="63">'Div 6'!$D$106:$D$109</definedName>
    <definedName name="OSRRefD25x_0" localSheetId="2">Summary!$D$309:$D$321</definedName>
    <definedName name="OSRRefH13x_0" localSheetId="22">'300'!$H$13:$H$114</definedName>
    <definedName name="OSRRefH13x_0" localSheetId="25">'300 &amp; 317'!$H$13:$H$132</definedName>
    <definedName name="OSRRefH13x_0" localSheetId="53">'307'!$H$13:$H$51</definedName>
    <definedName name="OSRRefH13x_0" localSheetId="55">'308'!$H$13:$H$42</definedName>
    <definedName name="OSRRefH13x_0" localSheetId="66">'309'!$H$13:$H$14</definedName>
    <definedName name="OSRRefH13x_0" localSheetId="65">'310'!$H$13:$H$23</definedName>
    <definedName name="OSRRefH13x_0" localSheetId="74">'310 &amp; 491'!$H$13:$H$32</definedName>
    <definedName name="OSRRefH13x_0" localSheetId="56">'311'!$H$13:$H$41</definedName>
    <definedName name="OSRRefH13x_0" localSheetId="67">'313'!$H$13:$H$20</definedName>
    <definedName name="OSRRefH13x_0" localSheetId="54">'314'!$H$13:$H$33</definedName>
    <definedName name="OSRRefH13x_0" localSheetId="59">'315'!$H$13:$H$33</definedName>
    <definedName name="OSRRefH13x_0" localSheetId="61">'316'!$H$13:$H$27</definedName>
    <definedName name="OSRRefH13x_0" localSheetId="64">'317'!$H$13:$H$36</definedName>
    <definedName name="OSRRefH13x_0" localSheetId="62">'320'!$H$13:$H$18</definedName>
    <definedName name="OSRRefH13x_0" localSheetId="68">'321'!$H$13:$H$14</definedName>
    <definedName name="OSRRefH13x_0" localSheetId="69">'322'!$H$13:$H$14</definedName>
    <definedName name="OSRRefH13x_0" localSheetId="57">'324'!$H$13:$H$15</definedName>
    <definedName name="OSRRefH13x_0" localSheetId="70">'325'!$H$13:$H$14</definedName>
    <definedName name="OSRRefH13x_0" localSheetId="71">'326'!$H$13:$H$36</definedName>
    <definedName name="OSRRefH13x_0" localSheetId="72">'327'!$H$13</definedName>
    <definedName name="OSRRefH13x_0" localSheetId="52">'330'!$H$13:$H$55</definedName>
    <definedName name="OSRRefH13x_0" localSheetId="58">'331'!$H$13:$H$44</definedName>
    <definedName name="OSRRefH13x_0" localSheetId="60">'332'!$H$13:$H$33</definedName>
    <definedName name="OSRRefH13x_0" localSheetId="76">'405'!$H$13:$H$14</definedName>
    <definedName name="OSRRefH13x_0" localSheetId="77">'406'!$H$13:$H$14</definedName>
    <definedName name="OSRRefH13x_0" localSheetId="79">'412'!$H$13:$H$15</definedName>
    <definedName name="OSRRefH13x_0" localSheetId="81">'413'!$H$13:$H$14</definedName>
    <definedName name="OSRRefH13x_0" localSheetId="82">'414'!$H$13:$H$14</definedName>
    <definedName name="OSRRefH13x_0" localSheetId="83">'415'!$H$13:$H$14</definedName>
    <definedName name="OSRRefH13x_0" localSheetId="84">'418'!$H$13:$H$14</definedName>
    <definedName name="OSRRefH13x_0" localSheetId="80">'420'!$H$13:$H$14</definedName>
    <definedName name="OSRRefH13x_0" localSheetId="86">'424'!$H$13:$H$16</definedName>
    <definedName name="OSRRefH13x_0" localSheetId="87">'425'!$H$13:$H$17</definedName>
    <definedName name="OSRRefH13x_0" localSheetId="91">'433'!$H$13:$H$16</definedName>
    <definedName name="OSRRefH13x_0" localSheetId="92">'435'!$H$13:$H$15</definedName>
    <definedName name="OSRRefH13x_0" localSheetId="93">'444'!$H$13:$H$15</definedName>
    <definedName name="OSRRefH13x_0" localSheetId="95">'450'!$H$13:$H$15</definedName>
    <definedName name="OSRRefH13x_0" localSheetId="75">'491'!$H$13:$H$24</definedName>
    <definedName name="OSRRefH13x_0" localSheetId="89">'492'!$H$13:$H$18</definedName>
    <definedName name="OSRRefH13x_0" localSheetId="97">'501'!$H$13</definedName>
    <definedName name="OSRRefH13x_0" localSheetId="19">'Div 3'!$H$13:$H$117</definedName>
    <definedName name="OSRRefH13x_0" localSheetId="73">'Div 4'!$H$13:$H$25</definedName>
    <definedName name="OSRRefH13x_0" localSheetId="96">'Div 5'!$H$13</definedName>
    <definedName name="OSRRefH13x_0" localSheetId="63">'Div 6'!$H$13:$H$36</definedName>
    <definedName name="OSRRefH13x_0" localSheetId="2">Summary!$H$13:$H$145</definedName>
    <definedName name="OSRRefH16x_0" localSheetId="22">'300'!$H$117:$H$167</definedName>
    <definedName name="OSRRefH16x_0" localSheetId="25">'300 &amp; 317'!$H$135:$H$192</definedName>
    <definedName name="OSRRefH16x_0" localSheetId="50">'301'!$H$15</definedName>
    <definedName name="OSRRefH16x_0" localSheetId="53">'307'!$H$54:$H$74</definedName>
    <definedName name="OSRRefH16x_0" localSheetId="55">'308'!$H$45:$H$60</definedName>
    <definedName name="OSRRefH16x_0" localSheetId="66">'309'!$H$17:$H$18</definedName>
    <definedName name="OSRRefH16x_0" localSheetId="65">'310'!$H$26:$H$27</definedName>
    <definedName name="OSRRefH16x_0" localSheetId="74">'310 &amp; 491'!$H$35:$H$36</definedName>
    <definedName name="OSRRefH16x_0" localSheetId="56">'311'!$H$44:$H$59</definedName>
    <definedName name="OSRRefH16x_0" localSheetId="67">'313'!$H$23:$H$24</definedName>
    <definedName name="OSRRefH16x_0" localSheetId="54">'314'!$H$36:$H$50</definedName>
    <definedName name="OSRRefH16x_0" localSheetId="59">'315'!$H$36:$H$51</definedName>
    <definedName name="OSRRefH16x_0" localSheetId="64">'317'!$H$39:$H$52</definedName>
    <definedName name="OSRRefH16x_0" localSheetId="62">'320'!$H$21:$H$25</definedName>
    <definedName name="OSRRefH16x_0" localSheetId="68">'321'!$H$17:$H$18</definedName>
    <definedName name="OSRRefH16x_0" localSheetId="69">'322'!$H$17:$H$18</definedName>
    <definedName name="OSRRefH16x_0" localSheetId="57">'324'!$H$18:$H$19</definedName>
    <definedName name="OSRRefH16x_0" localSheetId="70">'325'!$H$17:$H$18</definedName>
    <definedName name="OSRRefH16x_0" localSheetId="71">'326'!$H$39:$H$56</definedName>
    <definedName name="OSRRefH16x_0" localSheetId="72">'327'!$H$16</definedName>
    <definedName name="OSRRefH16x_0" localSheetId="52">'330'!$H$58:$H$81</definedName>
    <definedName name="OSRRefH16x_0" localSheetId="58">'331'!$H$47:$H$70</definedName>
    <definedName name="OSRRefH16x_0" localSheetId="60">'332'!$H$36:$H$40</definedName>
    <definedName name="OSRRefH16x_0" localSheetId="76">'405'!$H$17:$H$18</definedName>
    <definedName name="OSRRefH16x_0" localSheetId="77">'406'!$H$17:$H$18</definedName>
    <definedName name="OSRRefH16x_0" localSheetId="79">'412'!$H$18:$H$19</definedName>
    <definedName name="OSRRefH16x_0" localSheetId="81">'413'!$H$17:$H$18</definedName>
    <definedName name="OSRRefH16x_0" localSheetId="82">'414'!$H$17:$H$18</definedName>
    <definedName name="OSRRefH16x_0" localSheetId="83">'415'!$H$17:$H$18</definedName>
    <definedName name="OSRRefH16x_0" localSheetId="84">'418'!$H$17:$H$18</definedName>
    <definedName name="OSRRefH16x_0" localSheetId="80">'420'!$H$17:$H$18</definedName>
    <definedName name="OSRRefH16x_0" localSheetId="85">'423'!$H$15</definedName>
    <definedName name="OSRRefH16x_0" localSheetId="86">'424'!$H$19:$H$20</definedName>
    <definedName name="OSRRefH16x_0" localSheetId="87">'425'!$H$20:$H$21</definedName>
    <definedName name="OSRRefH16x_0" localSheetId="91">'433'!$H$19:$H$20</definedName>
    <definedName name="OSRRefH16x_0" localSheetId="92">'435'!$H$18:$H$19</definedName>
    <definedName name="OSRRefH16x_0" localSheetId="93">'444'!$H$18:$H$19</definedName>
    <definedName name="OSRRefH16x_0" localSheetId="95">'450'!$H$18:$H$19</definedName>
    <definedName name="OSRRefH16x_0" localSheetId="75">'491'!$H$27:$H$28</definedName>
    <definedName name="OSRRefH16x_0" localSheetId="89">'492'!$H$21:$H$22</definedName>
    <definedName name="OSRRefH16x_0" localSheetId="19">'Div 3'!$H$120:$H$172</definedName>
    <definedName name="OSRRefH16x_0" localSheetId="73">'Div 4'!$H$28:$H$29</definedName>
    <definedName name="OSRRefH16x_0" localSheetId="63">'Div 6'!$H$39:$H$52</definedName>
    <definedName name="OSRRefH16x_0" localSheetId="2">Summary!$H$148:$H$207</definedName>
    <definedName name="OSRRefH22_0x_0" localSheetId="12">'200'!$H$20</definedName>
    <definedName name="OSRRefH22_0x_0" localSheetId="13">'201'!$H$20:$H$28</definedName>
    <definedName name="OSRRefH22_0x_0" localSheetId="14">'202'!$H$20:$H$27</definedName>
    <definedName name="OSRRefH22_0x_0" localSheetId="15">'203'!$H$20:$H$29</definedName>
    <definedName name="OSRRefH22_0x_0" localSheetId="16">'204'!$H$20:$H$29</definedName>
    <definedName name="OSRRefH22_0x_0" localSheetId="17">'205'!$H$20:$H$27</definedName>
    <definedName name="OSRRefH22_0x_0" localSheetId="18">'206'!$H$20:$H$27</definedName>
    <definedName name="OSRRefH22_0x_0" localSheetId="22">'300'!$H$173:$H$181</definedName>
    <definedName name="OSRRefH22_0x_0" localSheetId="25">'300 &amp; 317'!$H$198:$H$206</definedName>
    <definedName name="OSRRefH22_0x_0" localSheetId="50">'301'!$H$21:$H$28</definedName>
    <definedName name="OSRRefH22_0x_0" localSheetId="51">'306'!$H$20:$H$28</definedName>
    <definedName name="OSRRefH22_0x_0" localSheetId="53">'307'!$H$80:$H$87</definedName>
    <definedName name="OSRRefH22_0x_0" localSheetId="55">'308'!$H$66:$H$74</definedName>
    <definedName name="OSRRefH22_0x_0" localSheetId="66">'309'!$H$24:$H$31</definedName>
    <definedName name="OSRRefH22_0x_0" localSheetId="65">'310'!$H$33:$H$40</definedName>
    <definedName name="OSRRefH22_0x_0" localSheetId="74">'310 &amp; 491'!$H$42:$H$50</definedName>
    <definedName name="OSRRefH22_0x_0" localSheetId="56">'311'!$H$65:$H$73</definedName>
    <definedName name="OSRRefH22_0x_0" localSheetId="67">'313'!$H$30:$H$37</definedName>
    <definedName name="OSRRefH22_0x_0" localSheetId="54">'314'!$H$56:$H$64</definedName>
    <definedName name="OSRRefH22_0x_0" localSheetId="59">'315'!$H$57:$H$64</definedName>
    <definedName name="OSRRefH22_0x_0" localSheetId="61">'316'!$H$35:$H$42</definedName>
    <definedName name="OSRRefH22_0x_0" localSheetId="64">'317'!$H$58:$H$66</definedName>
    <definedName name="OSRRefH22_0x_0" localSheetId="62">'320'!$H$31:$H$38</definedName>
    <definedName name="OSRRefH22_0x_0" localSheetId="68">'321'!$H$24:$H$30</definedName>
    <definedName name="OSRRefH22_0x_0" localSheetId="69">'322'!$H$24:$H$31</definedName>
    <definedName name="OSRRefH22_0x_0" localSheetId="57">'324'!$H$25</definedName>
    <definedName name="OSRRefH22_0x_0" localSheetId="70">'325'!$H$24:$H$31</definedName>
    <definedName name="OSRRefH22_0x_0" localSheetId="71">'326'!$H$62:$H$69</definedName>
    <definedName name="OSRRefH22_0x_0" localSheetId="72">'327'!$H$22</definedName>
    <definedName name="OSRRefH22_0x_0" localSheetId="52">'330'!$H$87:$H$95</definedName>
    <definedName name="OSRRefH22_0x_0" localSheetId="58">'331'!$H$76:$H$83</definedName>
    <definedName name="OSRRefH22_0x_0" localSheetId="60">'332'!$H$46:$H$53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'412'!$H$25:$H$32</definedName>
    <definedName name="OSRRefH22_0x_0" localSheetId="81">'413'!$H$24:$H$31</definedName>
    <definedName name="OSRRefH22_0x_0" localSheetId="82">'414'!$H$24:$H$31</definedName>
    <definedName name="OSRRefH22_0x_0" localSheetId="83">'415'!$H$24:$H$31</definedName>
    <definedName name="OSRRefH22_0x_0" localSheetId="84">'418'!$H$24:$H$31</definedName>
    <definedName name="OSRRefH22_0x_0" localSheetId="80">'420'!$H$24:$H$31</definedName>
    <definedName name="OSRRefH22_0x_0" localSheetId="85">'423'!$H$21:$H$28</definedName>
    <definedName name="OSRRefH22_0x_0" localSheetId="86">'424'!$H$26:$H$28</definedName>
    <definedName name="OSRRefH22_0x_0" localSheetId="87">'425'!$H$27:$H$35</definedName>
    <definedName name="OSRRefH22_0x_0" localSheetId="90">'430'!$H$20:$H$27</definedName>
    <definedName name="OSRRefH22_0x_0" localSheetId="91">'433'!$H$26:$H$34</definedName>
    <definedName name="OSRRefH22_0x_0" localSheetId="92">'435'!$H$25:$H$27</definedName>
    <definedName name="OSRRefH22_0x_0" localSheetId="93">'444'!$H$25:$H$33</definedName>
    <definedName name="OSRRefH22_0x_0" localSheetId="94">'445'!$H$20</definedName>
    <definedName name="OSRRefH22_0x_0" localSheetId="95">'450'!$H$25:$H$33</definedName>
    <definedName name="OSRRefH22_0x_0" localSheetId="88">'455'!$H$20:$H$26</definedName>
    <definedName name="OSRRefH22_0x_0" localSheetId="75">'491'!$H$34:$H$42</definedName>
    <definedName name="OSRRefH22_0x_0" localSheetId="89">'492'!$H$28:$H$36</definedName>
    <definedName name="OSRRefH22_0x_0" localSheetId="97">'501'!$H$21:$H$28</definedName>
    <definedName name="OSRRefH22_0x_0" localSheetId="9">'Div 2'!$H$20:$H$30</definedName>
    <definedName name="OSRRefH22_0x_0" localSheetId="19">'Div 3'!$H$178:$H$186</definedName>
    <definedName name="OSRRefH22_0x_0" localSheetId="73">'Div 4'!$H$35:$H$43</definedName>
    <definedName name="OSRRefH22_0x_0" localSheetId="96">'Div 5'!$H$21:$H$28</definedName>
    <definedName name="OSRRefH22_0x_0" localSheetId="63">'Div 6'!$H$58:$H$66</definedName>
    <definedName name="OSRRefH22_0x_0" localSheetId="2">Summary!$H$213:$H$221</definedName>
    <definedName name="OSRRefH22_10x_0" localSheetId="13">'201'!$H$50:$H$52</definedName>
    <definedName name="OSRRefH22_10x_0" localSheetId="14">'202'!$H$52:$H$54</definedName>
    <definedName name="OSRRefH22_10x_0" localSheetId="15">'203'!$H$55:$H$56</definedName>
    <definedName name="OSRRefH22_10x_0" localSheetId="16">'204'!$H$60:$H$61</definedName>
    <definedName name="OSRRefH22_10x_0" localSheetId="22">'300'!$H$210:$H$211</definedName>
    <definedName name="OSRRefH22_10x_0" localSheetId="25">'300 &amp; 317'!$H$235:$H$236</definedName>
    <definedName name="OSRRefH22_10x_0" localSheetId="50">'301'!$H$57</definedName>
    <definedName name="OSRRefH22_10x_0" localSheetId="51">'306'!$H$57</definedName>
    <definedName name="OSRRefH22_10x_0" localSheetId="53">'307'!$H$112:$H$113</definedName>
    <definedName name="OSRRefH22_10x_0" localSheetId="55">'308'!$H$102:$H$103</definedName>
    <definedName name="OSRRefH22_10x_0" localSheetId="66">'309'!$H$56:$H$58</definedName>
    <definedName name="OSRRefH22_10x_0" localSheetId="65">'310'!$H$67</definedName>
    <definedName name="OSRRefH22_10x_0" localSheetId="74">'310 &amp; 491'!$H$78:$H$79</definedName>
    <definedName name="OSRRefH22_10x_0" localSheetId="56">'311'!$H$101:$H$102</definedName>
    <definedName name="OSRRefH22_10x_0" localSheetId="67">'313'!$H$65:$H$66</definedName>
    <definedName name="OSRRefH22_10x_0" localSheetId="54">'314'!$H$90</definedName>
    <definedName name="OSRRefH22_10x_0" localSheetId="59">'315'!$H$93:$H$94</definedName>
    <definedName name="OSRRefH22_10x_0" localSheetId="61">'316'!$H$66:$H$70</definedName>
    <definedName name="OSRRefH22_10x_0" localSheetId="64">'317'!$H$91</definedName>
    <definedName name="OSRRefH22_10x_0" localSheetId="68">'321'!$H$58:$H$63</definedName>
    <definedName name="OSRRefH22_10x_0" localSheetId="69">'322'!$H$55:$H$56</definedName>
    <definedName name="OSRRefH22_10x_0" localSheetId="70">'325'!$H$57</definedName>
    <definedName name="OSRRefH22_10x_0" localSheetId="71">'326'!$H$92</definedName>
    <definedName name="OSRRefH22_10x_0" localSheetId="52">'330'!$H$120</definedName>
    <definedName name="OSRRefH22_10x_0" localSheetId="58">'331'!$H$110</definedName>
    <definedName name="OSRRefH22_10x_0" localSheetId="60">'332'!$H$80</definedName>
    <definedName name="OSRRefH22_10x_0" localSheetId="76">'405'!$H$56:$H$57</definedName>
    <definedName name="OSRRefH22_10x_0" localSheetId="77">'406'!$H$58:$H$59</definedName>
    <definedName name="OSRRefH22_10x_0" localSheetId="78">'411'!$H$55</definedName>
    <definedName name="OSRRefH22_10x_0" localSheetId="79">'412'!$H$59</definedName>
    <definedName name="OSRRefH22_10x_0" localSheetId="81">'413'!$H$64</definedName>
    <definedName name="OSRRefH22_10x_0" localSheetId="82">'414'!$H$57</definedName>
    <definedName name="OSRRefH22_10x_0" localSheetId="83">'415'!$H$57</definedName>
    <definedName name="OSRRefH22_10x_0" localSheetId="84">'418'!$H$57:$H$58</definedName>
    <definedName name="OSRRefH22_10x_0" localSheetId="86">'424'!$H$53</definedName>
    <definedName name="OSRRefH22_10x_0" localSheetId="87">'425'!$H$62</definedName>
    <definedName name="OSRRefH22_10x_0" localSheetId="91">'433'!$H$59:$H$61</definedName>
    <definedName name="OSRRefH22_10x_0" localSheetId="93">'444'!$H$58</definedName>
    <definedName name="OSRRefH22_10x_0" localSheetId="95">'450'!$H$58</definedName>
    <definedName name="OSRRefH22_10x_0" localSheetId="75">'491'!$H$70</definedName>
    <definedName name="OSRRefH22_10x_0" localSheetId="89">'492'!$H$62</definedName>
    <definedName name="OSRRefH22_10x_0" localSheetId="97">'501'!$H$54:$H$56</definedName>
    <definedName name="OSRRefH22_10x_0" localSheetId="9">'Div 2'!$H$57</definedName>
    <definedName name="OSRRefH22_10x_0" localSheetId="19">'Div 3'!$H$215:$H$216</definedName>
    <definedName name="OSRRefH22_10x_0" localSheetId="73">'Div 4'!$H$71</definedName>
    <definedName name="OSRRefH22_10x_0" localSheetId="96">'Div 5'!$H$54:$H$56</definedName>
    <definedName name="OSRRefH22_10x_0" localSheetId="63">'Div 6'!$H$91</definedName>
    <definedName name="OSRRefH22_10x_0" localSheetId="2">Summary!$H$251:$H$252</definedName>
    <definedName name="OSRRefH22_11x_0" localSheetId="13">'201'!$H$54:$H$56</definedName>
    <definedName name="OSRRefH22_11x_0" localSheetId="14">'202'!$H$56</definedName>
    <definedName name="OSRRefH22_11x_0" localSheetId="15">'203'!$H$58:$H$59</definedName>
    <definedName name="OSRRefH22_11x_0" localSheetId="22">'300'!$H$213</definedName>
    <definedName name="OSRRefH22_11x_0" localSheetId="25">'300 &amp; 317'!$H$238</definedName>
    <definedName name="OSRRefH22_11x_0" localSheetId="50">'301'!$H$59</definedName>
    <definedName name="OSRRefH22_11x_0" localSheetId="53">'307'!$H$115:$H$117</definedName>
    <definedName name="OSRRefH22_11x_0" localSheetId="55">'308'!$H$105:$H$108</definedName>
    <definedName name="OSRRefH22_11x_0" localSheetId="66">'309'!$H$60</definedName>
    <definedName name="OSRRefH22_11x_0" localSheetId="65">'310'!$H$69</definedName>
    <definedName name="OSRRefH22_11x_0" localSheetId="74">'310 &amp; 491'!$H$81:$H$82</definedName>
    <definedName name="OSRRefH22_11x_0" localSheetId="56">'311'!$H$104:$H$107</definedName>
    <definedName name="OSRRefH22_11x_0" localSheetId="67">'313'!$H$68:$H$69</definedName>
    <definedName name="OSRRefH22_11x_0" localSheetId="59">'315'!$H$96:$H$97</definedName>
    <definedName name="OSRRefH22_11x_0" localSheetId="61">'316'!$H$72</definedName>
    <definedName name="OSRRefH22_11x_0" localSheetId="64">'317'!$H$93</definedName>
    <definedName name="OSRRefH22_11x_0" localSheetId="68">'321'!$H$65</definedName>
    <definedName name="OSRRefH22_11x_0" localSheetId="69">'322'!$H$58:$H$60</definedName>
    <definedName name="OSRRefH22_11x_0" localSheetId="70">'325'!$H$59:$H$61</definedName>
    <definedName name="OSRRefH22_11x_0" localSheetId="71">'326'!$H$94</definedName>
    <definedName name="OSRRefH22_11x_0" localSheetId="52">'330'!$H$122:$H$123</definedName>
    <definedName name="OSRRefH22_11x_0" localSheetId="58">'331'!$H$112</definedName>
    <definedName name="OSRRefH22_11x_0" localSheetId="60">'332'!$H$82:$H$86</definedName>
    <definedName name="OSRRefH22_11x_0" localSheetId="76">'405'!$H$59</definedName>
    <definedName name="OSRRefH22_11x_0" localSheetId="77">'406'!$H$61:$H$66</definedName>
    <definedName name="OSRRefH22_11x_0" localSheetId="78">'411'!$H$57</definedName>
    <definedName name="OSRRefH22_11x_0" localSheetId="79">'412'!$H$61:$H$63</definedName>
    <definedName name="OSRRefH22_11x_0" localSheetId="81">'413'!$H$66</definedName>
    <definedName name="OSRRefH22_11x_0" localSheetId="82">'414'!$H$59</definedName>
    <definedName name="OSRRefH22_11x_0" localSheetId="83">'415'!$H$59:$H$62</definedName>
    <definedName name="OSRRefH22_11x_0" localSheetId="84">'418'!$H$60:$H$62</definedName>
    <definedName name="OSRRefH22_11x_0" localSheetId="86">'424'!$H$55</definedName>
    <definedName name="OSRRefH22_11x_0" localSheetId="87">'425'!$H$64:$H$66</definedName>
    <definedName name="OSRRefH22_11x_0" localSheetId="91">'433'!$H$63:$H$65</definedName>
    <definedName name="OSRRefH22_11x_0" localSheetId="93">'444'!$H$60:$H$62</definedName>
    <definedName name="OSRRefH22_11x_0" localSheetId="95">'450'!$H$60</definedName>
    <definedName name="OSRRefH22_11x_0" localSheetId="75">'491'!$H$72:$H$73</definedName>
    <definedName name="OSRRefH22_11x_0" localSheetId="89">'492'!$H$64</definedName>
    <definedName name="OSRRefH22_11x_0" localSheetId="97">'501'!$H$58</definedName>
    <definedName name="OSRRefH22_11x_0" localSheetId="9">'Div 2'!$H$59</definedName>
    <definedName name="OSRRefH22_11x_0" localSheetId="19">'Div 3'!$H$218</definedName>
    <definedName name="OSRRefH22_11x_0" localSheetId="73">'Div 4'!$H$73:$H$74</definedName>
    <definedName name="OSRRefH22_11x_0" localSheetId="96">'Div 5'!$H$58</definedName>
    <definedName name="OSRRefH22_11x_0" localSheetId="63">'Div 6'!$H$93</definedName>
    <definedName name="OSRRefH22_11x_0" localSheetId="2">Summary!$H$254:$H$255</definedName>
    <definedName name="OSRRefH22_12x_0" localSheetId="13">'201'!$H$58</definedName>
    <definedName name="OSRRefH22_12x_0" localSheetId="14">'202'!$H$58</definedName>
    <definedName name="OSRRefH22_12x_0" localSheetId="15">'203'!$H$61:$H$63</definedName>
    <definedName name="OSRRefH22_12x_0" localSheetId="22">'300'!$H$215</definedName>
    <definedName name="OSRRefH22_12x_0" localSheetId="25">'300 &amp; 317'!$H$240</definedName>
    <definedName name="OSRRefH22_12x_0" localSheetId="50">'301'!$H$61</definedName>
    <definedName name="OSRRefH22_12x_0" localSheetId="53">'307'!$H$119</definedName>
    <definedName name="OSRRefH22_12x_0" localSheetId="55">'308'!$H$110:$H$111</definedName>
    <definedName name="OSRRefH22_12x_0" localSheetId="66">'309'!$H$62:$H$68</definedName>
    <definedName name="OSRRefH22_12x_0" localSheetId="65">'310'!$H$71</definedName>
    <definedName name="OSRRefH22_12x_0" localSheetId="74">'310 &amp; 491'!$H$84</definedName>
    <definedName name="OSRRefH22_12x_0" localSheetId="56">'311'!$H$109:$H$110</definedName>
    <definedName name="OSRRefH22_12x_0" localSheetId="67">'313'!$H$71:$H$76</definedName>
    <definedName name="OSRRefH22_12x_0" localSheetId="59">'315'!$H$99:$H$103</definedName>
    <definedName name="OSRRefH22_12x_0" localSheetId="61">'316'!$H$74</definedName>
    <definedName name="OSRRefH22_12x_0" localSheetId="64">'317'!$H$95:$H$96</definedName>
    <definedName name="OSRRefH22_12x_0" localSheetId="68">'321'!$H$67</definedName>
    <definedName name="OSRRefH22_12x_0" localSheetId="69">'322'!$H$62</definedName>
    <definedName name="OSRRefH22_12x_0" localSheetId="70">'325'!$H$63:$H$66</definedName>
    <definedName name="OSRRefH22_12x_0" localSheetId="71">'326'!$H$96</definedName>
    <definedName name="OSRRefH22_12x_0" localSheetId="52">'330'!$H$125:$H$126</definedName>
    <definedName name="OSRRefH22_12x_0" localSheetId="58">'331'!$H$114</definedName>
    <definedName name="OSRRefH22_12x_0" localSheetId="60">'332'!$H$88</definedName>
    <definedName name="OSRRefH22_12x_0" localSheetId="76">'405'!$H$61:$H$63</definedName>
    <definedName name="OSRRefH22_12x_0" localSheetId="77">'406'!$H$68</definedName>
    <definedName name="OSRRefH22_12x_0" localSheetId="78">'411'!$H$59:$H$62</definedName>
    <definedName name="OSRRefH22_12x_0" localSheetId="79">'412'!$H$65:$H$72</definedName>
    <definedName name="OSRRefH22_12x_0" localSheetId="81">'413'!$H$68</definedName>
    <definedName name="OSRRefH22_12x_0" localSheetId="82">'414'!$H$61</definedName>
    <definedName name="OSRRefH22_12x_0" localSheetId="83">'415'!$H$64:$H$68</definedName>
    <definedName name="OSRRefH22_12x_0" localSheetId="84">'418'!$H$64:$H$66</definedName>
    <definedName name="OSRRefH22_12x_0" localSheetId="86">'424'!$H$57:$H$62</definedName>
    <definedName name="OSRRefH22_12x_0" localSheetId="87">'425'!$H$68:$H$74</definedName>
    <definedName name="OSRRefH22_12x_0" localSheetId="91">'433'!$H$67:$H$73</definedName>
    <definedName name="OSRRefH22_12x_0" localSheetId="93">'444'!$H$64:$H$66</definedName>
    <definedName name="OSRRefH22_12x_0" localSheetId="95">'450'!$H$62:$H$64</definedName>
    <definedName name="OSRRefH22_12x_0" localSheetId="75">'491'!$H$75</definedName>
    <definedName name="OSRRefH22_12x_0" localSheetId="89">'492'!$H$66</definedName>
    <definedName name="OSRRefH22_12x_0" localSheetId="97">'501'!$H$60:$H$63</definedName>
    <definedName name="OSRRefH22_12x_0" localSheetId="9">'Div 2'!$H$61:$H$64</definedName>
    <definedName name="OSRRefH22_12x_0" localSheetId="19">'Div 3'!$H$220</definedName>
    <definedName name="OSRRefH22_12x_0" localSheetId="73">'Div 4'!$H$76</definedName>
    <definedName name="OSRRefH22_12x_0" localSheetId="96">'Div 5'!$H$60:$H$63</definedName>
    <definedName name="OSRRefH22_12x_0" localSheetId="63">'Div 6'!$H$95:$H$96</definedName>
    <definedName name="OSRRefH22_12x_0" localSheetId="2">Summary!$H$257</definedName>
    <definedName name="OSRRefH22_13x_0" localSheetId="13">'201'!$H$60:$H$63</definedName>
    <definedName name="OSRRefH22_13x_0" localSheetId="14">'202'!$H$60:$H$62</definedName>
    <definedName name="OSRRefH22_13x_0" localSheetId="15">'203'!$H$65</definedName>
    <definedName name="OSRRefH22_13x_0" localSheetId="22">'300'!$H$217</definedName>
    <definedName name="OSRRefH22_13x_0" localSheetId="25">'300 &amp; 317'!$H$242</definedName>
    <definedName name="OSRRefH22_13x_0" localSheetId="50">'301'!$H$63</definedName>
    <definedName name="OSRRefH22_13x_0" localSheetId="53">'307'!$H$121</definedName>
    <definedName name="OSRRefH22_13x_0" localSheetId="55">'308'!$H$113</definedName>
    <definedName name="OSRRefH22_13x_0" localSheetId="66">'309'!$H$70</definedName>
    <definedName name="OSRRefH22_13x_0" localSheetId="65">'310'!$H$73</definedName>
    <definedName name="OSRRefH22_13x_0" localSheetId="74">'310 &amp; 491'!$H$86</definedName>
    <definedName name="OSRRefH22_13x_0" localSheetId="56">'311'!$H$112</definedName>
    <definedName name="OSRRefH22_13x_0" localSheetId="67">'313'!$H$78</definedName>
    <definedName name="OSRRefH22_13x_0" localSheetId="59">'315'!$H$105</definedName>
    <definedName name="OSRRefH22_13x_0" localSheetId="64">'317'!$H$98</definedName>
    <definedName name="OSRRefH22_13x_0" localSheetId="68">'321'!$H$69</definedName>
    <definedName name="OSRRefH22_13x_0" localSheetId="69">'322'!$H$64:$H$70</definedName>
    <definedName name="OSRRefH22_13x_0" localSheetId="70">'325'!$H$68:$H$69</definedName>
    <definedName name="OSRRefH22_13x_0" localSheetId="71">'326'!$H$98:$H$99</definedName>
    <definedName name="OSRRefH22_13x_0" localSheetId="52">'330'!$H$128</definedName>
    <definedName name="OSRRefH22_13x_0" localSheetId="58">'331'!$H$116</definedName>
    <definedName name="OSRRefH22_13x_0" localSheetId="60">'332'!$H$90</definedName>
    <definedName name="OSRRefH22_13x_0" localSheetId="76">'405'!$H$65:$H$66</definedName>
    <definedName name="OSRRefH22_13x_0" localSheetId="77">'406'!$H$70</definedName>
    <definedName name="OSRRefH22_13x_0" localSheetId="78">'411'!$H$64:$H$68</definedName>
    <definedName name="OSRRefH22_13x_0" localSheetId="79">'412'!$H$74</definedName>
    <definedName name="OSRRefH22_13x_0" localSheetId="82">'414'!$H$63:$H$69</definedName>
    <definedName name="OSRRefH22_13x_0" localSheetId="83">'415'!$H$70:$H$71</definedName>
    <definedName name="OSRRefH22_13x_0" localSheetId="84">'418'!$H$68:$H$69</definedName>
    <definedName name="OSRRefH22_13x_0" localSheetId="86">'424'!$H$64</definedName>
    <definedName name="OSRRefH22_13x_0" localSheetId="87">'425'!$H$76</definedName>
    <definedName name="OSRRefH22_13x_0" localSheetId="91">'433'!$H$75</definedName>
    <definedName name="OSRRefH22_13x_0" localSheetId="93">'444'!$H$68:$H$75</definedName>
    <definedName name="OSRRefH22_13x_0" localSheetId="95">'450'!$H$66:$H$68</definedName>
    <definedName name="OSRRefH22_13x_0" localSheetId="75">'491'!$H$77</definedName>
    <definedName name="OSRRefH22_13x_0" localSheetId="89">'492'!$H$68:$H$70</definedName>
    <definedName name="OSRRefH22_13x_0" localSheetId="97">'501'!$H$65</definedName>
    <definedName name="OSRRefH22_13x_0" localSheetId="9">'Div 2'!$H$66:$H$69</definedName>
    <definedName name="OSRRefH22_13x_0" localSheetId="19">'Div 3'!$H$222</definedName>
    <definedName name="OSRRefH22_13x_0" localSheetId="73">'Div 4'!$H$78</definedName>
    <definedName name="OSRRefH22_13x_0" localSheetId="96">'Div 5'!$H$65</definedName>
    <definedName name="OSRRefH22_13x_0" localSheetId="63">'Div 6'!$H$98</definedName>
    <definedName name="OSRRefH22_13x_0" localSheetId="2">Summary!$H$259</definedName>
    <definedName name="OSRRefH22_14x_0" localSheetId="13">'201'!$H$65</definedName>
    <definedName name="OSRRefH22_14x_0" localSheetId="14">'202'!$H$64</definedName>
    <definedName name="OSRRefH22_14x_0" localSheetId="15">'203'!$H$67</definedName>
    <definedName name="OSRRefH22_14x_0" localSheetId="22">'300'!$H$219</definedName>
    <definedName name="OSRRefH22_14x_0" localSheetId="25">'300 &amp; 317'!$H$244</definedName>
    <definedName name="OSRRefH22_14x_0" localSheetId="50">'301'!$H$65:$H$68</definedName>
    <definedName name="OSRRefH22_14x_0" localSheetId="53">'307'!$H$123</definedName>
    <definedName name="OSRRefH22_14x_0" localSheetId="55">'308'!$H$115</definedName>
    <definedName name="OSRRefH22_14x_0" localSheetId="65">'310'!$H$75:$H$77</definedName>
    <definedName name="OSRRefH22_14x_0" localSheetId="74">'310 &amp; 491'!$H$88</definedName>
    <definedName name="OSRRefH22_14x_0" localSheetId="56">'311'!$H$114</definedName>
    <definedName name="OSRRefH22_14x_0" localSheetId="67">'313'!$H$80</definedName>
    <definedName name="OSRRefH22_14x_0" localSheetId="59">'315'!$H$107</definedName>
    <definedName name="OSRRefH22_14x_0" localSheetId="64">'317'!$H$100</definedName>
    <definedName name="OSRRefH22_14x_0" localSheetId="69">'322'!$H$72</definedName>
    <definedName name="OSRRefH22_14x_0" localSheetId="70">'325'!$H$71:$H$76</definedName>
    <definedName name="OSRRefH22_14x_0" localSheetId="71">'326'!$H$101:$H$103</definedName>
    <definedName name="OSRRefH22_14x_0" localSheetId="52">'330'!$H$130:$H$132</definedName>
    <definedName name="OSRRefH22_14x_0" localSheetId="58">'331'!$H$118:$H$120</definedName>
    <definedName name="OSRRefH22_14x_0" localSheetId="76">'405'!$H$68:$H$74</definedName>
    <definedName name="OSRRefH22_14x_0" localSheetId="77">'406'!$H$72:$H$73</definedName>
    <definedName name="OSRRefH22_14x_0" localSheetId="78">'411'!$H$70:$H$71</definedName>
    <definedName name="OSRRefH22_14x_0" localSheetId="79">'412'!$H$76</definedName>
    <definedName name="OSRRefH22_14x_0" localSheetId="82">'414'!$H$71</definedName>
    <definedName name="OSRRefH22_14x_0" localSheetId="83">'415'!$H$73:$H$80</definedName>
    <definedName name="OSRRefH22_14x_0" localSheetId="84">'418'!$H$71:$H$78</definedName>
    <definedName name="OSRRefH22_14x_0" localSheetId="87">'425'!$H$78</definedName>
    <definedName name="OSRRefH22_14x_0" localSheetId="91">'433'!$H$77</definedName>
    <definedName name="OSRRefH22_14x_0" localSheetId="93">'444'!$H$77</definedName>
    <definedName name="OSRRefH22_14x_0" localSheetId="95">'450'!$H$70:$H$76</definedName>
    <definedName name="OSRRefH22_14x_0" localSheetId="75">'491'!$H$79</definedName>
    <definedName name="OSRRefH22_14x_0" localSheetId="89">'492'!$H$72:$H$74</definedName>
    <definedName name="OSRRefH22_14x_0" localSheetId="97">'501'!$H$67</definedName>
    <definedName name="OSRRefH22_14x_0" localSheetId="9">'Div 2'!$H$71:$H$72</definedName>
    <definedName name="OSRRefH22_14x_0" localSheetId="19">'Div 3'!$H$224</definedName>
    <definedName name="OSRRefH22_14x_0" localSheetId="73">'Div 4'!$H$80</definedName>
    <definedName name="OSRRefH22_14x_0" localSheetId="96">'Div 5'!$H$67</definedName>
    <definedName name="OSRRefH22_14x_0" localSheetId="63">'Div 6'!$H$100</definedName>
    <definedName name="OSRRefH22_14x_0" localSheetId="2">Summary!$H$261</definedName>
    <definedName name="OSRRefH22_15x_0" localSheetId="13">'201'!$H$67</definedName>
    <definedName name="OSRRefH22_15x_0" localSheetId="14">'202'!$H$66</definedName>
    <definedName name="OSRRefH22_15x_0" localSheetId="15">'203'!$H$69</definedName>
    <definedName name="OSRRefH22_15x_0" localSheetId="22">'300'!$H$221</definedName>
    <definedName name="OSRRefH22_15x_0" localSheetId="25">'300 &amp; 317'!$H$246</definedName>
    <definedName name="OSRRefH22_15x_0" localSheetId="50">'301'!$H$70</definedName>
    <definedName name="OSRRefH22_15x_0" localSheetId="65">'310'!$H$79</definedName>
    <definedName name="OSRRefH22_15x_0" localSheetId="74">'310 &amp; 491'!$H$90</definedName>
    <definedName name="OSRRefH22_15x_0" localSheetId="59">'315'!$H$109:$H$110</definedName>
    <definedName name="OSRRefH22_15x_0" localSheetId="64">'317'!$H$102:$H$103</definedName>
    <definedName name="OSRRefH22_15x_0" localSheetId="69">'322'!$H$74</definedName>
    <definedName name="OSRRefH22_15x_0" localSheetId="70">'325'!$H$78</definedName>
    <definedName name="OSRRefH22_15x_0" localSheetId="71">'326'!$H$105:$H$106</definedName>
    <definedName name="OSRRefH22_15x_0" localSheetId="52">'330'!$H$134</definedName>
    <definedName name="OSRRefH22_15x_0" localSheetId="58">'331'!$H$122:$H$123</definedName>
    <definedName name="OSRRefH22_15x_0" localSheetId="76">'405'!$H$76</definedName>
    <definedName name="OSRRefH22_15x_0" localSheetId="78">'411'!$H$73:$H$80</definedName>
    <definedName name="OSRRefH22_15x_0" localSheetId="82">'414'!$H$73</definedName>
    <definedName name="OSRRefH22_15x_0" localSheetId="83">'415'!$H$82</definedName>
    <definedName name="OSRRefH22_15x_0" localSheetId="84">'418'!$H$80</definedName>
    <definedName name="OSRRefH22_15x_0" localSheetId="87">'425'!$H$80</definedName>
    <definedName name="OSRRefH22_15x_0" localSheetId="91">'433'!$H$79:$H$80</definedName>
    <definedName name="OSRRefH22_15x_0" localSheetId="93">'444'!$H$79</definedName>
    <definedName name="OSRRefH22_15x_0" localSheetId="95">'450'!$H$78</definedName>
    <definedName name="OSRRefH22_15x_0" localSheetId="75">'491'!$H$81</definedName>
    <definedName name="OSRRefH22_15x_0" localSheetId="89">'492'!$H$76:$H$83</definedName>
    <definedName name="OSRRefH22_15x_0" localSheetId="9">'Div 2'!$H$74:$H$75</definedName>
    <definedName name="OSRRefH22_15x_0" localSheetId="19">'Div 3'!$H$226</definedName>
    <definedName name="OSRRefH22_15x_0" localSheetId="73">'Div 4'!$H$82</definedName>
    <definedName name="OSRRefH22_15x_0" localSheetId="63">'Div 6'!$H$102:$H$103</definedName>
    <definedName name="OSRRefH22_15x_0" localSheetId="2">Summary!$H$263</definedName>
    <definedName name="OSRRefH22_16x_0" localSheetId="13">'201'!$H$69:$H$70</definedName>
    <definedName name="OSRRefH22_16x_0" localSheetId="14">'202'!$H$68</definedName>
    <definedName name="OSRRefH22_16x_0" localSheetId="22">'300'!$H$223:$H$226</definedName>
    <definedName name="OSRRefH22_16x_0" localSheetId="25">'300 &amp; 317'!$H$248:$H$251</definedName>
    <definedName name="OSRRefH22_16x_0" localSheetId="50">'301'!$H$72:$H$74</definedName>
    <definedName name="OSRRefH22_16x_0" localSheetId="65">'310'!$H$81:$H$84</definedName>
    <definedName name="OSRRefH22_16x_0" localSheetId="74">'310 &amp; 491'!$H$92:$H$95</definedName>
    <definedName name="OSRRefH22_16x_0" localSheetId="69">'322'!$H$76</definedName>
    <definedName name="OSRRefH22_16x_0" localSheetId="70">'325'!$H$80</definedName>
    <definedName name="OSRRefH22_16x_0" localSheetId="71">'326'!$H$108:$H$112</definedName>
    <definedName name="OSRRefH22_16x_0" localSheetId="52">'330'!$H$136</definedName>
    <definedName name="OSRRefH22_16x_0" localSheetId="58">'331'!$H$125:$H$127</definedName>
    <definedName name="OSRRefH22_16x_0" localSheetId="76">'405'!$H$78</definedName>
    <definedName name="OSRRefH22_16x_0" localSheetId="78">'411'!$H$82</definedName>
    <definedName name="OSRRefH22_16x_0" localSheetId="83">'415'!$H$84</definedName>
    <definedName name="OSRRefH22_16x_0" localSheetId="84">'418'!$H$82</definedName>
    <definedName name="OSRRefH22_16x_0" localSheetId="93">'444'!$H$81</definedName>
    <definedName name="OSRRefH22_16x_0" localSheetId="95">'450'!$H$80</definedName>
    <definedName name="OSRRefH22_16x_0" localSheetId="75">'491'!$H$83:$H$86</definedName>
    <definedName name="OSRRefH22_16x_0" localSheetId="89">'492'!$H$85</definedName>
    <definedName name="OSRRefH22_16x_0" localSheetId="9">'Div 2'!$H$77:$H$81</definedName>
    <definedName name="OSRRefH22_16x_0" localSheetId="19">'Div 3'!$H$228</definedName>
    <definedName name="OSRRefH22_16x_0" localSheetId="73">'Div 4'!$H$84</definedName>
    <definedName name="OSRRefH22_16x_0" localSheetId="2">Summary!$H$265</definedName>
    <definedName name="OSRRefH22_17x_0" localSheetId="22">'300'!$H$228:$H$230</definedName>
    <definedName name="OSRRefH22_17x_0" localSheetId="25">'300 &amp; 317'!$H$253:$H$255</definedName>
    <definedName name="OSRRefH22_17x_0" localSheetId="50">'301'!$H$76:$H$77</definedName>
    <definedName name="OSRRefH22_17x_0" localSheetId="65">'310'!$H$86:$H$87</definedName>
    <definedName name="OSRRefH22_17x_0" localSheetId="74">'310 &amp; 491'!$H$97:$H$98</definedName>
    <definedName name="OSRRefH22_17x_0" localSheetId="70">'325'!$H$82</definedName>
    <definedName name="OSRRefH22_17x_0" localSheetId="71">'326'!$H$114</definedName>
    <definedName name="OSRRefH22_17x_0" localSheetId="52">'330'!$H$138</definedName>
    <definedName name="OSRRefH22_17x_0" localSheetId="58">'331'!$H$129:$H$130</definedName>
    <definedName name="OSRRefH22_17x_0" localSheetId="76">'405'!$H$80</definedName>
    <definedName name="OSRRefH22_17x_0" localSheetId="78">'411'!$H$84</definedName>
    <definedName name="OSRRefH22_17x_0" localSheetId="83">'415'!$H$86</definedName>
    <definedName name="OSRRefH22_17x_0" localSheetId="95">'450'!$H$82:$H$83</definedName>
    <definedName name="OSRRefH22_17x_0" localSheetId="75">'491'!$H$88:$H$89</definedName>
    <definedName name="OSRRefH22_17x_0" localSheetId="89">'492'!$H$87</definedName>
    <definedName name="OSRRefH22_17x_0" localSheetId="9">'Div 2'!$H$83:$H$84</definedName>
    <definedName name="OSRRefH22_17x_0" localSheetId="19">'Div 3'!$H$230:$H$233</definedName>
    <definedName name="OSRRefH22_17x_0" localSheetId="73">'Div 4'!$H$86:$H$89</definedName>
    <definedName name="OSRRefH22_17x_0" localSheetId="2">Summary!$H$267</definedName>
    <definedName name="OSRRefH22_18x_0" localSheetId="22">'300'!$H$232:$H$235</definedName>
    <definedName name="OSRRefH22_18x_0" localSheetId="25">'300 &amp; 317'!$H$257:$H$260</definedName>
    <definedName name="OSRRefH22_18x_0" localSheetId="50">'301'!$H$79:$H$84</definedName>
    <definedName name="OSRRefH22_18x_0" localSheetId="65">'310'!$H$89:$H$96</definedName>
    <definedName name="OSRRefH22_18x_0" localSheetId="74">'310 &amp; 491'!$H$100:$H$104</definedName>
    <definedName name="OSRRefH22_18x_0" localSheetId="71">'326'!$H$116</definedName>
    <definedName name="OSRRefH22_18x_0" localSheetId="58">'331'!$H$132:$H$137</definedName>
    <definedName name="OSRRefH22_18x_0" localSheetId="76">'405'!$H$82</definedName>
    <definedName name="OSRRefH22_18x_0" localSheetId="78">'411'!$H$86:$H$88</definedName>
    <definedName name="OSRRefH22_18x_0" localSheetId="83">'415'!$H$88</definedName>
    <definedName name="OSRRefH22_18x_0" localSheetId="75">'491'!$H$91:$H$95</definedName>
    <definedName name="OSRRefH22_18x_0" localSheetId="89">'492'!$H$89:$H$90</definedName>
    <definedName name="OSRRefH22_18x_0" localSheetId="9">'Div 2'!$H$86</definedName>
    <definedName name="OSRRefH22_18x_0" localSheetId="19">'Div 3'!$H$235:$H$237</definedName>
    <definedName name="OSRRefH22_18x_0" localSheetId="73">'Div 4'!$H$91:$H$92</definedName>
    <definedName name="OSRRefH22_18x_0" localSheetId="2">Summary!$H$269:$H$272</definedName>
    <definedName name="OSRRefH22_19x_0" localSheetId="22">'300'!$H$237:$H$238</definedName>
    <definedName name="OSRRefH22_19x_0" localSheetId="25">'300 &amp; 317'!$H$262:$H$263</definedName>
    <definedName name="OSRRefH22_19x_0" localSheetId="50">'301'!$H$86</definedName>
    <definedName name="OSRRefH22_19x_0" localSheetId="65">'310'!$H$98</definedName>
    <definedName name="OSRRefH22_19x_0" localSheetId="74">'310 &amp; 491'!$H$106:$H$107</definedName>
    <definedName name="OSRRefH22_19x_0" localSheetId="71">'326'!$H$118</definedName>
    <definedName name="OSRRefH22_19x_0" localSheetId="58">'331'!$H$139</definedName>
    <definedName name="OSRRefH22_19x_0" localSheetId="78">'411'!$H$90</definedName>
    <definedName name="OSRRefH22_19x_0" localSheetId="75">'491'!$H$97:$H$98</definedName>
    <definedName name="OSRRefH22_19x_0" localSheetId="9">'Div 2'!$H$88:$H$89</definedName>
    <definedName name="OSRRefH22_19x_0" localSheetId="19">'Div 3'!$H$239:$H$243</definedName>
    <definedName name="OSRRefH22_19x_0" localSheetId="73">'Div 4'!$H$94:$H$98</definedName>
    <definedName name="OSRRefH22_19x_0" localSheetId="2">Summary!$H$274:$H$276</definedName>
    <definedName name="OSRRefH22_1x_0" localSheetId="12">'200'!$H$22</definedName>
    <definedName name="OSRRefH22_1x_0" localSheetId="13">'201'!$H$30:$H$32</definedName>
    <definedName name="OSRRefH22_1x_0" localSheetId="14">'202'!$H$29:$H$34</definedName>
    <definedName name="OSRRefH22_1x_0" localSheetId="15">'203'!$H$31:$H$35</definedName>
    <definedName name="OSRRefH22_1x_0" localSheetId="16">'204'!$H$31:$H$36</definedName>
    <definedName name="OSRRefH22_1x_0" localSheetId="17">'205'!$H$29</definedName>
    <definedName name="OSRRefH22_1x_0" localSheetId="18">'206'!$H$29:$H$34</definedName>
    <definedName name="OSRRefH22_1x_0" localSheetId="22">'300'!$H$183:$H$189</definedName>
    <definedName name="OSRRefH22_1x_0" localSheetId="25">'300 &amp; 317'!$H$208:$H$214</definedName>
    <definedName name="OSRRefH22_1x_0" localSheetId="50">'301'!$H$30:$H$36</definedName>
    <definedName name="OSRRefH22_1x_0" localSheetId="51">'306'!$H$30:$H$34</definedName>
    <definedName name="OSRRefH22_1x_0" localSheetId="53">'307'!$H$89:$H$92</definedName>
    <definedName name="OSRRefH22_1x_0" localSheetId="55">'308'!$H$76:$H$80</definedName>
    <definedName name="OSRRefH22_1x_0" localSheetId="66">'309'!$H$33:$H$37</definedName>
    <definedName name="OSRRefH22_1x_0" localSheetId="65">'310'!$H$42:$H$47</definedName>
    <definedName name="OSRRefH22_1x_0" localSheetId="74">'310 &amp; 491'!$H$52:$H$58</definedName>
    <definedName name="OSRRefH22_1x_0" localSheetId="56">'311'!$H$75:$H$79</definedName>
    <definedName name="OSRRefH22_1x_0" localSheetId="67">'313'!$H$39:$H$44</definedName>
    <definedName name="OSRRefH22_1x_0" localSheetId="54">'314'!$H$66:$H$69</definedName>
    <definedName name="OSRRefH22_1x_0" localSheetId="59">'315'!$H$66:$H$71</definedName>
    <definedName name="OSRRefH22_1x_0" localSheetId="61">'316'!$H$44:$H$47</definedName>
    <definedName name="OSRRefH22_1x_0" localSheetId="64">'317'!$H$68:$H$72</definedName>
    <definedName name="OSRRefH22_1x_0" localSheetId="62">'320'!$H$40:$H$45</definedName>
    <definedName name="OSRRefH22_1x_0" localSheetId="68">'321'!$H$32:$H$36</definedName>
    <definedName name="OSRRefH22_1x_0" localSheetId="69">'322'!$H$33:$H$37</definedName>
    <definedName name="OSRRefH22_1x_0" localSheetId="70">'325'!$H$33:$H$38</definedName>
    <definedName name="OSRRefH22_1x_0" localSheetId="71">'326'!$H$71:$H$74</definedName>
    <definedName name="OSRRefH22_1x_0" localSheetId="72">'327'!$H$24</definedName>
    <definedName name="OSRRefH22_1x_0" localSheetId="52">'330'!$H$97:$H$101</definedName>
    <definedName name="OSRRefH22_1x_0" localSheetId="58">'331'!$H$85:$H$90</definedName>
    <definedName name="OSRRefH22_1x_0" localSheetId="60">'332'!$H$55:$H$60</definedName>
    <definedName name="OSRRefH22_1x_0" localSheetId="76">'405'!$H$33:$H$37</definedName>
    <definedName name="OSRRefH22_1x_0" localSheetId="77">'406'!$H$33:$H$38</definedName>
    <definedName name="OSRRefH22_1x_0" localSheetId="78">'411'!$H$30:$H$35</definedName>
    <definedName name="OSRRefH22_1x_0" localSheetId="79">'412'!$H$34:$H$39</definedName>
    <definedName name="OSRRefH22_1x_0" localSheetId="81">'413'!$H$33:$H$38</definedName>
    <definedName name="OSRRefH22_1x_0" localSheetId="82">'414'!$H$33:$H$38</definedName>
    <definedName name="OSRRefH22_1x_0" localSheetId="83">'415'!$H$33:$H$38</definedName>
    <definedName name="OSRRefH22_1x_0" localSheetId="84">'418'!$H$33:$H$38</definedName>
    <definedName name="OSRRefH22_1x_0" localSheetId="80">'420'!$H$33:$H$36</definedName>
    <definedName name="OSRRefH22_1x_0" localSheetId="85">'423'!$H$30:$H$31</definedName>
    <definedName name="OSRRefH22_1x_0" localSheetId="86">'424'!$H$30:$H$34</definedName>
    <definedName name="OSRRefH22_1x_0" localSheetId="87">'425'!$H$37:$H$42</definedName>
    <definedName name="OSRRefH22_1x_0" localSheetId="90">'430'!$H$29</definedName>
    <definedName name="OSRRefH22_1x_0" localSheetId="91">'433'!$H$36:$H$41</definedName>
    <definedName name="OSRRefH22_1x_0" localSheetId="92">'435'!$H$29:$H$31</definedName>
    <definedName name="OSRRefH22_1x_0" localSheetId="93">'444'!$H$35:$H$40</definedName>
    <definedName name="OSRRefH22_1x_0" localSheetId="95">'450'!$H$35:$H$40</definedName>
    <definedName name="OSRRefH22_1x_0" localSheetId="88">'455'!$H$28:$H$29</definedName>
    <definedName name="OSRRefH22_1x_0" localSheetId="75">'491'!$H$44:$H$50</definedName>
    <definedName name="OSRRefH22_1x_0" localSheetId="89">'492'!$H$38:$H$44</definedName>
    <definedName name="OSRRefH22_1x_0" localSheetId="97">'501'!$H$30:$H$35</definedName>
    <definedName name="OSRRefH22_1x_0" localSheetId="9">'Div 2'!$H$32:$H$38</definedName>
    <definedName name="OSRRefH22_1x_0" localSheetId="19">'Div 3'!$H$188:$H$194</definedName>
    <definedName name="OSRRefH22_1x_0" localSheetId="73">'Div 4'!$H$45:$H$51</definedName>
    <definedName name="OSRRefH22_1x_0" localSheetId="96">'Div 5'!$H$30:$H$35</definedName>
    <definedName name="OSRRefH22_1x_0" localSheetId="63">'Div 6'!$H$68:$H$72</definedName>
    <definedName name="OSRRefH22_1x_0" localSheetId="2">Summary!$H$223:$H$229</definedName>
    <definedName name="OSRRefH22_20x_0" localSheetId="22">'300'!$H$240:$H$246</definedName>
    <definedName name="OSRRefH22_20x_0" localSheetId="25">'300 &amp; 317'!$H$265:$H$271</definedName>
    <definedName name="OSRRefH22_20x_0" localSheetId="50">'301'!$H$88</definedName>
    <definedName name="OSRRefH22_20x_0" localSheetId="65">'310'!$H$100</definedName>
    <definedName name="OSRRefH22_20x_0" localSheetId="74">'310 &amp; 491'!$H$109:$H$117</definedName>
    <definedName name="OSRRefH22_20x_0" localSheetId="71">'326'!$H$120</definedName>
    <definedName name="OSRRefH22_20x_0" localSheetId="58">'331'!$H$141</definedName>
    <definedName name="OSRRefH22_20x_0" localSheetId="75">'491'!$H$100:$H$108</definedName>
    <definedName name="OSRRefH22_20x_0" localSheetId="19">'Div 3'!$H$245:$H$246</definedName>
    <definedName name="OSRRefH22_20x_0" localSheetId="73">'Div 4'!$H$100:$H$101</definedName>
    <definedName name="OSRRefH22_20x_0" localSheetId="2">Summary!$H$278:$H$282</definedName>
    <definedName name="OSRRefH22_21x_0" localSheetId="22">'300'!$H$248:$H$249</definedName>
    <definedName name="OSRRefH22_21x_0" localSheetId="25">'300 &amp; 317'!$H$273:$H$274</definedName>
    <definedName name="OSRRefH22_21x_0" localSheetId="50">'301'!$H$90:$H$92</definedName>
    <definedName name="OSRRefH22_21x_0" localSheetId="65">'310'!$H$102</definedName>
    <definedName name="OSRRefH22_21x_0" localSheetId="74">'310 &amp; 491'!$H$119</definedName>
    <definedName name="OSRRefH22_21x_0" localSheetId="58">'331'!$H$143:$H$144</definedName>
    <definedName name="OSRRefH22_21x_0" localSheetId="75">'491'!$H$110</definedName>
    <definedName name="OSRRefH22_21x_0" localSheetId="19">'Div 3'!$H$248:$H$255</definedName>
    <definedName name="OSRRefH22_21x_0" localSheetId="73">'Div 4'!$H$103:$H$111</definedName>
    <definedName name="OSRRefH22_21x_0" localSheetId="2">Summary!$H$284:$H$285</definedName>
    <definedName name="OSRRefH22_22x_0" localSheetId="22">'300'!$H$251</definedName>
    <definedName name="OSRRefH22_22x_0" localSheetId="25">'300 &amp; 317'!$H$276</definedName>
    <definedName name="OSRRefH22_22x_0" localSheetId="50">'301'!$H$94</definedName>
    <definedName name="OSRRefH22_22x_0" localSheetId="65">'310'!$H$104</definedName>
    <definedName name="OSRRefH22_22x_0" localSheetId="74">'310 &amp; 491'!$H$121</definedName>
    <definedName name="OSRRefH22_22x_0" localSheetId="58">'331'!$H$146</definedName>
    <definedName name="OSRRefH22_22x_0" localSheetId="75">'491'!$H$112</definedName>
    <definedName name="OSRRefH22_22x_0" localSheetId="19">'Div 3'!$H$257:$H$258</definedName>
    <definedName name="OSRRefH22_22x_0" localSheetId="73">'Div 4'!$H$113</definedName>
    <definedName name="OSRRefH22_22x_0" localSheetId="2">Summary!$H$287:$H$295</definedName>
    <definedName name="OSRRefH22_23x_0" localSheetId="22">'300'!$H$253:$H$255</definedName>
    <definedName name="OSRRefH22_23x_0" localSheetId="25">'300 &amp; 317'!$H$278:$H$280</definedName>
    <definedName name="OSRRefH22_23x_0" localSheetId="74">'310 &amp; 491'!$H$123:$H$125</definedName>
    <definedName name="OSRRefH22_23x_0" localSheetId="75">'491'!$H$114:$H$116</definedName>
    <definedName name="OSRRefH22_23x_0" localSheetId="19">'Div 3'!$H$260</definedName>
    <definedName name="OSRRefH22_23x_0" localSheetId="73">'Div 4'!$H$115</definedName>
    <definedName name="OSRRefH22_23x_0" localSheetId="2">Summary!$H$297:$H$298</definedName>
    <definedName name="OSRRefH22_24x_0" localSheetId="22">'300'!$H$257</definedName>
    <definedName name="OSRRefH22_24x_0" localSheetId="25">'300 &amp; 317'!$H$282</definedName>
    <definedName name="OSRRefH22_24x_0" localSheetId="74">'310 &amp; 491'!$H$127</definedName>
    <definedName name="OSRRefH22_24x_0" localSheetId="75">'491'!$H$118</definedName>
    <definedName name="OSRRefH22_24x_0" localSheetId="19">'Div 3'!$H$262:$H$264</definedName>
    <definedName name="OSRRefH22_24x_0" localSheetId="73">'Div 4'!$H$117:$H$119</definedName>
    <definedName name="OSRRefH22_24x_0" localSheetId="2">Summary!$H$300</definedName>
    <definedName name="OSRRefH22_25x_0" localSheetId="19">'Div 3'!$H$266</definedName>
    <definedName name="OSRRefH22_25x_0" localSheetId="73">'Div 4'!$H$121</definedName>
    <definedName name="OSRRefH22_25x_0" localSheetId="2">Summary!$H$302:$H$304</definedName>
    <definedName name="OSRRefH22_26x_0" localSheetId="2">Summary!$H$306</definedName>
    <definedName name="OSRRefH22_2x_0" localSheetId="12">'200'!$H$24</definedName>
    <definedName name="OSRRefH22_2x_0" localSheetId="13">'201'!$H$34</definedName>
    <definedName name="OSRRefH22_2x_0" localSheetId="14">'202'!$H$36</definedName>
    <definedName name="OSRRefH22_2x_0" localSheetId="15">'203'!$H$37</definedName>
    <definedName name="OSRRefH22_2x_0" localSheetId="16">'204'!$H$38</definedName>
    <definedName name="OSRRefH22_2x_0" localSheetId="17">'205'!$H$31</definedName>
    <definedName name="OSRRefH22_2x_0" localSheetId="18">'206'!$H$36</definedName>
    <definedName name="OSRRefH22_2x_0" localSheetId="22">'300'!$H$191</definedName>
    <definedName name="OSRRefH22_2x_0" localSheetId="25">'300 &amp; 317'!$H$216</definedName>
    <definedName name="OSRRefH22_2x_0" localSheetId="50">'301'!$H$38</definedName>
    <definedName name="OSRRefH22_2x_0" localSheetId="51">'306'!$H$36</definedName>
    <definedName name="OSRRefH22_2x_0" localSheetId="53">'307'!$H$94</definedName>
    <definedName name="OSRRefH22_2x_0" localSheetId="55">'308'!$H$82</definedName>
    <definedName name="OSRRefH22_2x_0" localSheetId="66">'309'!$H$39</definedName>
    <definedName name="OSRRefH22_2x_0" localSheetId="65">'310'!$H$49</definedName>
    <definedName name="OSRRefH22_2x_0" localSheetId="74">'310 &amp; 491'!$H$60</definedName>
    <definedName name="OSRRefH22_2x_0" localSheetId="56">'311'!$H$81</definedName>
    <definedName name="OSRRefH22_2x_0" localSheetId="67">'313'!$H$46</definedName>
    <definedName name="OSRRefH22_2x_0" localSheetId="54">'314'!$H$71</definedName>
    <definedName name="OSRRefH22_2x_0" localSheetId="59">'315'!$H$73</definedName>
    <definedName name="OSRRefH22_2x_0" localSheetId="61">'316'!$H$49</definedName>
    <definedName name="OSRRefH22_2x_0" localSheetId="64">'317'!$H$74</definedName>
    <definedName name="OSRRefH22_2x_0" localSheetId="62">'320'!$H$47</definedName>
    <definedName name="OSRRefH22_2x_0" localSheetId="68">'321'!$H$38</definedName>
    <definedName name="OSRRefH22_2x_0" localSheetId="69">'322'!$H$39</definedName>
    <definedName name="OSRRefH22_2x_0" localSheetId="70">'325'!$H$40</definedName>
    <definedName name="OSRRefH22_2x_0" localSheetId="71">'326'!$H$76</definedName>
    <definedName name="OSRRefH22_2x_0" localSheetId="72">'327'!$H$26</definedName>
    <definedName name="OSRRefH22_2x_0" localSheetId="52">'330'!$H$103</definedName>
    <definedName name="OSRRefH22_2x_0" localSheetId="58">'331'!$H$92</definedName>
    <definedName name="OSRRefH22_2x_0" localSheetId="60">'332'!$H$62</definedName>
    <definedName name="OSRRefH22_2x_0" localSheetId="76">'405'!$H$39</definedName>
    <definedName name="OSRRefH22_2x_0" localSheetId="77">'406'!$H$40</definedName>
    <definedName name="OSRRefH22_2x_0" localSheetId="78">'411'!$H$37</definedName>
    <definedName name="OSRRefH22_2x_0" localSheetId="79">'412'!$H$41</definedName>
    <definedName name="OSRRefH22_2x_0" localSheetId="81">'413'!$H$40</definedName>
    <definedName name="OSRRefH22_2x_0" localSheetId="82">'414'!$H$40</definedName>
    <definedName name="OSRRefH22_2x_0" localSheetId="83">'415'!$H$40</definedName>
    <definedName name="OSRRefH22_2x_0" localSheetId="84">'418'!$H$40</definedName>
    <definedName name="OSRRefH22_2x_0" localSheetId="80">'420'!$H$38</definedName>
    <definedName name="OSRRefH22_2x_0" localSheetId="85">'423'!$H$33</definedName>
    <definedName name="OSRRefH22_2x_0" localSheetId="86">'424'!$H$36</definedName>
    <definedName name="OSRRefH22_2x_0" localSheetId="87">'425'!$H$44</definedName>
    <definedName name="OSRRefH22_2x_0" localSheetId="90">'430'!$H$31</definedName>
    <definedName name="OSRRefH22_2x_0" localSheetId="91">'433'!$H$43</definedName>
    <definedName name="OSRRefH22_2x_0" localSheetId="92">'435'!$H$33</definedName>
    <definedName name="OSRRefH22_2x_0" localSheetId="93">'444'!$H$42</definedName>
    <definedName name="OSRRefH22_2x_0" localSheetId="95">'450'!$H$42</definedName>
    <definedName name="OSRRefH22_2x_0" localSheetId="88">'455'!$H$31</definedName>
    <definedName name="OSRRefH22_2x_0" localSheetId="75">'491'!$H$52</definedName>
    <definedName name="OSRRefH22_2x_0" localSheetId="89">'492'!$H$46</definedName>
    <definedName name="OSRRefH22_2x_0" localSheetId="97">'501'!$H$37</definedName>
    <definedName name="OSRRefH22_2x_0" localSheetId="9">'Div 2'!$H$40</definedName>
    <definedName name="OSRRefH22_2x_0" localSheetId="19">'Div 3'!$H$196</definedName>
    <definedName name="OSRRefH22_2x_0" localSheetId="73">'Div 4'!$H$53</definedName>
    <definedName name="OSRRefH22_2x_0" localSheetId="96">'Div 5'!$H$37</definedName>
    <definedName name="OSRRefH22_2x_0" localSheetId="63">'Div 6'!$H$74</definedName>
    <definedName name="OSRRefH22_2x_0" localSheetId="2">Summary!$H$231</definedName>
    <definedName name="OSRRefH22_3x_0" localSheetId="12">'200'!$H$26</definedName>
    <definedName name="OSRRefH22_3x_0" localSheetId="13">'201'!$H$36</definedName>
    <definedName name="OSRRefH22_3x_0" localSheetId="14">'202'!$H$38</definedName>
    <definedName name="OSRRefH22_3x_0" localSheetId="15">'203'!$H$39</definedName>
    <definedName name="OSRRefH22_3x_0" localSheetId="16">'204'!$H$40:$H$41</definedName>
    <definedName name="OSRRefH22_3x_0" localSheetId="17">'205'!$H$33</definedName>
    <definedName name="OSRRefH22_3x_0" localSheetId="18">'206'!$H$38</definedName>
    <definedName name="OSRRefH22_3x_0" localSheetId="22">'300'!$H$193:$H$194</definedName>
    <definedName name="OSRRefH22_3x_0" localSheetId="25">'300 &amp; 317'!$H$218:$H$219</definedName>
    <definedName name="OSRRefH22_3x_0" localSheetId="50">'301'!$H$40:$H$41</definedName>
    <definedName name="OSRRefH22_3x_0" localSheetId="51">'306'!$H$38</definedName>
    <definedName name="OSRRefH22_3x_0" localSheetId="53">'307'!$H$96</definedName>
    <definedName name="OSRRefH22_3x_0" localSheetId="55">'308'!$H$84:$H$85</definedName>
    <definedName name="OSRRefH22_3x_0" localSheetId="66">'309'!$H$41</definedName>
    <definedName name="OSRRefH22_3x_0" localSheetId="65">'310'!$H$51</definedName>
    <definedName name="OSRRefH22_3x_0" localSheetId="74">'310 &amp; 491'!$H$62</definedName>
    <definedName name="OSRRefH22_3x_0" localSheetId="56">'311'!$H$83:$H$84</definedName>
    <definedName name="OSRRefH22_3x_0" localSheetId="67">'313'!$H$48</definedName>
    <definedName name="OSRRefH22_3x_0" localSheetId="54">'314'!$H$73:$H$74</definedName>
    <definedName name="OSRRefH22_3x_0" localSheetId="59">'315'!$H$75:$H$76</definedName>
    <definedName name="OSRRefH22_3x_0" localSheetId="61">'316'!$H$51</definedName>
    <definedName name="OSRRefH22_3x_0" localSheetId="64">'317'!$H$76</definedName>
    <definedName name="OSRRefH22_3x_0" localSheetId="62">'320'!$H$49</definedName>
    <definedName name="OSRRefH22_3x_0" localSheetId="68">'321'!$H$40</definedName>
    <definedName name="OSRRefH22_3x_0" localSheetId="69">'322'!$H$41</definedName>
    <definedName name="OSRRefH22_3x_0" localSheetId="70">'325'!$H$42</definedName>
    <definedName name="OSRRefH22_3x_0" localSheetId="71">'326'!$H$78</definedName>
    <definedName name="OSRRefH22_3x_0" localSheetId="52">'330'!$H$105</definedName>
    <definedName name="OSRRefH22_3x_0" localSheetId="58">'331'!$H$94</definedName>
    <definedName name="OSRRefH22_3x_0" localSheetId="60">'332'!$H$64</definedName>
    <definedName name="OSRRefH22_3x_0" localSheetId="76">'405'!$H$41</definedName>
    <definedName name="OSRRefH22_3x_0" localSheetId="77">'406'!$H$42</definedName>
    <definedName name="OSRRefH22_3x_0" localSheetId="78">'411'!$H$39</definedName>
    <definedName name="OSRRefH22_3x_0" localSheetId="79">'412'!$H$43</definedName>
    <definedName name="OSRRefH22_3x_0" localSheetId="81">'413'!$H$42</definedName>
    <definedName name="OSRRefH22_3x_0" localSheetId="82">'414'!$H$42</definedName>
    <definedName name="OSRRefH22_3x_0" localSheetId="83">'415'!$H$42</definedName>
    <definedName name="OSRRefH22_3x_0" localSheetId="84">'418'!$H$42</definedName>
    <definedName name="OSRRefH22_3x_0" localSheetId="80">'420'!$H$40</definedName>
    <definedName name="OSRRefH22_3x_0" localSheetId="85">'423'!$H$35</definedName>
    <definedName name="OSRRefH22_3x_0" localSheetId="86">'424'!$H$38</definedName>
    <definedName name="OSRRefH22_3x_0" localSheetId="87">'425'!$H$46</definedName>
    <definedName name="OSRRefH22_3x_0" localSheetId="90">'430'!$H$33</definedName>
    <definedName name="OSRRefH22_3x_0" localSheetId="91">'433'!$H$45</definedName>
    <definedName name="OSRRefH22_3x_0" localSheetId="92">'435'!$H$35</definedName>
    <definedName name="OSRRefH22_3x_0" localSheetId="93">'444'!$H$44</definedName>
    <definedName name="OSRRefH22_3x_0" localSheetId="95">'450'!$H$44</definedName>
    <definedName name="OSRRefH22_3x_0" localSheetId="75">'491'!$H$54</definedName>
    <definedName name="OSRRefH22_3x_0" localSheetId="89">'492'!$H$48</definedName>
    <definedName name="OSRRefH22_3x_0" localSheetId="97">'501'!$H$39</definedName>
    <definedName name="OSRRefH22_3x_0" localSheetId="9">'Div 2'!$H$42</definedName>
    <definedName name="OSRRefH22_3x_0" localSheetId="19">'Div 3'!$H$198:$H$199</definedName>
    <definedName name="OSRRefH22_3x_0" localSheetId="73">'Div 4'!$H$55</definedName>
    <definedName name="OSRRefH22_3x_0" localSheetId="96">'Div 5'!$H$39</definedName>
    <definedName name="OSRRefH22_3x_0" localSheetId="63">'Div 6'!$H$76</definedName>
    <definedName name="OSRRefH22_3x_0" localSheetId="2">Summary!$H$233:$H$234</definedName>
    <definedName name="OSRRefH22_4x_0" localSheetId="12">'200'!$H$28:$H$29</definedName>
    <definedName name="OSRRefH22_4x_0" localSheetId="13">'201'!$H$38</definedName>
    <definedName name="OSRRefH22_4x_0" localSheetId="14">'202'!$H$40</definedName>
    <definedName name="OSRRefH22_4x_0" localSheetId="15">'203'!$H$41</definedName>
    <definedName name="OSRRefH22_4x_0" localSheetId="16">'204'!$H$43</definedName>
    <definedName name="OSRRefH22_4x_0" localSheetId="17">'205'!$H$35:$H$37</definedName>
    <definedName name="OSRRefH22_4x_0" localSheetId="18">'206'!$H$40</definedName>
    <definedName name="OSRRefH22_4x_0" localSheetId="22">'300'!$H$196</definedName>
    <definedName name="OSRRefH22_4x_0" localSheetId="25">'300 &amp; 317'!$H$221</definedName>
    <definedName name="OSRRefH22_4x_0" localSheetId="50">'301'!$H$43</definedName>
    <definedName name="OSRRefH22_4x_0" localSheetId="51">'306'!$H$40</definedName>
    <definedName name="OSRRefH22_4x_0" localSheetId="53">'307'!$H$98:$H$99</definedName>
    <definedName name="OSRRefH22_4x_0" localSheetId="55">'308'!$H$87</definedName>
    <definedName name="OSRRefH22_4x_0" localSheetId="66">'309'!$H$43</definedName>
    <definedName name="OSRRefH22_4x_0" localSheetId="65">'310'!$H$53</definedName>
    <definedName name="OSRRefH22_4x_0" localSheetId="74">'310 &amp; 491'!$H$64</definedName>
    <definedName name="OSRRefH22_4x_0" localSheetId="56">'311'!$H$86</definedName>
    <definedName name="OSRRefH22_4x_0" localSheetId="67">'313'!$H$50</definedName>
    <definedName name="OSRRefH22_4x_0" localSheetId="54">'314'!$H$76</definedName>
    <definedName name="OSRRefH22_4x_0" localSheetId="59">'315'!$H$78</definedName>
    <definedName name="OSRRefH22_4x_0" localSheetId="61">'316'!$H$53</definedName>
    <definedName name="OSRRefH22_4x_0" localSheetId="64">'317'!$H$78</definedName>
    <definedName name="OSRRefH22_4x_0" localSheetId="62">'320'!$H$51:$H$52</definedName>
    <definedName name="OSRRefH22_4x_0" localSheetId="68">'321'!$H$42</definedName>
    <definedName name="OSRRefH22_4x_0" localSheetId="69">'322'!$H$43</definedName>
    <definedName name="OSRRefH22_4x_0" localSheetId="70">'325'!$H$44</definedName>
    <definedName name="OSRRefH22_4x_0" localSheetId="71">'326'!$H$80</definedName>
    <definedName name="OSRRefH22_4x_0" localSheetId="52">'330'!$H$107:$H$108</definedName>
    <definedName name="OSRRefH22_4x_0" localSheetId="58">'331'!$H$96</definedName>
    <definedName name="OSRRefH22_4x_0" localSheetId="60">'332'!$H$66</definedName>
    <definedName name="OSRRefH22_4x_0" localSheetId="76">'405'!$H$43</definedName>
    <definedName name="OSRRefH22_4x_0" localSheetId="77">'406'!$H$44</definedName>
    <definedName name="OSRRefH22_4x_0" localSheetId="78">'411'!$H$41:$H$43</definedName>
    <definedName name="OSRRefH22_4x_0" localSheetId="79">'412'!$H$45</definedName>
    <definedName name="OSRRefH22_4x_0" localSheetId="81">'413'!$H$44</definedName>
    <definedName name="OSRRefH22_4x_0" localSheetId="82">'414'!$H$44</definedName>
    <definedName name="OSRRefH22_4x_0" localSheetId="83">'415'!$H$44</definedName>
    <definedName name="OSRRefH22_4x_0" localSheetId="84">'418'!$H$44</definedName>
    <definedName name="OSRRefH22_4x_0" localSheetId="80">'420'!$H$42</definedName>
    <definedName name="OSRRefH22_4x_0" localSheetId="85">'423'!$H$37</definedName>
    <definedName name="OSRRefH22_4x_0" localSheetId="86">'424'!$H$40</definedName>
    <definedName name="OSRRefH22_4x_0" localSheetId="87">'425'!$H$48</definedName>
    <definedName name="OSRRefH22_4x_0" localSheetId="90">'430'!$H$35</definedName>
    <definedName name="OSRRefH22_4x_0" localSheetId="91">'433'!$H$47</definedName>
    <definedName name="OSRRefH22_4x_0" localSheetId="92">'435'!$H$37</definedName>
    <definedName name="OSRRefH22_4x_0" localSheetId="93">'444'!$H$46</definedName>
    <definedName name="OSRRefH22_4x_0" localSheetId="95">'450'!$H$46</definedName>
    <definedName name="OSRRefH22_4x_0" localSheetId="75">'491'!$H$56</definedName>
    <definedName name="OSRRefH22_4x_0" localSheetId="89">'492'!$H$50</definedName>
    <definedName name="OSRRefH22_4x_0" localSheetId="97">'501'!$H$41</definedName>
    <definedName name="OSRRefH22_4x_0" localSheetId="9">'Div 2'!$H$44</definedName>
    <definedName name="OSRRefH22_4x_0" localSheetId="19">'Div 3'!$H$201</definedName>
    <definedName name="OSRRefH22_4x_0" localSheetId="73">'Div 4'!$H$57</definedName>
    <definedName name="OSRRefH22_4x_0" localSheetId="96">'Div 5'!$H$41</definedName>
    <definedName name="OSRRefH22_4x_0" localSheetId="63">'Div 6'!$H$78</definedName>
    <definedName name="OSRRefH22_4x_0" localSheetId="2">Summary!$H$236</definedName>
    <definedName name="OSRRefH22_5x_0" localSheetId="13">'201'!$H$40</definedName>
    <definedName name="OSRRefH22_5x_0" localSheetId="14">'202'!$H$42</definedName>
    <definedName name="OSRRefH22_5x_0" localSheetId="15">'203'!$H$43</definedName>
    <definedName name="OSRRefH22_5x_0" localSheetId="16">'204'!$H$45</definedName>
    <definedName name="OSRRefH22_5x_0" localSheetId="17">'205'!$H$39</definedName>
    <definedName name="OSRRefH22_5x_0" localSheetId="18">'206'!$H$42</definedName>
    <definedName name="OSRRefH22_5x_0" localSheetId="22">'300'!$H$198:$H$199</definedName>
    <definedName name="OSRRefH22_5x_0" localSheetId="25">'300 &amp; 317'!$H$223:$H$224</definedName>
    <definedName name="OSRRefH22_5x_0" localSheetId="50">'301'!$H$45:$H$46</definedName>
    <definedName name="OSRRefH22_5x_0" localSheetId="51">'306'!$H$42</definedName>
    <definedName name="OSRRefH22_5x_0" localSheetId="53">'307'!$H$101</definedName>
    <definedName name="OSRRefH22_5x_0" localSheetId="55">'308'!$H$89</definedName>
    <definedName name="OSRRefH22_5x_0" localSheetId="66">'309'!$H$45</definedName>
    <definedName name="OSRRefH22_5x_0" localSheetId="65">'310'!$H$55:$H$56</definedName>
    <definedName name="OSRRefH22_5x_0" localSheetId="74">'310 &amp; 491'!$H$66:$H$68</definedName>
    <definedName name="OSRRefH22_5x_0" localSheetId="56">'311'!$H$88</definedName>
    <definedName name="OSRRefH22_5x_0" localSheetId="67">'313'!$H$52</definedName>
    <definedName name="OSRRefH22_5x_0" localSheetId="54">'314'!$H$78</definedName>
    <definedName name="OSRRefH22_5x_0" localSheetId="59">'315'!$H$80:$H$81</definedName>
    <definedName name="OSRRefH22_5x_0" localSheetId="61">'316'!$H$55</definedName>
    <definedName name="OSRRefH22_5x_0" localSheetId="64">'317'!$H$80</definedName>
    <definedName name="OSRRefH22_5x_0" localSheetId="62">'320'!$H$54</definedName>
    <definedName name="OSRRefH22_5x_0" localSheetId="68">'321'!$H$44</definedName>
    <definedName name="OSRRefH22_5x_0" localSheetId="69">'322'!$H$45</definedName>
    <definedName name="OSRRefH22_5x_0" localSheetId="70">'325'!$H$46:$H$47</definedName>
    <definedName name="OSRRefH22_5x_0" localSheetId="71">'326'!$H$82</definedName>
    <definedName name="OSRRefH22_5x_0" localSheetId="52">'330'!$H$110</definedName>
    <definedName name="OSRRefH22_5x_0" localSheetId="58">'331'!$H$98:$H$99</definedName>
    <definedName name="OSRRefH22_5x_0" localSheetId="60">'332'!$H$68</definedName>
    <definedName name="OSRRefH22_5x_0" localSheetId="76">'405'!$H$45:$H$46</definedName>
    <definedName name="OSRRefH22_5x_0" localSheetId="77">'406'!$H$46</definedName>
    <definedName name="OSRRefH22_5x_0" localSheetId="78">'411'!$H$45</definedName>
    <definedName name="OSRRefH22_5x_0" localSheetId="79">'412'!$H$47</definedName>
    <definedName name="OSRRefH22_5x_0" localSheetId="81">'413'!$H$46</definedName>
    <definedName name="OSRRefH22_5x_0" localSheetId="82">'414'!$H$46</definedName>
    <definedName name="OSRRefH22_5x_0" localSheetId="83">'415'!$H$46:$H$47</definedName>
    <definedName name="OSRRefH22_5x_0" localSheetId="84">'418'!$H$46:$H$47</definedName>
    <definedName name="OSRRefH22_5x_0" localSheetId="80">'420'!$H$44</definedName>
    <definedName name="OSRRefH22_5x_0" localSheetId="85">'423'!$H$39</definedName>
    <definedName name="OSRRefH22_5x_0" localSheetId="86">'424'!$H$42</definedName>
    <definedName name="OSRRefH22_5x_0" localSheetId="87">'425'!$H$50</definedName>
    <definedName name="OSRRefH22_5x_0" localSheetId="90">'430'!$H$37</definedName>
    <definedName name="OSRRefH22_5x_0" localSheetId="91">'433'!$H$49</definedName>
    <definedName name="OSRRefH22_5x_0" localSheetId="92">'435'!$H$39</definedName>
    <definedName name="OSRRefH22_5x_0" localSheetId="93">'444'!$H$48</definedName>
    <definedName name="OSRRefH22_5x_0" localSheetId="95">'450'!$H$48</definedName>
    <definedName name="OSRRefH22_5x_0" localSheetId="75">'491'!$H$58:$H$60</definedName>
    <definedName name="OSRRefH22_5x_0" localSheetId="89">'492'!$H$52</definedName>
    <definedName name="OSRRefH22_5x_0" localSheetId="97">'501'!$H$43:$H$44</definedName>
    <definedName name="OSRRefH22_5x_0" localSheetId="9">'Div 2'!$H$46:$H$47</definedName>
    <definedName name="OSRRefH22_5x_0" localSheetId="19">'Div 3'!$H$203:$H$204</definedName>
    <definedName name="OSRRefH22_5x_0" localSheetId="73">'Div 4'!$H$59:$H$61</definedName>
    <definedName name="OSRRefH22_5x_0" localSheetId="96">'Div 5'!$H$43:$H$44</definedName>
    <definedName name="OSRRefH22_5x_0" localSheetId="63">'Div 6'!$H$80</definedName>
    <definedName name="OSRRefH22_5x_0" localSheetId="2">Summary!$H$238:$H$240</definedName>
    <definedName name="OSRRefH22_6x_0" localSheetId="13">'201'!$H$42</definedName>
    <definedName name="OSRRefH22_6x_0" localSheetId="14">'202'!$H$44</definedName>
    <definedName name="OSRRefH22_6x_0" localSheetId="15">'203'!$H$45</definedName>
    <definedName name="OSRRefH22_6x_0" localSheetId="16">'204'!$H$47:$H$50</definedName>
    <definedName name="OSRRefH22_6x_0" localSheetId="17">'205'!$H$41:$H$42</definedName>
    <definedName name="OSRRefH22_6x_0" localSheetId="18">'206'!$H$44:$H$45</definedName>
    <definedName name="OSRRefH22_6x_0" localSheetId="22">'300'!$H$201:$H$202</definedName>
    <definedName name="OSRRefH22_6x_0" localSheetId="25">'300 &amp; 317'!$H$226:$H$227</definedName>
    <definedName name="OSRRefH22_6x_0" localSheetId="50">'301'!$H$48:$H$49</definedName>
    <definedName name="OSRRefH22_6x_0" localSheetId="51">'306'!$H$44</definedName>
    <definedName name="OSRRefH22_6x_0" localSheetId="53">'307'!$H$103</definedName>
    <definedName name="OSRRefH22_6x_0" localSheetId="55">'308'!$H$91:$H$92</definedName>
    <definedName name="OSRRefH22_6x_0" localSheetId="66">'309'!$H$47</definedName>
    <definedName name="OSRRefH22_6x_0" localSheetId="65">'310'!$H$58</definedName>
    <definedName name="OSRRefH22_6x_0" localSheetId="74">'310 &amp; 491'!$H$70</definedName>
    <definedName name="OSRRefH22_6x_0" localSheetId="56">'311'!$H$90:$H$91</definedName>
    <definedName name="OSRRefH22_6x_0" localSheetId="67">'313'!$H$54</definedName>
    <definedName name="OSRRefH22_6x_0" localSheetId="54">'314'!$H$80</definedName>
    <definedName name="OSRRefH22_6x_0" localSheetId="59">'315'!$H$83</definedName>
    <definedName name="OSRRefH22_6x_0" localSheetId="61">'316'!$H$57</definedName>
    <definedName name="OSRRefH22_6x_0" localSheetId="64">'317'!$H$82</definedName>
    <definedName name="OSRRefH22_6x_0" localSheetId="62">'320'!$H$56</definedName>
    <definedName name="OSRRefH22_6x_0" localSheetId="68">'321'!$H$46</definedName>
    <definedName name="OSRRefH22_6x_0" localSheetId="69">'322'!$H$47</definedName>
    <definedName name="OSRRefH22_6x_0" localSheetId="70">'325'!$H$49</definedName>
    <definedName name="OSRRefH22_6x_0" localSheetId="71">'326'!$H$84</definedName>
    <definedName name="OSRRefH22_6x_0" localSheetId="52">'330'!$H$112</definedName>
    <definedName name="OSRRefH22_6x_0" localSheetId="58">'331'!$H$101</definedName>
    <definedName name="OSRRefH22_6x_0" localSheetId="60">'332'!$H$70:$H$71</definedName>
    <definedName name="OSRRefH22_6x_0" localSheetId="76">'405'!$H$48</definedName>
    <definedName name="OSRRefH22_6x_0" localSheetId="77">'406'!$H$48</definedName>
    <definedName name="OSRRefH22_6x_0" localSheetId="78">'411'!$H$47</definedName>
    <definedName name="OSRRefH22_6x_0" localSheetId="79">'412'!$H$49</definedName>
    <definedName name="OSRRefH22_6x_0" localSheetId="81">'413'!$H$48</definedName>
    <definedName name="OSRRefH22_6x_0" localSheetId="82">'414'!$H$48</definedName>
    <definedName name="OSRRefH22_6x_0" localSheetId="83">'415'!$H$49</definedName>
    <definedName name="OSRRefH22_6x_0" localSheetId="84">'418'!$H$49</definedName>
    <definedName name="OSRRefH22_6x_0" localSheetId="80">'420'!$H$46:$H$47</definedName>
    <definedName name="OSRRefH22_6x_0" localSheetId="85">'423'!$H$41</definedName>
    <definedName name="OSRRefH22_6x_0" localSheetId="86">'424'!$H$44</definedName>
    <definedName name="OSRRefH22_6x_0" localSheetId="87">'425'!$H$52</definedName>
    <definedName name="OSRRefH22_6x_0" localSheetId="90">'430'!$H$39:$H$40</definedName>
    <definedName name="OSRRefH22_6x_0" localSheetId="91">'433'!$H$51</definedName>
    <definedName name="OSRRefH22_6x_0" localSheetId="92">'435'!$H$41</definedName>
    <definedName name="OSRRefH22_6x_0" localSheetId="93">'444'!$H$50</definedName>
    <definedName name="OSRRefH22_6x_0" localSheetId="95">'450'!$H$50</definedName>
    <definedName name="OSRRefH22_6x_0" localSheetId="75">'491'!$H$62</definedName>
    <definedName name="OSRRefH22_6x_0" localSheetId="89">'492'!$H$54</definedName>
    <definedName name="OSRRefH22_6x_0" localSheetId="97">'501'!$H$46</definedName>
    <definedName name="OSRRefH22_6x_0" localSheetId="9">'Div 2'!$H$49</definedName>
    <definedName name="OSRRefH22_6x_0" localSheetId="19">'Div 3'!$H$206:$H$207</definedName>
    <definedName name="OSRRefH22_6x_0" localSheetId="73">'Div 4'!$H$63</definedName>
    <definedName name="OSRRefH22_6x_0" localSheetId="96">'Div 5'!$H$46</definedName>
    <definedName name="OSRRefH22_6x_0" localSheetId="63">'Div 6'!$H$82</definedName>
    <definedName name="OSRRefH22_6x_0" localSheetId="2">Summary!$H$242:$H$243</definedName>
    <definedName name="OSRRefH22_7x_0" localSheetId="13">'201'!$H$44</definedName>
    <definedName name="OSRRefH22_7x_0" localSheetId="14">'202'!$H$46</definedName>
    <definedName name="OSRRefH22_7x_0" localSheetId="15">'203'!$H$47</definedName>
    <definedName name="OSRRefH22_7x_0" localSheetId="16">'204'!$H$52:$H$53</definedName>
    <definedName name="OSRRefH22_7x_0" localSheetId="17">'205'!$H$44</definedName>
    <definedName name="OSRRefH22_7x_0" localSheetId="18">'206'!$H$47</definedName>
    <definedName name="OSRRefH22_7x_0" localSheetId="22">'300'!$H$204</definedName>
    <definedName name="OSRRefH22_7x_0" localSheetId="25">'300 &amp; 317'!$H$229</definedName>
    <definedName name="OSRRefH22_7x_0" localSheetId="50">'301'!$H$51</definedName>
    <definedName name="OSRRefH22_7x_0" localSheetId="51">'306'!$H$46:$H$47</definedName>
    <definedName name="OSRRefH22_7x_0" localSheetId="53">'307'!$H$105</definedName>
    <definedName name="OSRRefH22_7x_0" localSheetId="55">'308'!$H$94</definedName>
    <definedName name="OSRRefH22_7x_0" localSheetId="66">'309'!$H$49</definedName>
    <definedName name="OSRRefH22_7x_0" localSheetId="65">'310'!$H$60</definedName>
    <definedName name="OSRRefH22_7x_0" localSheetId="74">'310 &amp; 491'!$H$72</definedName>
    <definedName name="OSRRefH22_7x_0" localSheetId="56">'311'!$H$93</definedName>
    <definedName name="OSRRefH22_7x_0" localSheetId="67">'313'!$H$56:$H$57</definedName>
    <definedName name="OSRRefH22_7x_0" localSheetId="54">'314'!$H$82:$H$84</definedName>
    <definedName name="OSRRefH22_7x_0" localSheetId="59">'315'!$H$85</definedName>
    <definedName name="OSRRefH22_7x_0" localSheetId="61">'316'!$H$59</definedName>
    <definedName name="OSRRefH22_7x_0" localSheetId="64">'317'!$H$84:$H$85</definedName>
    <definedName name="OSRRefH22_7x_0" localSheetId="62">'320'!$H$58:$H$59</definedName>
    <definedName name="OSRRefH22_7x_0" localSheetId="68">'321'!$H$48:$H$50</definedName>
    <definedName name="OSRRefH22_7x_0" localSheetId="69">'322'!$H$49</definedName>
    <definedName name="OSRRefH22_7x_0" localSheetId="70">'325'!$H$51</definedName>
    <definedName name="OSRRefH22_7x_0" localSheetId="71">'326'!$H$86</definedName>
    <definedName name="OSRRefH22_7x_0" localSheetId="52">'330'!$H$114</definedName>
    <definedName name="OSRRefH22_7x_0" localSheetId="58">'331'!$H$103</definedName>
    <definedName name="OSRRefH22_7x_0" localSheetId="60">'332'!$H$73</definedName>
    <definedName name="OSRRefH22_7x_0" localSheetId="76">'405'!$H$50</definedName>
    <definedName name="OSRRefH22_7x_0" localSheetId="77">'406'!$H$50</definedName>
    <definedName name="OSRRefH22_7x_0" localSheetId="78">'411'!$H$49</definedName>
    <definedName name="OSRRefH22_7x_0" localSheetId="79">'412'!$H$51</definedName>
    <definedName name="OSRRefH22_7x_0" localSheetId="81">'413'!$H$50:$H$52</definedName>
    <definedName name="OSRRefH22_7x_0" localSheetId="82">'414'!$H$50</definedName>
    <definedName name="OSRRefH22_7x_0" localSheetId="83">'415'!$H$51</definedName>
    <definedName name="OSRRefH22_7x_0" localSheetId="84">'418'!$H$51</definedName>
    <definedName name="OSRRefH22_7x_0" localSheetId="80">'420'!$H$49</definedName>
    <definedName name="OSRRefH22_7x_0" localSheetId="86">'424'!$H$46</definedName>
    <definedName name="OSRRefH22_7x_0" localSheetId="87">'425'!$H$54</definedName>
    <definedName name="OSRRefH22_7x_0" localSheetId="90">'430'!$H$42</definedName>
    <definedName name="OSRRefH22_7x_0" localSheetId="91">'433'!$H$53</definedName>
    <definedName name="OSRRefH22_7x_0" localSheetId="92">'435'!$H$43</definedName>
    <definedName name="OSRRefH22_7x_0" localSheetId="93">'444'!$H$52</definedName>
    <definedName name="OSRRefH22_7x_0" localSheetId="95">'450'!$H$52</definedName>
    <definedName name="OSRRefH22_7x_0" localSheetId="75">'491'!$H$64</definedName>
    <definedName name="OSRRefH22_7x_0" localSheetId="89">'492'!$H$56</definedName>
    <definedName name="OSRRefH22_7x_0" localSheetId="97">'501'!$H$48</definedName>
    <definedName name="OSRRefH22_7x_0" localSheetId="9">'Div 2'!$H$51</definedName>
    <definedName name="OSRRefH22_7x_0" localSheetId="19">'Div 3'!$H$209</definedName>
    <definedName name="OSRRefH22_7x_0" localSheetId="73">'Div 4'!$H$65</definedName>
    <definedName name="OSRRefH22_7x_0" localSheetId="96">'Div 5'!$H$48</definedName>
    <definedName name="OSRRefH22_7x_0" localSheetId="63">'Div 6'!$H$84:$H$85</definedName>
    <definedName name="OSRRefH22_7x_0" localSheetId="2">Summary!$H$245</definedName>
    <definedName name="OSRRefH22_8x_0" localSheetId="13">'201'!$H$46</definedName>
    <definedName name="OSRRefH22_8x_0" localSheetId="14">'202'!$H$48</definedName>
    <definedName name="OSRRefH22_8x_0" localSheetId="15">'203'!$H$49</definedName>
    <definedName name="OSRRefH22_8x_0" localSheetId="16">'204'!$H$55:$H$56</definedName>
    <definedName name="OSRRefH22_8x_0" localSheetId="17">'205'!$H$46</definedName>
    <definedName name="OSRRefH22_8x_0" localSheetId="18">'206'!$H$49</definedName>
    <definedName name="OSRRefH22_8x_0" localSheetId="22">'300'!$H$206</definedName>
    <definedName name="OSRRefH22_8x_0" localSheetId="25">'300 &amp; 317'!$H$231</definedName>
    <definedName name="OSRRefH22_8x_0" localSheetId="50">'301'!$H$53</definedName>
    <definedName name="OSRRefH22_8x_0" localSheetId="51">'306'!$H$49:$H$53</definedName>
    <definedName name="OSRRefH22_8x_0" localSheetId="53">'307'!$H$107</definedName>
    <definedName name="OSRRefH22_8x_0" localSheetId="55">'308'!$H$96</definedName>
    <definedName name="OSRRefH22_8x_0" localSheetId="66">'309'!$H$51</definedName>
    <definedName name="OSRRefH22_8x_0" localSheetId="65">'310'!$H$62</definedName>
    <definedName name="OSRRefH22_8x_0" localSheetId="74">'310 &amp; 491'!$H$74</definedName>
    <definedName name="OSRRefH22_8x_0" localSheetId="56">'311'!$H$95</definedName>
    <definedName name="OSRRefH22_8x_0" localSheetId="67">'313'!$H$59</definedName>
    <definedName name="OSRRefH22_8x_0" localSheetId="54">'314'!$H$86</definedName>
    <definedName name="OSRRefH22_8x_0" localSheetId="59">'315'!$H$87</definedName>
    <definedName name="OSRRefH22_8x_0" localSheetId="61">'316'!$H$61:$H$62</definedName>
    <definedName name="OSRRefH22_8x_0" localSheetId="64">'317'!$H$87</definedName>
    <definedName name="OSRRefH22_8x_0" localSheetId="62">'320'!$H$61</definedName>
    <definedName name="OSRRefH22_8x_0" localSheetId="68">'321'!$H$52</definedName>
    <definedName name="OSRRefH22_8x_0" localSheetId="69">'322'!$H$51</definedName>
    <definedName name="OSRRefH22_8x_0" localSheetId="70">'325'!$H$53</definedName>
    <definedName name="OSRRefH22_8x_0" localSheetId="71">'326'!$H$88</definedName>
    <definedName name="OSRRefH22_8x_0" localSheetId="52">'330'!$H$116</definedName>
    <definedName name="OSRRefH22_8x_0" localSheetId="58">'331'!$H$105:$H$106</definedName>
    <definedName name="OSRRefH22_8x_0" localSheetId="60">'332'!$H$75</definedName>
    <definedName name="OSRRefH22_8x_0" localSheetId="76">'405'!$H$52</definedName>
    <definedName name="OSRRefH22_8x_0" localSheetId="77">'406'!$H$52</definedName>
    <definedName name="OSRRefH22_8x_0" localSheetId="78">'411'!$H$51</definedName>
    <definedName name="OSRRefH22_8x_0" localSheetId="79">'412'!$H$53</definedName>
    <definedName name="OSRRefH22_8x_0" localSheetId="81">'413'!$H$54:$H$55</definedName>
    <definedName name="OSRRefH22_8x_0" localSheetId="82">'414'!$H$52</definedName>
    <definedName name="OSRRefH22_8x_0" localSheetId="83">'415'!$H$53</definedName>
    <definedName name="OSRRefH22_8x_0" localSheetId="84">'418'!$H$53</definedName>
    <definedName name="OSRRefH22_8x_0" localSheetId="86">'424'!$H$48</definedName>
    <definedName name="OSRRefH22_8x_0" localSheetId="87">'425'!$H$56</definedName>
    <definedName name="OSRRefH22_8x_0" localSheetId="90">'430'!$H$44</definedName>
    <definedName name="OSRRefH22_8x_0" localSheetId="91">'433'!$H$55</definedName>
    <definedName name="OSRRefH22_8x_0" localSheetId="92">'435'!$H$45:$H$48</definedName>
    <definedName name="OSRRefH22_8x_0" localSheetId="93">'444'!$H$54</definedName>
    <definedName name="OSRRefH22_8x_0" localSheetId="95">'450'!$H$54</definedName>
    <definedName name="OSRRefH22_8x_0" localSheetId="75">'491'!$H$66</definedName>
    <definedName name="OSRRefH22_8x_0" localSheetId="89">'492'!$H$58</definedName>
    <definedName name="OSRRefH22_8x_0" localSheetId="97">'501'!$H$50</definedName>
    <definedName name="OSRRefH22_8x_0" localSheetId="9">'Div 2'!$H$53</definedName>
    <definedName name="OSRRefH22_8x_0" localSheetId="19">'Div 3'!$H$211</definedName>
    <definedName name="OSRRefH22_8x_0" localSheetId="73">'Div 4'!$H$67</definedName>
    <definedName name="OSRRefH22_8x_0" localSheetId="96">'Div 5'!$H$50</definedName>
    <definedName name="OSRRefH22_8x_0" localSheetId="63">'Div 6'!$H$87</definedName>
    <definedName name="OSRRefH22_8x_0" localSheetId="2">Summary!$H$247</definedName>
    <definedName name="OSRRefH22_9x_0" localSheetId="13">'201'!$H$48</definedName>
    <definedName name="OSRRefH22_9x_0" localSheetId="14">'202'!$H$50</definedName>
    <definedName name="OSRRefH22_9x_0" localSheetId="15">'203'!$H$51:$H$53</definedName>
    <definedName name="OSRRefH22_9x_0" localSheetId="16">'204'!$H$58</definedName>
    <definedName name="OSRRefH22_9x_0" localSheetId="22">'300'!$H$208</definedName>
    <definedName name="OSRRefH22_9x_0" localSheetId="25">'300 &amp; 317'!$H$233</definedName>
    <definedName name="OSRRefH22_9x_0" localSheetId="50">'301'!$H$55</definedName>
    <definedName name="OSRRefH22_9x_0" localSheetId="51">'306'!$H$55</definedName>
    <definedName name="OSRRefH22_9x_0" localSheetId="53">'307'!$H$109:$H$110</definedName>
    <definedName name="OSRRefH22_9x_0" localSheetId="55">'308'!$H$98:$H$100</definedName>
    <definedName name="OSRRefH22_9x_0" localSheetId="66">'309'!$H$53:$H$54</definedName>
    <definedName name="OSRRefH22_9x_0" localSheetId="65">'310'!$H$64:$H$65</definedName>
    <definedName name="OSRRefH22_9x_0" localSheetId="74">'310 &amp; 491'!$H$76</definedName>
    <definedName name="OSRRefH22_9x_0" localSheetId="56">'311'!$H$97:$H$99</definedName>
    <definedName name="OSRRefH22_9x_0" localSheetId="67">'313'!$H$61:$H$63</definedName>
    <definedName name="OSRRefH22_9x_0" localSheetId="54">'314'!$H$88</definedName>
    <definedName name="OSRRefH22_9x_0" localSheetId="59">'315'!$H$89:$H$91</definedName>
    <definedName name="OSRRefH22_9x_0" localSheetId="61">'316'!$H$64</definedName>
    <definedName name="OSRRefH22_9x_0" localSheetId="64">'317'!$H$89</definedName>
    <definedName name="OSRRefH22_9x_0" localSheetId="68">'321'!$H$54:$H$56</definedName>
    <definedName name="OSRRefH22_9x_0" localSheetId="69">'322'!$H$53</definedName>
    <definedName name="OSRRefH22_9x_0" localSheetId="70">'325'!$H$55</definedName>
    <definedName name="OSRRefH22_9x_0" localSheetId="71">'326'!$H$90</definedName>
    <definedName name="OSRRefH22_9x_0" localSheetId="52">'330'!$H$118</definedName>
    <definedName name="OSRRefH22_9x_0" localSheetId="58">'331'!$H$108</definedName>
    <definedName name="OSRRefH22_9x_0" localSheetId="60">'332'!$H$77:$H$78</definedName>
    <definedName name="OSRRefH22_9x_0" localSheetId="76">'405'!$H$54</definedName>
    <definedName name="OSRRefH22_9x_0" localSheetId="77">'406'!$H$54:$H$56</definedName>
    <definedName name="OSRRefH22_9x_0" localSheetId="78">'411'!$H$53</definedName>
    <definedName name="OSRRefH22_9x_0" localSheetId="79">'412'!$H$55:$H$57</definedName>
    <definedName name="OSRRefH22_9x_0" localSheetId="81">'413'!$H$57:$H$62</definedName>
    <definedName name="OSRRefH22_9x_0" localSheetId="82">'414'!$H$54:$H$55</definedName>
    <definedName name="OSRRefH22_9x_0" localSheetId="83">'415'!$H$55</definedName>
    <definedName name="OSRRefH22_9x_0" localSheetId="84">'418'!$H$55</definedName>
    <definedName name="OSRRefH22_9x_0" localSheetId="86">'424'!$H$50:$H$51</definedName>
    <definedName name="OSRRefH22_9x_0" localSheetId="87">'425'!$H$58:$H$60</definedName>
    <definedName name="OSRRefH22_9x_0" localSheetId="90">'430'!$H$46</definedName>
    <definedName name="OSRRefH22_9x_0" localSheetId="91">'433'!$H$57</definedName>
    <definedName name="OSRRefH22_9x_0" localSheetId="92">'435'!$H$50</definedName>
    <definedName name="OSRRefH22_9x_0" localSheetId="93">'444'!$H$56</definedName>
    <definedName name="OSRRefH22_9x_0" localSheetId="95">'450'!$H$56</definedName>
    <definedName name="OSRRefH22_9x_0" localSheetId="75">'491'!$H$68</definedName>
    <definedName name="OSRRefH22_9x_0" localSheetId="89">'492'!$H$60</definedName>
    <definedName name="OSRRefH22_9x_0" localSheetId="97">'501'!$H$52</definedName>
    <definedName name="OSRRefH22_9x_0" localSheetId="9">'Div 2'!$H$55</definedName>
    <definedName name="OSRRefH22_9x_0" localSheetId="19">'Div 3'!$H$213</definedName>
    <definedName name="OSRRefH22_9x_0" localSheetId="73">'Div 4'!$H$69</definedName>
    <definedName name="OSRRefH22_9x_0" localSheetId="96">'Div 5'!$H$52</definedName>
    <definedName name="OSRRefH22_9x_0" localSheetId="63">'Div 6'!$H$89</definedName>
    <definedName name="OSRRefH22_9x_0" localSheetId="2">Summary!$H$249</definedName>
    <definedName name="OSRRefH22x_0" localSheetId="12">'200'!$H$20,'200'!$H$22,'200'!$H$24,'200'!$H$26,'200'!$H$28:$H$29</definedName>
    <definedName name="OSRRefH22x_0" localSheetId="13">'201'!$H$20:$H$28,'201'!$H$30:$H$32,'201'!$H$34,'201'!$H$36,'201'!$H$38,'201'!$H$40,'201'!$H$42,'201'!$H$44,'201'!$H$46,'201'!$H$48,'201'!$H$50:$H$52,'201'!$H$54:$H$56,'201'!$H$58,'201'!$H$60:$H$63,'201'!$H$65,'201'!$H$67,'201'!$H$69:$H$70</definedName>
    <definedName name="OSRRefH22x_0" localSheetId="14">'202'!$H$20:$H$27,'202'!$H$29:$H$34,'202'!$H$36,'202'!$H$38,'202'!$H$40,'202'!$H$42,'202'!$H$44,'202'!$H$46,'202'!$H$48,'202'!$H$50,'202'!$H$52:$H$54,'202'!$H$56,'202'!$H$58,'202'!$H$60:$H$62,'202'!$H$64,'202'!$H$66,'202'!$H$68</definedName>
    <definedName name="OSRRefH22x_0" localSheetId="15">'203'!$H$20:$H$29,'203'!$H$31:$H$35,'203'!$H$37,'203'!$H$39,'203'!$H$41,'203'!$H$43,'203'!$H$45,'203'!$H$47,'203'!$H$49,'203'!$H$51:$H$53,'203'!$H$55:$H$56,'203'!$H$58:$H$59,'203'!$H$61:$H$63,'203'!$H$65,'203'!$H$67,'203'!$H$69</definedName>
    <definedName name="OSRRefH22x_0" localSheetId="16">'204'!$H$20:$H$29,'204'!$H$31:$H$36,'204'!$H$38,'204'!$H$40:$H$41,'204'!$H$43,'204'!$H$45,'204'!$H$47:$H$50,'204'!$H$52:$H$53,'204'!$H$55:$H$56,'204'!$H$58,'204'!$H$60:$H$61</definedName>
    <definedName name="OSRRefH22x_0" localSheetId="17">'205'!$H$20:$H$27,'205'!$H$29,'205'!$H$31,'205'!$H$33,'205'!$H$35:$H$37,'205'!$H$39,'205'!$H$41:$H$42,'205'!$H$44,'205'!$H$46</definedName>
    <definedName name="OSRRefH22x_0" localSheetId="18">'206'!$H$20:$H$27,'206'!$H$29:$H$34,'206'!$H$36,'206'!$H$38,'206'!$H$40,'206'!$H$42,'206'!$H$44:$H$45,'206'!$H$47,'206'!$H$49</definedName>
    <definedName name="OSRRefH22x_0" localSheetId="22">'300'!$H$173:$H$181,'300'!$H$183:$H$189,'300'!$H$191,'300'!$H$193:$H$194,'300'!$H$196,'300'!$H$198:$H$199,'300'!$H$201:$H$202,'300'!$H$204,'300'!$H$206,'300'!$H$208,'300'!$H$210:$H$211,'300'!$H$213,'300'!$H$215,'300'!$H$217,'300'!$H$219,'300'!$H$221,'300'!$H$223:$H$226,'300'!$H$228:$H$230,'300'!$H$232:$H$235,'300'!$H$237:$H$238,'300'!$H$240:$H$246,'300'!$H$248:$H$249,'300'!$H$251,'300'!$H$253:$H$255,'300'!$H$257</definedName>
    <definedName name="OSRRefH22x_0" localSheetId="25">'300 &amp; 317'!$H$198:$H$206,'300 &amp; 317'!$H$208:$H$214,'300 &amp; 317'!$H$216,'300 &amp; 317'!$H$218:$H$219,'300 &amp; 317'!$H$221,'300 &amp; 317'!$H$223:$H$224,'300 &amp; 317'!$H$226:$H$227,'300 &amp; 317'!$H$229,'300 &amp; 317'!$H$231,'300 &amp; 317'!$H$233,'300 &amp; 317'!$H$235:$H$236,'300 &amp; 317'!$H$238,'300 &amp; 317'!$H$240,'300 &amp; 317'!$H$242,'300 &amp; 317'!$H$244,'300 &amp; 317'!$H$246,'300 &amp; 317'!$H$248:$H$251,'300 &amp; 317'!$H$253:$H$255,'300 &amp; 317'!$H$257:$H$260,'300 &amp; 317'!$H$262:$H$263,'300 &amp; 317'!$H$265:$H$271,'300 &amp; 317'!$H$273:$H$274,'300 &amp; 317'!$H$276,'300 &amp; 317'!$H$278:$H$280,'300 &amp; 317'!$H$282</definedName>
    <definedName name="OSRRefH22x_0" localSheetId="50">'301'!$H$21:$H$28,'301'!$H$30:$H$36,'301'!$H$38,'301'!$H$40:$H$41,'301'!$H$43,'301'!$H$45:$H$46,'301'!$H$48:$H$49,'301'!$H$51,'301'!$H$53,'301'!$H$55,'301'!$H$57,'301'!$H$59,'301'!$H$61,'301'!$H$63,'301'!$H$65:$H$68,'301'!$H$70,'301'!$H$72:$H$74,'301'!$H$76:$H$77,'301'!$H$79:$H$84,'301'!$H$86,'301'!$H$88,'301'!$H$90:$H$92,'301'!$H$94</definedName>
    <definedName name="OSRRefH22x_0" localSheetId="51">'306'!$H$20:$H$28,'306'!$H$30:$H$34,'306'!$H$36,'306'!$H$38,'306'!$H$40,'306'!$H$42,'306'!$H$44,'306'!$H$46:$H$47,'306'!$H$49:$H$53,'306'!$H$55,'306'!$H$57</definedName>
    <definedName name="OSRRefH22x_0" localSheetId="53">'307'!$H$80:$H$87,'307'!$H$89:$H$92,'307'!$H$94,'307'!$H$96,'307'!$H$98:$H$99,'307'!$H$101,'307'!$H$103,'307'!$H$105,'307'!$H$107,'307'!$H$109:$H$110,'307'!$H$112:$H$113,'307'!$H$115:$H$117,'307'!$H$119,'307'!$H$121,'307'!$H$123</definedName>
    <definedName name="OSRRefH22x_0" localSheetId="55">'308'!$H$66:$H$74,'308'!$H$76:$H$80,'308'!$H$82,'308'!$H$84:$H$85,'308'!$H$87,'308'!$H$89,'308'!$H$91:$H$92,'308'!$H$94,'308'!$H$96,'308'!$H$98:$H$100,'308'!$H$102:$H$103,'308'!$H$105:$H$108,'308'!$H$110:$H$111,'308'!$H$113,'308'!$H$115</definedName>
    <definedName name="OSRRefH22x_0" localSheetId="66">'309'!$H$24:$H$31,'309'!$H$33:$H$37,'309'!$H$39,'309'!$H$41,'309'!$H$43,'309'!$H$45,'309'!$H$47,'309'!$H$49,'309'!$H$51,'309'!$H$53:$H$54,'309'!$H$56:$H$58,'309'!$H$60,'309'!$H$62:$H$68,'309'!$H$70</definedName>
    <definedName name="OSRRefH22x_0" localSheetId="65">'310'!$H$33:$H$40,'310'!$H$42:$H$47,'310'!$H$49,'310'!$H$51,'310'!$H$53,'310'!$H$55:$H$56,'310'!$H$58,'310'!$H$60,'310'!$H$62,'310'!$H$64:$H$65,'310'!$H$67,'310'!$H$69,'310'!$H$71,'310'!$H$73,'310'!$H$75:$H$77,'310'!$H$79,'310'!$H$81:$H$84,'310'!$H$86:$H$87,'310'!$H$89:$H$96,'310'!$H$98,'310'!$H$100,'310'!$H$102,'310'!$H$104</definedName>
    <definedName name="OSRRefH22x_0" localSheetId="74">'310 &amp; 491'!$H$42:$H$50,'310 &amp; 491'!$H$52:$H$58,'310 &amp; 491'!$H$60,'310 &amp; 491'!$H$62,'310 &amp; 491'!$H$64,'310 &amp; 491'!$H$66:$H$68,'310 &amp; 491'!$H$70,'310 &amp; 491'!$H$72,'310 &amp; 491'!$H$74,'310 &amp; 491'!$H$76,'310 &amp; 491'!$H$78:$H$79,'310 &amp; 491'!$H$81:$H$82,'310 &amp; 491'!$H$84,'310 &amp; 491'!$H$86,'310 &amp; 491'!$H$88,'310 &amp; 491'!$H$90,'310 &amp; 491'!$H$92:$H$95,'310 &amp; 491'!$H$97:$H$98,'310 &amp; 491'!$H$100:$H$104,'310 &amp; 491'!$H$106:$H$107,'310 &amp; 491'!$H$109:$H$117,'310 &amp; 491'!$H$119,'310 &amp; 491'!$H$121,'310 &amp; 491'!$H$123:$H$125,'310 &amp; 491'!$H$127</definedName>
    <definedName name="OSRRefH22x_0" localSheetId="56">'311'!$H$65:$H$73,'311'!$H$75:$H$79,'311'!$H$81,'311'!$H$83:$H$84,'311'!$H$86,'311'!$H$88,'311'!$H$90:$H$91,'311'!$H$93,'311'!$H$95,'311'!$H$97:$H$99,'311'!$H$101:$H$102,'311'!$H$104:$H$107,'311'!$H$109:$H$110,'311'!$H$112,'311'!$H$114</definedName>
    <definedName name="OSRRefH22x_0" localSheetId="67">'313'!$H$30:$H$37,'313'!$H$39:$H$44,'313'!$H$46,'313'!$H$48,'313'!$H$50,'313'!$H$52,'313'!$H$54,'313'!$H$56:$H$57,'313'!$H$59,'313'!$H$61:$H$63,'313'!$H$65:$H$66,'313'!$H$68:$H$69,'313'!$H$71:$H$76,'313'!$H$78,'313'!$H$80</definedName>
    <definedName name="OSRRefH22x_0" localSheetId="54">'314'!$H$56:$H$64,'314'!$H$66:$H$69,'314'!$H$71,'314'!$H$73:$H$74,'314'!$H$76,'314'!$H$78,'314'!$H$80,'314'!$H$82:$H$84,'314'!$H$86,'314'!$H$88,'314'!$H$90</definedName>
    <definedName name="OSRRefH22x_0" localSheetId="59">'315'!$H$57:$H$64,'315'!$H$66:$H$71,'315'!$H$73,'315'!$H$75:$H$76,'315'!$H$78,'315'!$H$80:$H$81,'315'!$H$83,'315'!$H$85,'315'!$H$87,'315'!$H$89:$H$91,'315'!$H$93:$H$94,'315'!$H$96:$H$97,'315'!$H$99:$H$103,'315'!$H$105,'315'!$H$107,'315'!$H$109:$H$110</definedName>
    <definedName name="OSRRefH22x_0" localSheetId="61">'316'!$H$35:$H$42,'316'!$H$44:$H$47,'316'!$H$49,'316'!$H$51,'316'!$H$53,'316'!$H$55,'316'!$H$57,'316'!$H$59,'316'!$H$61:$H$62,'316'!$H$64,'316'!$H$66:$H$70,'316'!$H$72,'316'!$H$74</definedName>
    <definedName name="OSRRefH22x_0" localSheetId="64">'317'!$H$58:$H$66,'317'!$H$68:$H$72,'317'!$H$74,'317'!$H$76,'317'!$H$78,'317'!$H$80,'317'!$H$82,'317'!$H$84:$H$85,'317'!$H$87,'317'!$H$89,'317'!$H$91,'317'!$H$93,'317'!$H$95:$H$96,'317'!$H$98,'317'!$H$100,'317'!$H$102:$H$103</definedName>
    <definedName name="OSRRefH22x_0" localSheetId="62">'320'!$H$31:$H$38,'320'!$H$40:$H$45,'320'!$H$47,'320'!$H$49,'320'!$H$51:$H$52,'320'!$H$54,'320'!$H$56,'320'!$H$58:$H$59,'320'!$H$61</definedName>
    <definedName name="OSRRefH22x_0" localSheetId="68">'321'!$H$24:$H$30,'321'!$H$32:$H$36,'321'!$H$38,'321'!$H$40,'321'!$H$42,'321'!$H$44,'321'!$H$46,'321'!$H$48:$H$50,'321'!$H$52,'321'!$H$54:$H$56,'321'!$H$58:$H$63,'321'!$H$65,'321'!$H$67,'321'!$H$69</definedName>
    <definedName name="OSRRefH22x_0" localSheetId="69">'322'!$H$24:$H$31,'322'!$H$33:$H$37,'322'!$H$39,'322'!$H$41,'322'!$H$43,'322'!$H$45,'322'!$H$47,'322'!$H$49,'322'!$H$51,'322'!$H$53,'322'!$H$55:$H$56,'322'!$H$58:$H$60,'322'!$H$62,'322'!$H$64:$H$70,'322'!$H$72,'322'!$H$74,'322'!$H$76</definedName>
    <definedName name="OSRRefH22x_0" localSheetId="57">'324'!$H$25</definedName>
    <definedName name="OSRRefH22x_0" localSheetId="70">'325'!$H$24:$H$31,'325'!$H$33:$H$38,'325'!$H$40,'325'!$H$42,'325'!$H$44,'325'!$H$46:$H$47,'325'!$H$49,'325'!$H$51,'325'!$H$53,'325'!$H$55,'325'!$H$57,'325'!$H$59:$H$61,'325'!$H$63:$H$66,'325'!$H$68:$H$69,'325'!$H$71:$H$76,'325'!$H$78,'325'!$H$80,'325'!$H$82</definedName>
    <definedName name="OSRRefH22x_0" localSheetId="71">'326'!$H$62:$H$69,'326'!$H$71:$H$74,'326'!$H$76,'326'!$H$78,'326'!$H$80,'326'!$H$82,'326'!$H$84,'326'!$H$86,'326'!$H$88,'326'!$H$90,'326'!$H$92,'326'!$H$94,'326'!$H$96,'326'!$H$98:$H$99,'326'!$H$101:$H$103,'326'!$H$105:$H$106,'326'!$H$108:$H$112,'326'!$H$114,'326'!$H$116,'326'!$H$118,'326'!$H$120</definedName>
    <definedName name="OSRRefH22x_0" localSheetId="72">'327'!$H$22,'327'!$H$24,'327'!$H$26</definedName>
    <definedName name="OSRRefH22x_0" localSheetId="52">'330'!$H$87:$H$95,'330'!$H$97:$H$101,'330'!$H$103,'330'!$H$105,'330'!$H$107:$H$108,'330'!$H$110,'330'!$H$112,'330'!$H$114,'330'!$H$116,'330'!$H$118,'330'!$H$120,'330'!$H$122:$H$123,'330'!$H$125:$H$126,'330'!$H$128,'330'!$H$130:$H$132,'330'!$H$134,'330'!$H$136,'330'!$H$138</definedName>
    <definedName name="OSRRefH22x_0" localSheetId="58">'331'!$H$76:$H$83,'331'!$H$85:$H$90,'331'!$H$92,'331'!$H$94,'331'!$H$96,'331'!$H$98:$H$99,'331'!$H$101,'331'!$H$103,'331'!$H$105:$H$106,'331'!$H$108,'331'!$H$110,'331'!$H$112,'331'!$H$114,'331'!$H$116,'331'!$H$118:$H$120,'331'!$H$122:$H$123,'331'!$H$125:$H$127,'331'!$H$129:$H$130,'331'!$H$132:$H$137,'331'!$H$139,'331'!$H$141,'331'!$H$143:$H$144,'331'!$H$146</definedName>
    <definedName name="OSRRefH22x_0" localSheetId="60">'332'!$H$46:$H$53,'332'!$H$55:$H$60,'332'!$H$62,'332'!$H$64,'332'!$H$66,'332'!$H$68,'332'!$H$70:$H$71,'332'!$H$73,'332'!$H$75,'332'!$H$77:$H$78,'332'!$H$80,'332'!$H$82:$H$86,'332'!$H$88,'332'!$H$90</definedName>
    <definedName name="OSRRefH22x_0" localSheetId="76">'405'!$H$24:$H$31,'405'!$H$33:$H$37,'405'!$H$39,'405'!$H$41,'405'!$H$43,'405'!$H$45:$H$46,'405'!$H$48,'405'!$H$50,'405'!$H$52,'405'!$H$54,'405'!$H$56:$H$57,'405'!$H$59,'405'!$H$61:$H$63,'405'!$H$65:$H$66,'405'!$H$68:$H$74,'405'!$H$76,'405'!$H$78,'405'!$H$80,'405'!$H$82</definedName>
    <definedName name="OSRRefH22x_0" localSheetId="77">'406'!$H$24:$H$31,'406'!$H$33:$H$38,'406'!$H$40,'406'!$H$42,'406'!$H$44,'406'!$H$46,'406'!$H$48,'406'!$H$50,'406'!$H$52,'406'!$H$54:$H$56,'406'!$H$58:$H$59,'406'!$H$61:$H$66,'406'!$H$68,'406'!$H$70,'406'!$H$72:$H$73</definedName>
    <definedName name="OSRRefH22x_0" localSheetId="78">'411'!$H$20:$H$28,'411'!$H$30:$H$35,'411'!$H$37,'411'!$H$39,'411'!$H$41:$H$43,'411'!$H$45,'411'!$H$47,'411'!$H$49,'411'!$H$51,'411'!$H$53,'411'!$H$55,'411'!$H$57,'411'!$H$59:$H$62,'411'!$H$64:$H$68,'411'!$H$70:$H$71,'411'!$H$73:$H$80,'411'!$H$82,'411'!$H$84,'411'!$H$86:$H$88,'411'!$H$90</definedName>
    <definedName name="OSRRefH22x_0" localSheetId="79">'412'!$H$25:$H$32,'412'!$H$34:$H$39,'412'!$H$41,'412'!$H$43,'412'!$H$45,'412'!$H$47,'412'!$H$49,'412'!$H$51,'412'!$H$53,'412'!$H$55:$H$57,'412'!$H$59,'412'!$H$61:$H$63,'412'!$H$65:$H$72,'412'!$H$74,'412'!$H$76</definedName>
    <definedName name="OSRRefH22x_0" localSheetId="81">'413'!$H$24:$H$31,'413'!$H$33:$H$38,'413'!$H$40,'413'!$H$42,'413'!$H$44,'413'!$H$46,'413'!$H$48,'413'!$H$50:$H$52,'413'!$H$54:$H$55,'413'!$H$57:$H$62,'413'!$H$64,'413'!$H$66,'413'!$H$68</definedName>
    <definedName name="OSRRefH22x_0" localSheetId="82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3">'415'!$H$24:$H$31,'415'!$H$33:$H$38,'415'!$H$40,'415'!$H$42,'415'!$H$44,'415'!$H$46:$H$47,'415'!$H$49,'415'!$H$51,'415'!$H$53,'415'!$H$55,'415'!$H$57,'415'!$H$59:$H$62,'415'!$H$64:$H$68,'415'!$H$70:$H$71,'415'!$H$73:$H$80,'415'!$H$82,'415'!$H$84,'415'!$H$86,'415'!$H$88</definedName>
    <definedName name="OSRRefH22x_0" localSheetId="84">'418'!$H$24:$H$31,'418'!$H$33:$H$38,'418'!$H$40,'418'!$H$42,'418'!$H$44,'418'!$H$46:$H$47,'418'!$H$49,'418'!$H$51,'418'!$H$53,'418'!$H$55,'418'!$H$57:$H$58,'418'!$H$60:$H$62,'418'!$H$64:$H$66,'418'!$H$68:$H$69,'418'!$H$71:$H$78,'418'!$H$80,'418'!$H$82</definedName>
    <definedName name="OSRRefH22x_0" localSheetId="80">'420'!$H$24:$H$31,'420'!$H$33:$H$36,'420'!$H$38,'420'!$H$40,'420'!$H$42,'420'!$H$44,'420'!$H$46:$H$47,'420'!$H$49</definedName>
    <definedName name="OSRRefH22x_0" localSheetId="85">'423'!$H$21:$H$28,'423'!$H$30:$H$31,'423'!$H$33,'423'!$H$35,'423'!$H$37,'423'!$H$39,'423'!$H$41</definedName>
    <definedName name="OSRRefH22x_0" localSheetId="86">'424'!$H$26:$H$28,'424'!$H$30:$H$34,'424'!$H$36,'424'!$H$38,'424'!$H$40,'424'!$H$42,'424'!$H$44,'424'!$H$46,'424'!$H$48,'424'!$H$50:$H$51,'424'!$H$53,'424'!$H$55,'424'!$H$57:$H$62,'424'!$H$64</definedName>
    <definedName name="OSRRefH22x_0" localSheetId="87">'425'!$H$27:$H$35,'425'!$H$37:$H$42,'425'!$H$44,'425'!$H$46,'425'!$H$48,'425'!$H$50,'425'!$H$52,'425'!$H$54,'425'!$H$56,'425'!$H$58:$H$60,'425'!$H$62,'425'!$H$64:$H$66,'425'!$H$68:$H$74,'425'!$H$76,'425'!$H$78,'425'!$H$80</definedName>
    <definedName name="OSRRefH22x_0" localSheetId="90">'430'!$H$20:$H$27,'430'!$H$29,'430'!$H$31,'430'!$H$33,'430'!$H$35,'430'!$H$37,'430'!$H$39:$H$40,'430'!$H$42,'430'!$H$44,'430'!$H$46</definedName>
    <definedName name="OSRRefH22x_0" localSheetId="91">'433'!$H$26:$H$34,'433'!$H$36:$H$41,'433'!$H$43,'433'!$H$45,'433'!$H$47,'433'!$H$49,'433'!$H$51,'433'!$H$53,'433'!$H$55,'433'!$H$57,'433'!$H$59:$H$61,'433'!$H$63:$H$65,'433'!$H$67:$H$73,'433'!$H$75,'433'!$H$77,'433'!$H$79:$H$80</definedName>
    <definedName name="OSRRefH22x_0" localSheetId="92">'435'!$H$25:$H$27,'435'!$H$29:$H$31,'435'!$H$33,'435'!$H$35,'435'!$H$37,'435'!$H$39,'435'!$H$41,'435'!$H$43,'435'!$H$45:$H$48,'435'!$H$50</definedName>
    <definedName name="OSRRefH22x_0" localSheetId="93">'444'!$H$25:$H$33,'444'!$H$35:$H$40,'444'!$H$42,'444'!$H$44,'444'!$H$46,'444'!$H$48,'444'!$H$50,'444'!$H$52,'444'!$H$54,'444'!$H$56,'444'!$H$58,'444'!$H$60:$H$62,'444'!$H$64:$H$66,'444'!$H$68:$H$75,'444'!$H$77,'444'!$H$79,'444'!$H$81</definedName>
    <definedName name="OSRRefH22x_0" localSheetId="94">'445'!$H$20</definedName>
    <definedName name="OSRRefH22x_0" localSheetId="95">'450'!$H$25:$H$33,'450'!$H$35:$H$40,'450'!$H$42,'450'!$H$44,'450'!$H$46,'450'!$H$48,'450'!$H$50,'450'!$H$52,'450'!$H$54,'450'!$H$56,'450'!$H$58,'450'!$H$60,'450'!$H$62:$H$64,'450'!$H$66:$H$68,'450'!$H$70:$H$76,'450'!$H$78,'450'!$H$80,'450'!$H$82:$H$83</definedName>
    <definedName name="OSRRefH22x_0" localSheetId="88">'455'!$H$20:$H$26,'455'!$H$28:$H$29,'455'!$H$31</definedName>
    <definedName name="OSRRefH22x_0" localSheetId="75">'491'!$H$34:$H$42,'491'!$H$44:$H$50,'491'!$H$52,'491'!$H$54,'491'!$H$56,'491'!$H$58:$H$60,'491'!$H$62,'491'!$H$64,'491'!$H$66,'491'!$H$68,'491'!$H$70,'491'!$H$72:$H$73,'491'!$H$75,'491'!$H$77,'491'!$H$79,'491'!$H$81,'491'!$H$83:$H$86,'491'!$H$88:$H$89,'491'!$H$91:$H$95,'491'!$H$97:$H$98,'491'!$H$100:$H$108,'491'!$H$110,'491'!$H$112,'491'!$H$114:$H$116,'491'!$H$118</definedName>
    <definedName name="OSRRefH22x_0" localSheetId="89">'492'!$H$28:$H$36,'492'!$H$38:$H$44,'492'!$H$46,'492'!$H$48,'492'!$H$50,'492'!$H$52,'492'!$H$54,'492'!$H$56,'492'!$H$58,'492'!$H$60,'492'!$H$62,'492'!$H$64,'492'!$H$66,'492'!$H$68:$H$70,'492'!$H$72:$H$74,'492'!$H$76:$H$83,'492'!$H$85,'492'!$H$87,'492'!$H$89:$H$90</definedName>
    <definedName name="OSRRefH22x_0" localSheetId="97">'501'!$H$21:$H$28,'501'!$H$30:$H$35,'501'!$H$37,'501'!$H$39,'501'!$H$41,'501'!$H$43:$H$44,'501'!$H$46,'501'!$H$48,'501'!$H$50,'501'!$H$52,'501'!$H$54:$H$56,'501'!$H$58,'501'!$H$60:$H$63,'501'!$H$65,'501'!$H$67</definedName>
    <definedName name="OSRRefH22x_0" localSheetId="9">'Div 2'!$H$20:$H$30,'Div 2'!$H$32:$H$38,'Div 2'!$H$40,'Div 2'!$H$42,'Div 2'!$H$44,'Div 2'!$H$46:$H$47,'Div 2'!$H$49,'Div 2'!$H$51,'Div 2'!$H$53,'Div 2'!$H$55,'Div 2'!$H$57,'Div 2'!$H$59,'Div 2'!$H$61:$H$64,'Div 2'!$H$66:$H$69,'Div 2'!$H$71:$H$72,'Div 2'!$H$74:$H$75,'Div 2'!$H$77:$H$81,'Div 2'!$H$83:$H$84,'Div 2'!$H$86,'Div 2'!$H$88:$H$89</definedName>
    <definedName name="OSRRefH22x_0" localSheetId="19">'Div 3'!$H$178:$H$186,'Div 3'!$H$188:$H$194,'Div 3'!$H$196,'Div 3'!$H$198:$H$199,'Div 3'!$H$201,'Div 3'!$H$203:$H$204,'Div 3'!$H$206:$H$207,'Div 3'!$H$209,'Div 3'!$H$211,'Div 3'!$H$213,'Div 3'!$H$215:$H$216,'Div 3'!$H$218,'Div 3'!$H$220,'Div 3'!$H$222,'Div 3'!$H$224,'Div 3'!$H$226,'Div 3'!$H$228,'Div 3'!$H$230:$H$233,'Div 3'!$H$235:$H$237,'Div 3'!$H$239:$H$243,'Div 3'!$H$245:$H$246,'Div 3'!$H$248:$H$255,'Div 3'!$H$257:$H$258,'Div 3'!$H$260,'Div 3'!$H$262:$H$264,'Div 3'!$H$266</definedName>
    <definedName name="OSRRefH22x_0" localSheetId="73">'Div 4'!$H$35:$H$43,'Div 4'!$H$45:$H$51,'Div 4'!$H$53,'Div 4'!$H$55,'Div 4'!$H$57,'Div 4'!$H$59:$H$61,'Div 4'!$H$63,'Div 4'!$H$65,'Div 4'!$H$67,'Div 4'!$H$69,'Div 4'!$H$71,'Div 4'!$H$73:$H$74,'Div 4'!$H$76,'Div 4'!$H$78,'Div 4'!$H$80,'Div 4'!$H$82,'Div 4'!$H$84,'Div 4'!$H$86:$H$89,'Div 4'!$H$91:$H$92,'Div 4'!$H$94:$H$98,'Div 4'!$H$100:$H$101,'Div 4'!$H$103:$H$111,'Div 4'!$H$113,'Div 4'!$H$115,'Div 4'!$H$117:$H$119,'Div 4'!$H$121</definedName>
    <definedName name="OSRRefH22x_0" localSheetId="96">'Div 5'!$H$21:$H$28,'Div 5'!$H$30:$H$35,'Div 5'!$H$37,'Div 5'!$H$39,'Div 5'!$H$41,'Div 5'!$H$43:$H$44,'Div 5'!$H$46,'Div 5'!$H$48,'Div 5'!$H$50,'Div 5'!$H$52,'Div 5'!$H$54:$H$56,'Div 5'!$H$58,'Div 5'!$H$60:$H$63,'Div 5'!$H$65,'Div 5'!$H$67</definedName>
    <definedName name="OSRRefH22x_0" localSheetId="63">'Div 6'!$H$58:$H$66,'Div 6'!$H$68:$H$72,'Div 6'!$H$74,'Div 6'!$H$76,'Div 6'!$H$78,'Div 6'!$H$80,'Div 6'!$H$82,'Div 6'!$H$84:$H$85,'Div 6'!$H$87,'Div 6'!$H$89,'Div 6'!$H$91,'Div 6'!$H$93,'Div 6'!$H$95:$H$96,'Div 6'!$H$98,'Div 6'!$H$100,'Div 6'!$H$102:$H$103</definedName>
    <definedName name="OSRRefH22x_0" localSheetId="2">Summary!$H$213:$H$221,Summary!$H$223:$H$229,Summary!$H$231,Summary!$H$233:$H$234,Summary!$H$236,Summary!$H$238:$H$240,Summary!$H$242:$H$243,Summary!$H$245,Summary!$H$247,Summary!$H$249,Summary!$H$251:$H$252,Summary!$H$254:$H$255,Summary!$H$257,Summary!$H$259,Summary!$H$261,Summary!$H$263,Summary!$H$265,Summary!$H$267,Summary!$H$269:$H$272,Summary!$H$274:$H$276,Summary!$H$278:$H$282,Summary!$H$284:$H$285,Summary!$H$287:$H$295,Summary!$H$297:$H$298,Summary!$H$300,Summary!$H$302:$H$304,Summary!$H$306</definedName>
    <definedName name="OSRRefH25x_0" localSheetId="22">'300'!$H$260:$H$268</definedName>
    <definedName name="OSRRefH25x_0" localSheetId="25">'300 &amp; 317'!$H$285:$H$296</definedName>
    <definedName name="OSRRefH25x_0" localSheetId="50">'301'!$H$97:$H$99</definedName>
    <definedName name="OSRRefH25x_0" localSheetId="53">'307'!$H$126</definedName>
    <definedName name="OSRRefH25x_0" localSheetId="55">'308'!$H$118:$H$120</definedName>
    <definedName name="OSRRefH25x_0" localSheetId="74">'310 &amp; 491'!$H$130:$H$132</definedName>
    <definedName name="OSRRefH25x_0" localSheetId="56">'311'!$H$117:$H$119</definedName>
    <definedName name="OSRRefH25x_0" localSheetId="59">'315'!$H$113</definedName>
    <definedName name="OSRRefH25x_0" localSheetId="61">'316'!$H$77</definedName>
    <definedName name="OSRRefH25x_0" localSheetId="64">'317'!$H$106:$H$109</definedName>
    <definedName name="OSRRefH25x_0" localSheetId="62">'320'!$H$64:$H$68</definedName>
    <definedName name="OSRRefH25x_0" localSheetId="52">'330'!$H$141</definedName>
    <definedName name="OSRRefH25x_0" localSheetId="58">'331'!$H$149</definedName>
    <definedName name="OSRRefH25x_0" localSheetId="60">'332'!$H$93:$H$98</definedName>
    <definedName name="OSRRefH25x_0" localSheetId="78">'411'!$H$93:$H$94</definedName>
    <definedName name="OSRRefH25x_0" localSheetId="81">'413'!$H$71</definedName>
    <definedName name="OSRRefH25x_0" localSheetId="83">'415'!$H$91</definedName>
    <definedName name="OSRRefH25x_0" localSheetId="84">'418'!$H$85</definedName>
    <definedName name="OSRRefH25x_0" localSheetId="85">'423'!$H$44</definedName>
    <definedName name="OSRRefH25x_0" localSheetId="86">'424'!$H$67</definedName>
    <definedName name="OSRRefH25x_0" localSheetId="87">'425'!$H$83</definedName>
    <definedName name="OSRRefH25x_0" localSheetId="88">'455'!$H$34:$H$35</definedName>
    <definedName name="OSRRefH25x_0" localSheetId="75">'491'!$H$121:$H$123</definedName>
    <definedName name="OSRRefH25x_0" localSheetId="97">'501'!$H$70:$H$71</definedName>
    <definedName name="OSRRefH25x_0" localSheetId="19">'Div 3'!$H$269:$H$277</definedName>
    <definedName name="OSRRefH25x_0" localSheetId="73">'Div 4'!$H$124:$H$126</definedName>
    <definedName name="OSRRefH25x_0" localSheetId="96">'Div 5'!$H$70:$H$71</definedName>
    <definedName name="OSRRefH25x_0" localSheetId="63">'Div 6'!$H$106:$H$109</definedName>
    <definedName name="OSRRefH25x_0" localSheetId="2">Summary!$H$309:$H$321</definedName>
    <definedName name="OSRRefP13x_0" localSheetId="22">'300'!$P$13:$P$114</definedName>
    <definedName name="OSRRefP13x_0" localSheetId="25">'300 &amp; 317'!$P$13:$P$132</definedName>
    <definedName name="OSRRefP13x_0" localSheetId="53">'307'!$P$13:$P$51</definedName>
    <definedName name="OSRRefP13x_0" localSheetId="55">'308'!$P$13:$P$42</definedName>
    <definedName name="OSRRefP13x_0" localSheetId="66">'309'!$P$13:$P$14</definedName>
    <definedName name="OSRRefP13x_0" localSheetId="65">'310'!$P$13:$P$23</definedName>
    <definedName name="OSRRefP13x_0" localSheetId="74">'310 &amp; 491'!$P$13:$P$32</definedName>
    <definedName name="OSRRefP13x_0" localSheetId="56">'311'!$P$13:$P$41</definedName>
    <definedName name="OSRRefP13x_0" localSheetId="67">'313'!$P$13:$P$20</definedName>
    <definedName name="OSRRefP13x_0" localSheetId="54">'314'!$P$13:$P$33</definedName>
    <definedName name="OSRRefP13x_0" localSheetId="59">'315'!$P$13:$P$33</definedName>
    <definedName name="OSRRefP13x_0" localSheetId="61">'316'!$P$13:$P$27</definedName>
    <definedName name="OSRRefP13x_0" localSheetId="64">'317'!$P$13:$P$36</definedName>
    <definedName name="OSRRefP13x_0" localSheetId="62">'320'!$P$13:$P$18</definedName>
    <definedName name="OSRRefP13x_0" localSheetId="68">'321'!$P$13:$P$14</definedName>
    <definedName name="OSRRefP13x_0" localSheetId="69">'322'!$P$13:$P$14</definedName>
    <definedName name="OSRRefP13x_0" localSheetId="57">'324'!$P$13:$P$15</definedName>
    <definedName name="OSRRefP13x_0" localSheetId="70">'325'!$P$13:$P$14</definedName>
    <definedName name="OSRRefP13x_0" localSheetId="71">'326'!$P$13:$P$36</definedName>
    <definedName name="OSRRefP13x_0" localSheetId="72">'327'!$P$13</definedName>
    <definedName name="OSRRefP13x_0" localSheetId="52">'330'!$P$13:$P$55</definedName>
    <definedName name="OSRRefP13x_0" localSheetId="58">'331'!$P$13:$P$44</definedName>
    <definedName name="OSRRefP13x_0" localSheetId="60">'332'!$P$13:$P$33</definedName>
    <definedName name="OSRRefP13x_0" localSheetId="76">'405'!$P$13:$P$14</definedName>
    <definedName name="OSRRefP13x_0" localSheetId="77">'406'!$P$13:$P$14</definedName>
    <definedName name="OSRRefP13x_0" localSheetId="79">'412'!$P$13:$P$15</definedName>
    <definedName name="OSRRefP13x_0" localSheetId="81">'413'!$P$13:$P$14</definedName>
    <definedName name="OSRRefP13x_0" localSheetId="82">'414'!$P$13:$P$14</definedName>
    <definedName name="OSRRefP13x_0" localSheetId="83">'415'!$P$13:$P$14</definedName>
    <definedName name="OSRRefP13x_0" localSheetId="84">'418'!$P$13:$P$14</definedName>
    <definedName name="OSRRefP13x_0" localSheetId="80">'420'!$P$13:$P$14</definedName>
    <definedName name="OSRRefP13x_0" localSheetId="86">'424'!$P$13:$P$16</definedName>
    <definedName name="OSRRefP13x_0" localSheetId="87">'425'!$P$13:$P$17</definedName>
    <definedName name="OSRRefP13x_0" localSheetId="91">'433'!$P$13:$P$16</definedName>
    <definedName name="OSRRefP13x_0" localSheetId="92">'435'!$P$13:$P$15</definedName>
    <definedName name="OSRRefP13x_0" localSheetId="93">'444'!$P$13:$P$15</definedName>
    <definedName name="OSRRefP13x_0" localSheetId="95">'450'!$P$13:$P$15</definedName>
    <definedName name="OSRRefP13x_0" localSheetId="75">'491'!$P$13:$P$24</definedName>
    <definedName name="OSRRefP13x_0" localSheetId="89">'492'!$P$13:$P$18</definedName>
    <definedName name="OSRRefP13x_0" localSheetId="97">'501'!$P$13</definedName>
    <definedName name="OSRRefP13x_0" localSheetId="19">'Div 3'!$P$13:$P$117</definedName>
    <definedName name="OSRRefP13x_0" localSheetId="73">'Div 4'!$P$13:$P$25</definedName>
    <definedName name="OSRRefP13x_0" localSheetId="96">'Div 5'!$P$13</definedName>
    <definedName name="OSRRefP13x_0" localSheetId="63">'Div 6'!$P$13:$P$36</definedName>
    <definedName name="OSRRefP13x_0" localSheetId="2">Summary!$P$13:$P$145</definedName>
    <definedName name="OSRRefP16x_0" localSheetId="22">'300'!$P$117:$P$167</definedName>
    <definedName name="OSRRefP16x_0" localSheetId="25">'300 &amp; 317'!$P$135:$P$192</definedName>
    <definedName name="OSRRefP16x_0" localSheetId="50">'301'!$P$15</definedName>
    <definedName name="OSRRefP16x_0" localSheetId="53">'307'!$P$54:$P$74</definedName>
    <definedName name="OSRRefP16x_0" localSheetId="55">'308'!$P$45:$P$60</definedName>
    <definedName name="OSRRefP16x_0" localSheetId="66">'309'!$P$17:$P$18</definedName>
    <definedName name="OSRRefP16x_0" localSheetId="65">'310'!$P$26:$P$27</definedName>
    <definedName name="OSRRefP16x_0" localSheetId="74">'310 &amp; 491'!$P$35:$P$36</definedName>
    <definedName name="OSRRefP16x_0" localSheetId="56">'311'!$P$44:$P$59</definedName>
    <definedName name="OSRRefP16x_0" localSheetId="67">'313'!$P$23:$P$24</definedName>
    <definedName name="OSRRefP16x_0" localSheetId="54">'314'!$P$36:$P$50</definedName>
    <definedName name="OSRRefP16x_0" localSheetId="59">'315'!$P$36:$P$51</definedName>
    <definedName name="OSRRefP16x_0" localSheetId="64">'317'!$P$39:$P$52</definedName>
    <definedName name="OSRRefP16x_0" localSheetId="62">'320'!$P$21:$P$25</definedName>
    <definedName name="OSRRefP16x_0" localSheetId="68">'321'!$P$17:$P$18</definedName>
    <definedName name="OSRRefP16x_0" localSheetId="69">'322'!$P$17:$P$18</definedName>
    <definedName name="OSRRefP16x_0" localSheetId="57">'324'!$P$18:$P$19</definedName>
    <definedName name="OSRRefP16x_0" localSheetId="70">'325'!$P$17:$P$18</definedName>
    <definedName name="OSRRefP16x_0" localSheetId="71">'326'!$P$39:$P$56</definedName>
    <definedName name="OSRRefP16x_0" localSheetId="72">'327'!$P$16</definedName>
    <definedName name="OSRRefP16x_0" localSheetId="52">'330'!$P$58:$P$81</definedName>
    <definedName name="OSRRefP16x_0" localSheetId="58">'331'!$P$47:$P$70</definedName>
    <definedName name="OSRRefP16x_0" localSheetId="60">'332'!$P$36:$P$40</definedName>
    <definedName name="OSRRefP16x_0" localSheetId="76">'405'!$P$17:$P$18</definedName>
    <definedName name="OSRRefP16x_0" localSheetId="77">'406'!$P$17:$P$18</definedName>
    <definedName name="OSRRefP16x_0" localSheetId="79">'412'!$P$18:$P$19</definedName>
    <definedName name="OSRRefP16x_0" localSheetId="81">'413'!$P$17:$P$18</definedName>
    <definedName name="OSRRefP16x_0" localSheetId="82">'414'!$P$17:$P$18</definedName>
    <definedName name="OSRRefP16x_0" localSheetId="83">'415'!$P$17:$P$18</definedName>
    <definedName name="OSRRefP16x_0" localSheetId="84">'418'!$P$17:$P$18</definedName>
    <definedName name="OSRRefP16x_0" localSheetId="80">'420'!$P$17:$P$18</definedName>
    <definedName name="OSRRefP16x_0" localSheetId="85">'423'!$P$15</definedName>
    <definedName name="OSRRefP16x_0" localSheetId="86">'424'!$P$19:$P$20</definedName>
    <definedName name="OSRRefP16x_0" localSheetId="87">'425'!$P$20:$P$21</definedName>
    <definedName name="OSRRefP16x_0" localSheetId="91">'433'!$P$19:$P$20</definedName>
    <definedName name="OSRRefP16x_0" localSheetId="92">'435'!$P$18:$P$19</definedName>
    <definedName name="OSRRefP16x_0" localSheetId="93">'444'!$P$18:$P$19</definedName>
    <definedName name="OSRRefP16x_0" localSheetId="95">'450'!$P$18:$P$19</definedName>
    <definedName name="OSRRefP16x_0" localSheetId="75">'491'!$P$27:$P$28</definedName>
    <definedName name="OSRRefP16x_0" localSheetId="89">'492'!$P$21:$P$22</definedName>
    <definedName name="OSRRefP16x_0" localSheetId="19">'Div 3'!$P$120:$P$172</definedName>
    <definedName name="OSRRefP16x_0" localSheetId="73">'Div 4'!$P$28:$P$29</definedName>
    <definedName name="OSRRefP16x_0" localSheetId="63">'Div 6'!$P$39:$P$52</definedName>
    <definedName name="OSRRefP16x_0" localSheetId="2">Summary!$P$148:$P$207</definedName>
    <definedName name="OSRRefP22_0x_0" localSheetId="12">'200'!$P$20</definedName>
    <definedName name="OSRRefP22_0x_0" localSheetId="13">'201'!$P$20:$P$28</definedName>
    <definedName name="OSRRefP22_0x_0" localSheetId="14">'202'!$P$20:$P$27</definedName>
    <definedName name="OSRRefP22_0x_0" localSheetId="15">'203'!$P$20:$P$29</definedName>
    <definedName name="OSRRefP22_0x_0" localSheetId="16">'204'!$P$20:$P$29</definedName>
    <definedName name="OSRRefP22_0x_0" localSheetId="17">'205'!$P$20:$P$27</definedName>
    <definedName name="OSRRefP22_0x_0" localSheetId="18">'206'!$P$20:$P$27</definedName>
    <definedName name="OSRRefP22_0x_0" localSheetId="22">'300'!$P$173:$P$181</definedName>
    <definedName name="OSRRefP22_0x_0" localSheetId="25">'300 &amp; 317'!$P$198:$P$206</definedName>
    <definedName name="OSRRefP22_0x_0" localSheetId="50">'301'!$P$21:$P$28</definedName>
    <definedName name="OSRRefP22_0x_0" localSheetId="51">'306'!$P$20:$P$28</definedName>
    <definedName name="OSRRefP22_0x_0" localSheetId="53">'307'!$P$80:$P$87</definedName>
    <definedName name="OSRRefP22_0x_0" localSheetId="55">'308'!$P$66:$P$74</definedName>
    <definedName name="OSRRefP22_0x_0" localSheetId="66">'309'!$P$24:$P$31</definedName>
    <definedName name="OSRRefP22_0x_0" localSheetId="65">'310'!$P$33:$P$40</definedName>
    <definedName name="OSRRefP22_0x_0" localSheetId="74">'310 &amp; 491'!$P$42:$P$50</definedName>
    <definedName name="OSRRefP22_0x_0" localSheetId="56">'311'!$P$65:$P$73</definedName>
    <definedName name="OSRRefP22_0x_0" localSheetId="67">'313'!$P$30:$P$37</definedName>
    <definedName name="OSRRefP22_0x_0" localSheetId="54">'314'!$P$56:$P$64</definedName>
    <definedName name="OSRRefP22_0x_0" localSheetId="59">'315'!$P$57:$P$64</definedName>
    <definedName name="OSRRefP22_0x_0" localSheetId="61">'316'!$P$35:$P$42</definedName>
    <definedName name="OSRRefP22_0x_0" localSheetId="64">'317'!$P$58:$P$66</definedName>
    <definedName name="OSRRefP22_0x_0" localSheetId="62">'320'!$P$31:$P$38</definedName>
    <definedName name="OSRRefP22_0x_0" localSheetId="68">'321'!$P$24:$P$30</definedName>
    <definedName name="OSRRefP22_0x_0" localSheetId="69">'322'!$P$24:$P$31</definedName>
    <definedName name="OSRRefP22_0x_0" localSheetId="57">'324'!$P$25</definedName>
    <definedName name="OSRRefP22_0x_0" localSheetId="70">'325'!$P$24:$P$31</definedName>
    <definedName name="OSRRefP22_0x_0" localSheetId="71">'326'!$P$62:$P$69</definedName>
    <definedName name="OSRRefP22_0x_0" localSheetId="72">'327'!$P$22</definedName>
    <definedName name="OSRRefP22_0x_0" localSheetId="52">'330'!$P$87:$P$95</definedName>
    <definedName name="OSRRefP22_0x_0" localSheetId="58">'331'!$P$76:$P$83</definedName>
    <definedName name="OSRRefP22_0x_0" localSheetId="60">'332'!$P$46:$P$53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'412'!$P$25:$P$32</definedName>
    <definedName name="OSRRefP22_0x_0" localSheetId="81">'413'!$P$24:$P$31</definedName>
    <definedName name="OSRRefP22_0x_0" localSheetId="82">'414'!$P$24:$P$31</definedName>
    <definedName name="OSRRefP22_0x_0" localSheetId="83">'415'!$P$24:$P$31</definedName>
    <definedName name="OSRRefP22_0x_0" localSheetId="84">'418'!$P$24:$P$31</definedName>
    <definedName name="OSRRefP22_0x_0" localSheetId="80">'420'!$P$24:$P$31</definedName>
    <definedName name="OSRRefP22_0x_0" localSheetId="85">'423'!$P$21:$P$28</definedName>
    <definedName name="OSRRefP22_0x_0" localSheetId="86">'424'!$P$26:$P$28</definedName>
    <definedName name="OSRRefP22_0x_0" localSheetId="87">'425'!$P$27:$P$35</definedName>
    <definedName name="OSRRefP22_0x_0" localSheetId="90">'430'!$P$20:$P$27</definedName>
    <definedName name="OSRRefP22_0x_0" localSheetId="91">'433'!$P$26:$P$34</definedName>
    <definedName name="OSRRefP22_0x_0" localSheetId="92">'435'!$P$25:$P$27</definedName>
    <definedName name="OSRRefP22_0x_0" localSheetId="93">'444'!$P$25:$P$33</definedName>
    <definedName name="OSRRefP22_0x_0" localSheetId="94">'445'!$P$20</definedName>
    <definedName name="OSRRefP22_0x_0" localSheetId="95">'450'!$P$25:$P$33</definedName>
    <definedName name="OSRRefP22_0x_0" localSheetId="88">'455'!$P$20:$P$26</definedName>
    <definedName name="OSRRefP22_0x_0" localSheetId="75">'491'!$P$34:$P$42</definedName>
    <definedName name="OSRRefP22_0x_0" localSheetId="89">'492'!$P$28:$P$36</definedName>
    <definedName name="OSRRefP22_0x_0" localSheetId="97">'501'!$P$21:$P$28</definedName>
    <definedName name="OSRRefP22_0x_0" localSheetId="9">'Div 2'!$P$20:$P$30</definedName>
    <definedName name="OSRRefP22_0x_0" localSheetId="19">'Div 3'!$P$178:$P$186</definedName>
    <definedName name="OSRRefP22_0x_0" localSheetId="73">'Div 4'!$P$35:$P$43</definedName>
    <definedName name="OSRRefP22_0x_0" localSheetId="96">'Div 5'!$P$21:$P$28</definedName>
    <definedName name="OSRRefP22_0x_0" localSheetId="63">'Div 6'!$P$58:$P$66</definedName>
    <definedName name="OSRRefP22_0x_0" localSheetId="2">Summary!$P$213:$P$221</definedName>
    <definedName name="OSRRefP22_10x_0" localSheetId="13">'201'!$P$50:$P$52</definedName>
    <definedName name="OSRRefP22_10x_0" localSheetId="14">'202'!$P$52:$P$54</definedName>
    <definedName name="OSRRefP22_10x_0" localSheetId="15">'203'!$P$55:$P$56</definedName>
    <definedName name="OSRRefP22_10x_0" localSheetId="16">'204'!$P$60:$P$61</definedName>
    <definedName name="OSRRefP22_10x_0" localSheetId="22">'300'!$P$210:$P$211</definedName>
    <definedName name="OSRRefP22_10x_0" localSheetId="25">'300 &amp; 317'!$P$235:$P$236</definedName>
    <definedName name="OSRRefP22_10x_0" localSheetId="50">'301'!$P$57</definedName>
    <definedName name="OSRRefP22_10x_0" localSheetId="51">'306'!$P$57</definedName>
    <definedName name="OSRRefP22_10x_0" localSheetId="53">'307'!$P$112:$P$113</definedName>
    <definedName name="OSRRefP22_10x_0" localSheetId="55">'308'!$P$102:$P$103</definedName>
    <definedName name="OSRRefP22_10x_0" localSheetId="66">'309'!$P$56:$P$58</definedName>
    <definedName name="OSRRefP22_10x_0" localSheetId="65">'310'!$P$67</definedName>
    <definedName name="OSRRefP22_10x_0" localSheetId="74">'310 &amp; 491'!$P$78:$P$79</definedName>
    <definedName name="OSRRefP22_10x_0" localSheetId="56">'311'!$P$101:$P$102</definedName>
    <definedName name="OSRRefP22_10x_0" localSheetId="67">'313'!$P$65:$P$66</definedName>
    <definedName name="OSRRefP22_10x_0" localSheetId="54">'314'!$P$90</definedName>
    <definedName name="OSRRefP22_10x_0" localSheetId="59">'315'!$P$93:$P$94</definedName>
    <definedName name="OSRRefP22_10x_0" localSheetId="61">'316'!$P$66:$P$70</definedName>
    <definedName name="OSRRefP22_10x_0" localSheetId="64">'317'!$P$91</definedName>
    <definedName name="OSRRefP22_10x_0" localSheetId="68">'321'!$P$58:$P$63</definedName>
    <definedName name="OSRRefP22_10x_0" localSheetId="69">'322'!$P$55:$P$56</definedName>
    <definedName name="OSRRefP22_10x_0" localSheetId="70">'325'!$P$57</definedName>
    <definedName name="OSRRefP22_10x_0" localSheetId="71">'326'!$P$92</definedName>
    <definedName name="OSRRefP22_10x_0" localSheetId="52">'330'!$P$120</definedName>
    <definedName name="OSRRefP22_10x_0" localSheetId="58">'331'!$P$110</definedName>
    <definedName name="OSRRefP22_10x_0" localSheetId="60">'332'!$P$80</definedName>
    <definedName name="OSRRefP22_10x_0" localSheetId="76">'405'!$P$56:$P$57</definedName>
    <definedName name="OSRRefP22_10x_0" localSheetId="77">'406'!$P$58:$P$59</definedName>
    <definedName name="OSRRefP22_10x_0" localSheetId="78">'411'!$P$55</definedName>
    <definedName name="OSRRefP22_10x_0" localSheetId="79">'412'!$P$59</definedName>
    <definedName name="OSRRefP22_10x_0" localSheetId="81">'413'!$P$64</definedName>
    <definedName name="OSRRefP22_10x_0" localSheetId="82">'414'!$P$57</definedName>
    <definedName name="OSRRefP22_10x_0" localSheetId="83">'415'!$P$57</definedName>
    <definedName name="OSRRefP22_10x_0" localSheetId="84">'418'!$P$57:$P$58</definedName>
    <definedName name="OSRRefP22_10x_0" localSheetId="86">'424'!$P$53</definedName>
    <definedName name="OSRRefP22_10x_0" localSheetId="87">'425'!$P$62</definedName>
    <definedName name="OSRRefP22_10x_0" localSheetId="91">'433'!$P$59:$P$61</definedName>
    <definedName name="OSRRefP22_10x_0" localSheetId="93">'444'!$P$58</definedName>
    <definedName name="OSRRefP22_10x_0" localSheetId="95">'450'!$P$58</definedName>
    <definedName name="OSRRefP22_10x_0" localSheetId="75">'491'!$P$70</definedName>
    <definedName name="OSRRefP22_10x_0" localSheetId="89">'492'!$P$62</definedName>
    <definedName name="OSRRefP22_10x_0" localSheetId="97">'501'!$P$54:$P$56</definedName>
    <definedName name="OSRRefP22_10x_0" localSheetId="9">'Div 2'!$P$57</definedName>
    <definedName name="OSRRefP22_10x_0" localSheetId="19">'Div 3'!$P$215:$P$216</definedName>
    <definedName name="OSRRefP22_10x_0" localSheetId="73">'Div 4'!$P$71</definedName>
    <definedName name="OSRRefP22_10x_0" localSheetId="96">'Div 5'!$P$54:$P$56</definedName>
    <definedName name="OSRRefP22_10x_0" localSheetId="63">'Div 6'!$P$91</definedName>
    <definedName name="OSRRefP22_10x_0" localSheetId="2">Summary!$P$251:$P$252</definedName>
    <definedName name="OSRRefP22_11x_0" localSheetId="13">'201'!$P$54:$P$56</definedName>
    <definedName name="OSRRefP22_11x_0" localSheetId="14">'202'!$P$56</definedName>
    <definedName name="OSRRefP22_11x_0" localSheetId="15">'203'!$P$58:$P$59</definedName>
    <definedName name="OSRRefP22_11x_0" localSheetId="22">'300'!$P$213</definedName>
    <definedName name="OSRRefP22_11x_0" localSheetId="25">'300 &amp; 317'!$P$238</definedName>
    <definedName name="OSRRefP22_11x_0" localSheetId="50">'301'!$P$59</definedName>
    <definedName name="OSRRefP22_11x_0" localSheetId="53">'307'!$P$115:$P$117</definedName>
    <definedName name="OSRRefP22_11x_0" localSheetId="55">'308'!$P$105:$P$108</definedName>
    <definedName name="OSRRefP22_11x_0" localSheetId="66">'309'!$P$60</definedName>
    <definedName name="OSRRefP22_11x_0" localSheetId="65">'310'!$P$69</definedName>
    <definedName name="OSRRefP22_11x_0" localSheetId="74">'310 &amp; 491'!$P$81:$P$82</definedName>
    <definedName name="OSRRefP22_11x_0" localSheetId="56">'311'!$P$104:$P$107</definedName>
    <definedName name="OSRRefP22_11x_0" localSheetId="67">'313'!$P$68:$P$69</definedName>
    <definedName name="OSRRefP22_11x_0" localSheetId="59">'315'!$P$96:$P$97</definedName>
    <definedName name="OSRRefP22_11x_0" localSheetId="61">'316'!$P$72</definedName>
    <definedName name="OSRRefP22_11x_0" localSheetId="64">'317'!$P$93</definedName>
    <definedName name="OSRRefP22_11x_0" localSheetId="68">'321'!$P$65</definedName>
    <definedName name="OSRRefP22_11x_0" localSheetId="69">'322'!$P$58:$P$60</definedName>
    <definedName name="OSRRefP22_11x_0" localSheetId="70">'325'!$P$59:$P$61</definedName>
    <definedName name="OSRRefP22_11x_0" localSheetId="71">'326'!$P$94</definedName>
    <definedName name="OSRRefP22_11x_0" localSheetId="52">'330'!$P$122:$P$123</definedName>
    <definedName name="OSRRefP22_11x_0" localSheetId="58">'331'!$P$112</definedName>
    <definedName name="OSRRefP22_11x_0" localSheetId="60">'332'!$P$82:$P$86</definedName>
    <definedName name="OSRRefP22_11x_0" localSheetId="76">'405'!$P$59</definedName>
    <definedName name="OSRRefP22_11x_0" localSheetId="77">'406'!$P$61:$P$66</definedName>
    <definedName name="OSRRefP22_11x_0" localSheetId="78">'411'!$P$57</definedName>
    <definedName name="OSRRefP22_11x_0" localSheetId="79">'412'!$P$61:$P$63</definedName>
    <definedName name="OSRRefP22_11x_0" localSheetId="81">'413'!$P$66</definedName>
    <definedName name="OSRRefP22_11x_0" localSheetId="82">'414'!$P$59</definedName>
    <definedName name="OSRRefP22_11x_0" localSheetId="83">'415'!$P$59:$P$62</definedName>
    <definedName name="OSRRefP22_11x_0" localSheetId="84">'418'!$P$60:$P$62</definedName>
    <definedName name="OSRRefP22_11x_0" localSheetId="86">'424'!$P$55</definedName>
    <definedName name="OSRRefP22_11x_0" localSheetId="87">'425'!$P$64:$P$66</definedName>
    <definedName name="OSRRefP22_11x_0" localSheetId="91">'433'!$P$63:$P$65</definedName>
    <definedName name="OSRRefP22_11x_0" localSheetId="93">'444'!$P$60:$P$62</definedName>
    <definedName name="OSRRefP22_11x_0" localSheetId="95">'450'!$P$60</definedName>
    <definedName name="OSRRefP22_11x_0" localSheetId="75">'491'!$P$72:$P$73</definedName>
    <definedName name="OSRRefP22_11x_0" localSheetId="89">'492'!$P$64</definedName>
    <definedName name="OSRRefP22_11x_0" localSheetId="97">'501'!$P$58</definedName>
    <definedName name="OSRRefP22_11x_0" localSheetId="9">'Div 2'!$P$59</definedName>
    <definedName name="OSRRefP22_11x_0" localSheetId="19">'Div 3'!$P$218</definedName>
    <definedName name="OSRRefP22_11x_0" localSheetId="73">'Div 4'!$P$73:$P$74</definedName>
    <definedName name="OSRRefP22_11x_0" localSheetId="96">'Div 5'!$P$58</definedName>
    <definedName name="OSRRefP22_11x_0" localSheetId="63">'Div 6'!$P$93</definedName>
    <definedName name="OSRRefP22_11x_0" localSheetId="2">Summary!$P$254:$P$255</definedName>
    <definedName name="OSRRefP22_12x_0" localSheetId="13">'201'!$P$58</definedName>
    <definedName name="OSRRefP22_12x_0" localSheetId="14">'202'!$P$58</definedName>
    <definedName name="OSRRefP22_12x_0" localSheetId="15">'203'!$P$61:$P$63</definedName>
    <definedName name="OSRRefP22_12x_0" localSheetId="22">'300'!$P$215</definedName>
    <definedName name="OSRRefP22_12x_0" localSheetId="25">'300 &amp; 317'!$P$240</definedName>
    <definedName name="OSRRefP22_12x_0" localSheetId="50">'301'!$P$61</definedName>
    <definedName name="OSRRefP22_12x_0" localSheetId="53">'307'!$P$119</definedName>
    <definedName name="OSRRefP22_12x_0" localSheetId="55">'308'!$P$110:$P$111</definedName>
    <definedName name="OSRRefP22_12x_0" localSheetId="66">'309'!$P$62:$P$68</definedName>
    <definedName name="OSRRefP22_12x_0" localSheetId="65">'310'!$P$71</definedName>
    <definedName name="OSRRefP22_12x_0" localSheetId="74">'310 &amp; 491'!$P$84</definedName>
    <definedName name="OSRRefP22_12x_0" localSheetId="56">'311'!$P$109:$P$110</definedName>
    <definedName name="OSRRefP22_12x_0" localSheetId="67">'313'!$P$71:$P$76</definedName>
    <definedName name="OSRRefP22_12x_0" localSheetId="59">'315'!$P$99:$P$103</definedName>
    <definedName name="OSRRefP22_12x_0" localSheetId="61">'316'!$P$74</definedName>
    <definedName name="OSRRefP22_12x_0" localSheetId="64">'317'!$P$95:$P$96</definedName>
    <definedName name="OSRRefP22_12x_0" localSheetId="68">'321'!$P$67</definedName>
    <definedName name="OSRRefP22_12x_0" localSheetId="69">'322'!$P$62</definedName>
    <definedName name="OSRRefP22_12x_0" localSheetId="70">'325'!$P$63:$P$66</definedName>
    <definedName name="OSRRefP22_12x_0" localSheetId="71">'326'!$P$96</definedName>
    <definedName name="OSRRefP22_12x_0" localSheetId="52">'330'!$P$125:$P$126</definedName>
    <definedName name="OSRRefP22_12x_0" localSheetId="58">'331'!$P$114</definedName>
    <definedName name="OSRRefP22_12x_0" localSheetId="60">'332'!$P$88</definedName>
    <definedName name="OSRRefP22_12x_0" localSheetId="76">'405'!$P$61:$P$63</definedName>
    <definedName name="OSRRefP22_12x_0" localSheetId="77">'406'!$P$68</definedName>
    <definedName name="OSRRefP22_12x_0" localSheetId="78">'411'!$P$59:$P$62</definedName>
    <definedName name="OSRRefP22_12x_0" localSheetId="79">'412'!$P$65:$P$72</definedName>
    <definedName name="OSRRefP22_12x_0" localSheetId="81">'413'!$P$68</definedName>
    <definedName name="OSRRefP22_12x_0" localSheetId="82">'414'!$P$61</definedName>
    <definedName name="OSRRefP22_12x_0" localSheetId="83">'415'!$P$64:$P$68</definedName>
    <definedName name="OSRRefP22_12x_0" localSheetId="84">'418'!$P$64:$P$66</definedName>
    <definedName name="OSRRefP22_12x_0" localSheetId="86">'424'!$P$57:$P$62</definedName>
    <definedName name="OSRRefP22_12x_0" localSheetId="87">'425'!$P$68:$P$74</definedName>
    <definedName name="OSRRefP22_12x_0" localSheetId="91">'433'!$P$67:$P$73</definedName>
    <definedName name="OSRRefP22_12x_0" localSheetId="93">'444'!$P$64:$P$66</definedName>
    <definedName name="OSRRefP22_12x_0" localSheetId="95">'450'!$P$62:$P$64</definedName>
    <definedName name="OSRRefP22_12x_0" localSheetId="75">'491'!$P$75</definedName>
    <definedName name="OSRRefP22_12x_0" localSheetId="89">'492'!$P$66</definedName>
    <definedName name="OSRRefP22_12x_0" localSheetId="97">'501'!$P$60:$P$63</definedName>
    <definedName name="OSRRefP22_12x_0" localSheetId="9">'Div 2'!$P$61:$P$64</definedName>
    <definedName name="OSRRefP22_12x_0" localSheetId="19">'Div 3'!$P$220</definedName>
    <definedName name="OSRRefP22_12x_0" localSheetId="73">'Div 4'!$P$76</definedName>
    <definedName name="OSRRefP22_12x_0" localSheetId="96">'Div 5'!$P$60:$P$63</definedName>
    <definedName name="OSRRefP22_12x_0" localSheetId="63">'Div 6'!$P$95:$P$96</definedName>
    <definedName name="OSRRefP22_12x_0" localSheetId="2">Summary!$P$257</definedName>
    <definedName name="OSRRefP22_13x_0" localSheetId="13">'201'!$P$60:$P$63</definedName>
    <definedName name="OSRRefP22_13x_0" localSheetId="14">'202'!$P$60:$P$62</definedName>
    <definedName name="OSRRefP22_13x_0" localSheetId="15">'203'!$P$65</definedName>
    <definedName name="OSRRefP22_13x_0" localSheetId="22">'300'!$P$217</definedName>
    <definedName name="OSRRefP22_13x_0" localSheetId="25">'300 &amp; 317'!$P$242</definedName>
    <definedName name="OSRRefP22_13x_0" localSheetId="50">'301'!$P$63</definedName>
    <definedName name="OSRRefP22_13x_0" localSheetId="53">'307'!$P$121</definedName>
    <definedName name="OSRRefP22_13x_0" localSheetId="55">'308'!$P$113</definedName>
    <definedName name="OSRRefP22_13x_0" localSheetId="66">'309'!$P$70</definedName>
    <definedName name="OSRRefP22_13x_0" localSheetId="65">'310'!$P$73</definedName>
    <definedName name="OSRRefP22_13x_0" localSheetId="74">'310 &amp; 491'!$P$86</definedName>
    <definedName name="OSRRefP22_13x_0" localSheetId="56">'311'!$P$112</definedName>
    <definedName name="OSRRefP22_13x_0" localSheetId="67">'313'!$P$78</definedName>
    <definedName name="OSRRefP22_13x_0" localSheetId="59">'315'!$P$105</definedName>
    <definedName name="OSRRefP22_13x_0" localSheetId="64">'317'!$P$98</definedName>
    <definedName name="OSRRefP22_13x_0" localSheetId="68">'321'!$P$69</definedName>
    <definedName name="OSRRefP22_13x_0" localSheetId="69">'322'!$P$64:$P$70</definedName>
    <definedName name="OSRRefP22_13x_0" localSheetId="70">'325'!$P$68:$P$69</definedName>
    <definedName name="OSRRefP22_13x_0" localSheetId="71">'326'!$P$98:$P$99</definedName>
    <definedName name="OSRRefP22_13x_0" localSheetId="52">'330'!$P$128</definedName>
    <definedName name="OSRRefP22_13x_0" localSheetId="58">'331'!$P$116</definedName>
    <definedName name="OSRRefP22_13x_0" localSheetId="60">'332'!$P$90</definedName>
    <definedName name="OSRRefP22_13x_0" localSheetId="76">'405'!$P$65:$P$66</definedName>
    <definedName name="OSRRefP22_13x_0" localSheetId="77">'406'!$P$70</definedName>
    <definedName name="OSRRefP22_13x_0" localSheetId="78">'411'!$P$64:$P$68</definedName>
    <definedName name="OSRRefP22_13x_0" localSheetId="79">'412'!$P$74</definedName>
    <definedName name="OSRRefP22_13x_0" localSheetId="82">'414'!$P$63:$P$69</definedName>
    <definedName name="OSRRefP22_13x_0" localSheetId="83">'415'!$P$70:$P$71</definedName>
    <definedName name="OSRRefP22_13x_0" localSheetId="84">'418'!$P$68:$P$69</definedName>
    <definedName name="OSRRefP22_13x_0" localSheetId="86">'424'!$P$64</definedName>
    <definedName name="OSRRefP22_13x_0" localSheetId="87">'425'!$P$76</definedName>
    <definedName name="OSRRefP22_13x_0" localSheetId="91">'433'!$P$75</definedName>
    <definedName name="OSRRefP22_13x_0" localSheetId="93">'444'!$P$68:$P$75</definedName>
    <definedName name="OSRRefP22_13x_0" localSheetId="95">'450'!$P$66:$P$68</definedName>
    <definedName name="OSRRefP22_13x_0" localSheetId="75">'491'!$P$77</definedName>
    <definedName name="OSRRefP22_13x_0" localSheetId="89">'492'!$P$68:$P$70</definedName>
    <definedName name="OSRRefP22_13x_0" localSheetId="97">'501'!$P$65</definedName>
    <definedName name="OSRRefP22_13x_0" localSheetId="9">'Div 2'!$P$66:$P$69</definedName>
    <definedName name="OSRRefP22_13x_0" localSheetId="19">'Div 3'!$P$222</definedName>
    <definedName name="OSRRefP22_13x_0" localSheetId="73">'Div 4'!$P$78</definedName>
    <definedName name="OSRRefP22_13x_0" localSheetId="96">'Div 5'!$P$65</definedName>
    <definedName name="OSRRefP22_13x_0" localSheetId="63">'Div 6'!$P$98</definedName>
    <definedName name="OSRRefP22_13x_0" localSheetId="2">Summary!$P$259</definedName>
    <definedName name="OSRRefP22_14x_0" localSheetId="13">'201'!$P$65</definedName>
    <definedName name="OSRRefP22_14x_0" localSheetId="14">'202'!$P$64</definedName>
    <definedName name="OSRRefP22_14x_0" localSheetId="15">'203'!$P$67</definedName>
    <definedName name="OSRRefP22_14x_0" localSheetId="22">'300'!$P$219</definedName>
    <definedName name="OSRRefP22_14x_0" localSheetId="25">'300 &amp; 317'!$P$244</definedName>
    <definedName name="OSRRefP22_14x_0" localSheetId="50">'301'!$P$65:$P$68</definedName>
    <definedName name="OSRRefP22_14x_0" localSheetId="53">'307'!$P$123</definedName>
    <definedName name="OSRRefP22_14x_0" localSheetId="55">'308'!$P$115</definedName>
    <definedName name="OSRRefP22_14x_0" localSheetId="65">'310'!$P$75:$P$77</definedName>
    <definedName name="OSRRefP22_14x_0" localSheetId="74">'310 &amp; 491'!$P$88</definedName>
    <definedName name="OSRRefP22_14x_0" localSheetId="56">'311'!$P$114</definedName>
    <definedName name="OSRRefP22_14x_0" localSheetId="67">'313'!$P$80</definedName>
    <definedName name="OSRRefP22_14x_0" localSheetId="59">'315'!$P$107</definedName>
    <definedName name="OSRRefP22_14x_0" localSheetId="64">'317'!$P$100</definedName>
    <definedName name="OSRRefP22_14x_0" localSheetId="69">'322'!$P$72</definedName>
    <definedName name="OSRRefP22_14x_0" localSheetId="70">'325'!$P$71:$P$76</definedName>
    <definedName name="OSRRefP22_14x_0" localSheetId="71">'326'!$P$101:$P$103</definedName>
    <definedName name="OSRRefP22_14x_0" localSheetId="52">'330'!$P$130:$P$132</definedName>
    <definedName name="OSRRefP22_14x_0" localSheetId="58">'331'!$P$118:$P$120</definedName>
    <definedName name="OSRRefP22_14x_0" localSheetId="76">'405'!$P$68:$P$74</definedName>
    <definedName name="OSRRefP22_14x_0" localSheetId="77">'406'!$P$72:$P$73</definedName>
    <definedName name="OSRRefP22_14x_0" localSheetId="78">'411'!$P$70:$P$71</definedName>
    <definedName name="OSRRefP22_14x_0" localSheetId="79">'412'!$P$76</definedName>
    <definedName name="OSRRefP22_14x_0" localSheetId="82">'414'!$P$71</definedName>
    <definedName name="OSRRefP22_14x_0" localSheetId="83">'415'!$P$73:$P$80</definedName>
    <definedName name="OSRRefP22_14x_0" localSheetId="84">'418'!$P$71:$P$78</definedName>
    <definedName name="OSRRefP22_14x_0" localSheetId="87">'425'!$P$78</definedName>
    <definedName name="OSRRefP22_14x_0" localSheetId="91">'433'!$P$77</definedName>
    <definedName name="OSRRefP22_14x_0" localSheetId="93">'444'!$P$77</definedName>
    <definedName name="OSRRefP22_14x_0" localSheetId="95">'450'!$P$70:$P$76</definedName>
    <definedName name="OSRRefP22_14x_0" localSheetId="75">'491'!$P$79</definedName>
    <definedName name="OSRRefP22_14x_0" localSheetId="89">'492'!$P$72:$P$74</definedName>
    <definedName name="OSRRefP22_14x_0" localSheetId="97">'501'!$P$67</definedName>
    <definedName name="OSRRefP22_14x_0" localSheetId="9">'Div 2'!$P$71:$P$72</definedName>
    <definedName name="OSRRefP22_14x_0" localSheetId="19">'Div 3'!$P$224</definedName>
    <definedName name="OSRRefP22_14x_0" localSheetId="73">'Div 4'!$P$80</definedName>
    <definedName name="OSRRefP22_14x_0" localSheetId="96">'Div 5'!$P$67</definedName>
    <definedName name="OSRRefP22_14x_0" localSheetId="63">'Div 6'!$P$100</definedName>
    <definedName name="OSRRefP22_14x_0" localSheetId="2">Summary!$P$261</definedName>
    <definedName name="OSRRefP22_15x_0" localSheetId="13">'201'!$P$67</definedName>
    <definedName name="OSRRefP22_15x_0" localSheetId="14">'202'!$P$66</definedName>
    <definedName name="OSRRefP22_15x_0" localSheetId="15">'203'!$P$69</definedName>
    <definedName name="OSRRefP22_15x_0" localSheetId="22">'300'!$P$221</definedName>
    <definedName name="OSRRefP22_15x_0" localSheetId="25">'300 &amp; 317'!$P$246</definedName>
    <definedName name="OSRRefP22_15x_0" localSheetId="50">'301'!$P$70</definedName>
    <definedName name="OSRRefP22_15x_0" localSheetId="65">'310'!$P$79</definedName>
    <definedName name="OSRRefP22_15x_0" localSheetId="74">'310 &amp; 491'!$P$90</definedName>
    <definedName name="OSRRefP22_15x_0" localSheetId="59">'315'!$P$109:$P$110</definedName>
    <definedName name="OSRRefP22_15x_0" localSheetId="64">'317'!$P$102:$P$103</definedName>
    <definedName name="OSRRefP22_15x_0" localSheetId="69">'322'!$P$74</definedName>
    <definedName name="OSRRefP22_15x_0" localSheetId="70">'325'!$P$78</definedName>
    <definedName name="OSRRefP22_15x_0" localSheetId="71">'326'!$P$105:$P$106</definedName>
    <definedName name="OSRRefP22_15x_0" localSheetId="52">'330'!$P$134</definedName>
    <definedName name="OSRRefP22_15x_0" localSheetId="58">'331'!$P$122:$P$123</definedName>
    <definedName name="OSRRefP22_15x_0" localSheetId="76">'405'!$P$76</definedName>
    <definedName name="OSRRefP22_15x_0" localSheetId="78">'411'!$P$73:$P$80</definedName>
    <definedName name="OSRRefP22_15x_0" localSheetId="82">'414'!$P$73</definedName>
    <definedName name="OSRRefP22_15x_0" localSheetId="83">'415'!$P$82</definedName>
    <definedName name="OSRRefP22_15x_0" localSheetId="84">'418'!$P$80</definedName>
    <definedName name="OSRRefP22_15x_0" localSheetId="87">'425'!$P$80</definedName>
    <definedName name="OSRRefP22_15x_0" localSheetId="91">'433'!$P$79:$P$80</definedName>
    <definedName name="OSRRefP22_15x_0" localSheetId="93">'444'!$P$79</definedName>
    <definedName name="OSRRefP22_15x_0" localSheetId="95">'450'!$P$78</definedName>
    <definedName name="OSRRefP22_15x_0" localSheetId="75">'491'!$P$81</definedName>
    <definedName name="OSRRefP22_15x_0" localSheetId="89">'492'!$P$76:$P$83</definedName>
    <definedName name="OSRRefP22_15x_0" localSheetId="9">'Div 2'!$P$74:$P$75</definedName>
    <definedName name="OSRRefP22_15x_0" localSheetId="19">'Div 3'!$P$226</definedName>
    <definedName name="OSRRefP22_15x_0" localSheetId="73">'Div 4'!$P$82</definedName>
    <definedName name="OSRRefP22_15x_0" localSheetId="63">'Div 6'!$P$102:$P$103</definedName>
    <definedName name="OSRRefP22_15x_0" localSheetId="2">Summary!$P$263</definedName>
    <definedName name="OSRRefP22_16x_0" localSheetId="13">'201'!$P$69:$P$70</definedName>
    <definedName name="OSRRefP22_16x_0" localSheetId="14">'202'!$P$68</definedName>
    <definedName name="OSRRefP22_16x_0" localSheetId="22">'300'!$P$223:$P$226</definedName>
    <definedName name="OSRRefP22_16x_0" localSheetId="25">'300 &amp; 317'!$P$248:$P$251</definedName>
    <definedName name="OSRRefP22_16x_0" localSheetId="50">'301'!$P$72:$P$74</definedName>
    <definedName name="OSRRefP22_16x_0" localSheetId="65">'310'!$P$81:$P$84</definedName>
    <definedName name="OSRRefP22_16x_0" localSheetId="74">'310 &amp; 491'!$P$92:$P$95</definedName>
    <definedName name="OSRRefP22_16x_0" localSheetId="69">'322'!$P$76</definedName>
    <definedName name="OSRRefP22_16x_0" localSheetId="70">'325'!$P$80</definedName>
    <definedName name="OSRRefP22_16x_0" localSheetId="71">'326'!$P$108:$P$112</definedName>
    <definedName name="OSRRefP22_16x_0" localSheetId="52">'330'!$P$136</definedName>
    <definedName name="OSRRefP22_16x_0" localSheetId="58">'331'!$P$125:$P$127</definedName>
    <definedName name="OSRRefP22_16x_0" localSheetId="76">'405'!$P$78</definedName>
    <definedName name="OSRRefP22_16x_0" localSheetId="78">'411'!$P$82</definedName>
    <definedName name="OSRRefP22_16x_0" localSheetId="83">'415'!$P$84</definedName>
    <definedName name="OSRRefP22_16x_0" localSheetId="84">'418'!$P$82</definedName>
    <definedName name="OSRRefP22_16x_0" localSheetId="93">'444'!$P$81</definedName>
    <definedName name="OSRRefP22_16x_0" localSheetId="95">'450'!$P$80</definedName>
    <definedName name="OSRRefP22_16x_0" localSheetId="75">'491'!$P$83:$P$86</definedName>
    <definedName name="OSRRefP22_16x_0" localSheetId="89">'492'!$P$85</definedName>
    <definedName name="OSRRefP22_16x_0" localSheetId="9">'Div 2'!$P$77:$P$81</definedName>
    <definedName name="OSRRefP22_16x_0" localSheetId="19">'Div 3'!$P$228</definedName>
    <definedName name="OSRRefP22_16x_0" localSheetId="73">'Div 4'!$P$84</definedName>
    <definedName name="OSRRefP22_16x_0" localSheetId="2">Summary!$P$265</definedName>
    <definedName name="OSRRefP22_17x_0" localSheetId="22">'300'!$P$228:$P$230</definedName>
    <definedName name="OSRRefP22_17x_0" localSheetId="25">'300 &amp; 317'!$P$253:$P$255</definedName>
    <definedName name="OSRRefP22_17x_0" localSheetId="50">'301'!$P$76:$P$77</definedName>
    <definedName name="OSRRefP22_17x_0" localSheetId="65">'310'!$P$86:$P$87</definedName>
    <definedName name="OSRRefP22_17x_0" localSheetId="74">'310 &amp; 491'!$P$97:$P$98</definedName>
    <definedName name="OSRRefP22_17x_0" localSheetId="70">'325'!$P$82</definedName>
    <definedName name="OSRRefP22_17x_0" localSheetId="71">'326'!$P$114</definedName>
    <definedName name="OSRRefP22_17x_0" localSheetId="52">'330'!$P$138</definedName>
    <definedName name="OSRRefP22_17x_0" localSheetId="58">'331'!$P$129:$P$130</definedName>
    <definedName name="OSRRefP22_17x_0" localSheetId="76">'405'!$P$80</definedName>
    <definedName name="OSRRefP22_17x_0" localSheetId="78">'411'!$P$84</definedName>
    <definedName name="OSRRefP22_17x_0" localSheetId="83">'415'!$P$86</definedName>
    <definedName name="OSRRefP22_17x_0" localSheetId="95">'450'!$P$82:$P$83</definedName>
    <definedName name="OSRRefP22_17x_0" localSheetId="75">'491'!$P$88:$P$89</definedName>
    <definedName name="OSRRefP22_17x_0" localSheetId="89">'492'!$P$87</definedName>
    <definedName name="OSRRefP22_17x_0" localSheetId="9">'Div 2'!$P$83:$P$84</definedName>
    <definedName name="OSRRefP22_17x_0" localSheetId="19">'Div 3'!$P$230:$P$233</definedName>
    <definedName name="OSRRefP22_17x_0" localSheetId="73">'Div 4'!$P$86:$P$89</definedName>
    <definedName name="OSRRefP22_17x_0" localSheetId="2">Summary!$P$267</definedName>
    <definedName name="OSRRefP22_18x_0" localSheetId="22">'300'!$P$232:$P$235</definedName>
    <definedName name="OSRRefP22_18x_0" localSheetId="25">'300 &amp; 317'!$P$257:$P$260</definedName>
    <definedName name="OSRRefP22_18x_0" localSheetId="50">'301'!$P$79:$P$84</definedName>
    <definedName name="OSRRefP22_18x_0" localSheetId="65">'310'!$P$89:$P$96</definedName>
    <definedName name="OSRRefP22_18x_0" localSheetId="74">'310 &amp; 491'!$P$100:$P$104</definedName>
    <definedName name="OSRRefP22_18x_0" localSheetId="71">'326'!$P$116</definedName>
    <definedName name="OSRRefP22_18x_0" localSheetId="58">'331'!$P$132:$P$137</definedName>
    <definedName name="OSRRefP22_18x_0" localSheetId="76">'405'!$P$82</definedName>
    <definedName name="OSRRefP22_18x_0" localSheetId="78">'411'!$P$86:$P$88</definedName>
    <definedName name="OSRRefP22_18x_0" localSheetId="83">'415'!$P$88</definedName>
    <definedName name="OSRRefP22_18x_0" localSheetId="75">'491'!$P$91:$P$95</definedName>
    <definedName name="OSRRefP22_18x_0" localSheetId="89">'492'!$P$89:$P$90</definedName>
    <definedName name="OSRRefP22_18x_0" localSheetId="9">'Div 2'!$P$86</definedName>
    <definedName name="OSRRefP22_18x_0" localSheetId="19">'Div 3'!$P$235:$P$237</definedName>
    <definedName name="OSRRefP22_18x_0" localSheetId="73">'Div 4'!$P$91:$P$92</definedName>
    <definedName name="OSRRefP22_18x_0" localSheetId="2">Summary!$P$269:$P$272</definedName>
    <definedName name="OSRRefP22_19x_0" localSheetId="22">'300'!$P$237:$P$238</definedName>
    <definedName name="OSRRefP22_19x_0" localSheetId="25">'300 &amp; 317'!$P$262:$P$263</definedName>
    <definedName name="OSRRefP22_19x_0" localSheetId="50">'301'!$P$86</definedName>
    <definedName name="OSRRefP22_19x_0" localSheetId="65">'310'!$P$98</definedName>
    <definedName name="OSRRefP22_19x_0" localSheetId="74">'310 &amp; 491'!$P$106:$P$107</definedName>
    <definedName name="OSRRefP22_19x_0" localSheetId="71">'326'!$P$118</definedName>
    <definedName name="OSRRefP22_19x_0" localSheetId="58">'331'!$P$139</definedName>
    <definedName name="OSRRefP22_19x_0" localSheetId="78">'411'!$P$90</definedName>
    <definedName name="OSRRefP22_19x_0" localSheetId="75">'491'!$P$97:$P$98</definedName>
    <definedName name="OSRRefP22_19x_0" localSheetId="9">'Div 2'!$P$88:$P$89</definedName>
    <definedName name="OSRRefP22_19x_0" localSheetId="19">'Div 3'!$P$239:$P$243</definedName>
    <definedName name="OSRRefP22_19x_0" localSheetId="73">'Div 4'!$P$94:$P$98</definedName>
    <definedName name="OSRRefP22_19x_0" localSheetId="2">Summary!$P$274:$P$276</definedName>
    <definedName name="OSRRefP22_1x_0" localSheetId="12">'200'!$P$22</definedName>
    <definedName name="OSRRefP22_1x_0" localSheetId="13">'201'!$P$30:$P$32</definedName>
    <definedName name="OSRRefP22_1x_0" localSheetId="14">'202'!$P$29:$P$34</definedName>
    <definedName name="OSRRefP22_1x_0" localSheetId="15">'203'!$P$31:$P$35</definedName>
    <definedName name="OSRRefP22_1x_0" localSheetId="16">'204'!$P$31:$P$36</definedName>
    <definedName name="OSRRefP22_1x_0" localSheetId="17">'205'!$P$29</definedName>
    <definedName name="OSRRefP22_1x_0" localSheetId="18">'206'!$P$29:$P$34</definedName>
    <definedName name="OSRRefP22_1x_0" localSheetId="22">'300'!$P$183:$P$189</definedName>
    <definedName name="OSRRefP22_1x_0" localSheetId="25">'300 &amp; 317'!$P$208:$P$214</definedName>
    <definedName name="OSRRefP22_1x_0" localSheetId="50">'301'!$P$30:$P$36</definedName>
    <definedName name="OSRRefP22_1x_0" localSheetId="51">'306'!$P$30:$P$34</definedName>
    <definedName name="OSRRefP22_1x_0" localSheetId="53">'307'!$P$89:$P$92</definedName>
    <definedName name="OSRRefP22_1x_0" localSheetId="55">'308'!$P$76:$P$80</definedName>
    <definedName name="OSRRefP22_1x_0" localSheetId="66">'309'!$P$33:$P$37</definedName>
    <definedName name="OSRRefP22_1x_0" localSheetId="65">'310'!$P$42:$P$47</definedName>
    <definedName name="OSRRefP22_1x_0" localSheetId="74">'310 &amp; 491'!$P$52:$P$58</definedName>
    <definedName name="OSRRefP22_1x_0" localSheetId="56">'311'!$P$75:$P$79</definedName>
    <definedName name="OSRRefP22_1x_0" localSheetId="67">'313'!$P$39:$P$44</definedName>
    <definedName name="OSRRefP22_1x_0" localSheetId="54">'314'!$P$66:$P$69</definedName>
    <definedName name="OSRRefP22_1x_0" localSheetId="59">'315'!$P$66:$P$71</definedName>
    <definedName name="OSRRefP22_1x_0" localSheetId="61">'316'!$P$44:$P$47</definedName>
    <definedName name="OSRRefP22_1x_0" localSheetId="64">'317'!$P$68:$P$72</definedName>
    <definedName name="OSRRefP22_1x_0" localSheetId="62">'320'!$P$40:$P$45</definedName>
    <definedName name="OSRRefP22_1x_0" localSheetId="68">'321'!$P$32:$P$36</definedName>
    <definedName name="OSRRefP22_1x_0" localSheetId="69">'322'!$P$33:$P$37</definedName>
    <definedName name="OSRRefP22_1x_0" localSheetId="70">'325'!$P$33:$P$38</definedName>
    <definedName name="OSRRefP22_1x_0" localSheetId="71">'326'!$P$71:$P$74</definedName>
    <definedName name="OSRRefP22_1x_0" localSheetId="72">'327'!$P$24</definedName>
    <definedName name="OSRRefP22_1x_0" localSheetId="52">'330'!$P$97:$P$101</definedName>
    <definedName name="OSRRefP22_1x_0" localSheetId="58">'331'!$P$85:$P$90</definedName>
    <definedName name="OSRRefP22_1x_0" localSheetId="60">'332'!$P$55:$P$60</definedName>
    <definedName name="OSRRefP22_1x_0" localSheetId="76">'405'!$P$33:$P$37</definedName>
    <definedName name="OSRRefP22_1x_0" localSheetId="77">'406'!$P$33:$P$38</definedName>
    <definedName name="OSRRefP22_1x_0" localSheetId="78">'411'!$P$30:$P$35</definedName>
    <definedName name="OSRRefP22_1x_0" localSheetId="79">'412'!$P$34:$P$39</definedName>
    <definedName name="OSRRefP22_1x_0" localSheetId="81">'413'!$P$33:$P$38</definedName>
    <definedName name="OSRRefP22_1x_0" localSheetId="82">'414'!$P$33:$P$38</definedName>
    <definedName name="OSRRefP22_1x_0" localSheetId="83">'415'!$P$33:$P$38</definedName>
    <definedName name="OSRRefP22_1x_0" localSheetId="84">'418'!$P$33:$P$38</definedName>
    <definedName name="OSRRefP22_1x_0" localSheetId="80">'420'!$P$33:$P$36</definedName>
    <definedName name="OSRRefP22_1x_0" localSheetId="85">'423'!$P$30:$P$31</definedName>
    <definedName name="OSRRefP22_1x_0" localSheetId="86">'424'!$P$30:$P$34</definedName>
    <definedName name="OSRRefP22_1x_0" localSheetId="87">'425'!$P$37:$P$42</definedName>
    <definedName name="OSRRefP22_1x_0" localSheetId="90">'430'!$P$29</definedName>
    <definedName name="OSRRefP22_1x_0" localSheetId="91">'433'!$P$36:$P$41</definedName>
    <definedName name="OSRRefP22_1x_0" localSheetId="92">'435'!$P$29:$P$31</definedName>
    <definedName name="OSRRefP22_1x_0" localSheetId="93">'444'!$P$35:$P$40</definedName>
    <definedName name="OSRRefP22_1x_0" localSheetId="95">'450'!$P$35:$P$40</definedName>
    <definedName name="OSRRefP22_1x_0" localSheetId="88">'455'!$P$28:$P$29</definedName>
    <definedName name="OSRRefP22_1x_0" localSheetId="75">'491'!$P$44:$P$50</definedName>
    <definedName name="OSRRefP22_1x_0" localSheetId="89">'492'!$P$38:$P$44</definedName>
    <definedName name="OSRRefP22_1x_0" localSheetId="97">'501'!$P$30:$P$35</definedName>
    <definedName name="OSRRefP22_1x_0" localSheetId="9">'Div 2'!$P$32:$P$38</definedName>
    <definedName name="OSRRefP22_1x_0" localSheetId="19">'Div 3'!$P$188:$P$194</definedName>
    <definedName name="OSRRefP22_1x_0" localSheetId="73">'Div 4'!$P$45:$P$51</definedName>
    <definedName name="OSRRefP22_1x_0" localSheetId="96">'Div 5'!$P$30:$P$35</definedName>
    <definedName name="OSRRefP22_1x_0" localSheetId="63">'Div 6'!$P$68:$P$72</definedName>
    <definedName name="OSRRefP22_1x_0" localSheetId="2">Summary!$P$223:$P$229</definedName>
    <definedName name="OSRRefP22_20x_0" localSheetId="22">'300'!$P$240:$P$246</definedName>
    <definedName name="OSRRefP22_20x_0" localSheetId="25">'300 &amp; 317'!$P$265:$P$271</definedName>
    <definedName name="OSRRefP22_20x_0" localSheetId="50">'301'!$P$88</definedName>
    <definedName name="OSRRefP22_20x_0" localSheetId="65">'310'!$P$100</definedName>
    <definedName name="OSRRefP22_20x_0" localSheetId="74">'310 &amp; 491'!$P$109:$P$117</definedName>
    <definedName name="OSRRefP22_20x_0" localSheetId="71">'326'!$P$120</definedName>
    <definedName name="OSRRefP22_20x_0" localSheetId="58">'331'!$P$141</definedName>
    <definedName name="OSRRefP22_20x_0" localSheetId="75">'491'!$P$100:$P$108</definedName>
    <definedName name="OSRRefP22_20x_0" localSheetId="19">'Div 3'!$P$245:$P$246</definedName>
    <definedName name="OSRRefP22_20x_0" localSheetId="73">'Div 4'!$P$100:$P$101</definedName>
    <definedName name="OSRRefP22_20x_0" localSheetId="2">Summary!$P$278:$P$282</definedName>
    <definedName name="OSRRefP22_21x_0" localSheetId="22">'300'!$P$248:$P$249</definedName>
    <definedName name="OSRRefP22_21x_0" localSheetId="25">'300 &amp; 317'!$P$273:$P$274</definedName>
    <definedName name="OSRRefP22_21x_0" localSheetId="50">'301'!$P$90:$P$92</definedName>
    <definedName name="OSRRefP22_21x_0" localSheetId="65">'310'!$P$102</definedName>
    <definedName name="OSRRefP22_21x_0" localSheetId="74">'310 &amp; 491'!$P$119</definedName>
    <definedName name="OSRRefP22_21x_0" localSheetId="58">'331'!$P$143:$P$144</definedName>
    <definedName name="OSRRefP22_21x_0" localSheetId="75">'491'!$P$110</definedName>
    <definedName name="OSRRefP22_21x_0" localSheetId="19">'Div 3'!$P$248:$P$255</definedName>
    <definedName name="OSRRefP22_21x_0" localSheetId="73">'Div 4'!$P$103:$P$111</definedName>
    <definedName name="OSRRefP22_21x_0" localSheetId="2">Summary!$P$284:$P$285</definedName>
    <definedName name="OSRRefP22_22x_0" localSheetId="22">'300'!$P$251</definedName>
    <definedName name="OSRRefP22_22x_0" localSheetId="25">'300 &amp; 317'!$P$276</definedName>
    <definedName name="OSRRefP22_22x_0" localSheetId="50">'301'!$P$94</definedName>
    <definedName name="OSRRefP22_22x_0" localSheetId="65">'310'!$P$104</definedName>
    <definedName name="OSRRefP22_22x_0" localSheetId="74">'310 &amp; 491'!$P$121</definedName>
    <definedName name="OSRRefP22_22x_0" localSheetId="58">'331'!$P$146</definedName>
    <definedName name="OSRRefP22_22x_0" localSheetId="75">'491'!$P$112</definedName>
    <definedName name="OSRRefP22_22x_0" localSheetId="19">'Div 3'!$P$257:$P$258</definedName>
    <definedName name="OSRRefP22_22x_0" localSheetId="73">'Div 4'!$P$113</definedName>
    <definedName name="OSRRefP22_22x_0" localSheetId="2">Summary!$P$287:$P$295</definedName>
    <definedName name="OSRRefP22_23x_0" localSheetId="22">'300'!$P$253:$P$255</definedName>
    <definedName name="OSRRefP22_23x_0" localSheetId="25">'300 &amp; 317'!$P$278:$P$280</definedName>
    <definedName name="OSRRefP22_23x_0" localSheetId="74">'310 &amp; 491'!$P$123:$P$125</definedName>
    <definedName name="OSRRefP22_23x_0" localSheetId="75">'491'!$P$114:$P$116</definedName>
    <definedName name="OSRRefP22_23x_0" localSheetId="19">'Div 3'!$P$260</definedName>
    <definedName name="OSRRefP22_23x_0" localSheetId="73">'Div 4'!$P$115</definedName>
    <definedName name="OSRRefP22_23x_0" localSheetId="2">Summary!$P$297:$P$298</definedName>
    <definedName name="OSRRefP22_24x_0" localSheetId="22">'300'!$P$257</definedName>
    <definedName name="OSRRefP22_24x_0" localSheetId="25">'300 &amp; 317'!$P$282</definedName>
    <definedName name="OSRRefP22_24x_0" localSheetId="74">'310 &amp; 491'!$P$127</definedName>
    <definedName name="OSRRefP22_24x_0" localSheetId="75">'491'!$P$118</definedName>
    <definedName name="OSRRefP22_24x_0" localSheetId="19">'Div 3'!$P$262:$P$264</definedName>
    <definedName name="OSRRefP22_24x_0" localSheetId="73">'Div 4'!$P$117:$P$119</definedName>
    <definedName name="OSRRefP22_24x_0" localSheetId="2">Summary!$P$300</definedName>
    <definedName name="OSRRefP22_25x_0" localSheetId="19">'Div 3'!$P$266</definedName>
    <definedName name="OSRRefP22_25x_0" localSheetId="73">'Div 4'!$P$121</definedName>
    <definedName name="OSRRefP22_25x_0" localSheetId="2">Summary!$P$302:$P$304</definedName>
    <definedName name="OSRRefP22_26x_0" localSheetId="2">Summary!$P$306</definedName>
    <definedName name="OSRRefP22_2x_0" localSheetId="12">'200'!$P$24</definedName>
    <definedName name="OSRRefP22_2x_0" localSheetId="13">'201'!$P$34</definedName>
    <definedName name="OSRRefP22_2x_0" localSheetId="14">'202'!$P$36</definedName>
    <definedName name="OSRRefP22_2x_0" localSheetId="15">'203'!$P$37</definedName>
    <definedName name="OSRRefP22_2x_0" localSheetId="16">'204'!$P$38</definedName>
    <definedName name="OSRRefP22_2x_0" localSheetId="17">'205'!$P$31</definedName>
    <definedName name="OSRRefP22_2x_0" localSheetId="18">'206'!$P$36</definedName>
    <definedName name="OSRRefP22_2x_0" localSheetId="22">'300'!$P$191</definedName>
    <definedName name="OSRRefP22_2x_0" localSheetId="25">'300 &amp; 317'!$P$216</definedName>
    <definedName name="OSRRefP22_2x_0" localSheetId="50">'301'!$P$38</definedName>
    <definedName name="OSRRefP22_2x_0" localSheetId="51">'306'!$P$36</definedName>
    <definedName name="OSRRefP22_2x_0" localSheetId="53">'307'!$P$94</definedName>
    <definedName name="OSRRefP22_2x_0" localSheetId="55">'308'!$P$82</definedName>
    <definedName name="OSRRefP22_2x_0" localSheetId="66">'309'!$P$39</definedName>
    <definedName name="OSRRefP22_2x_0" localSheetId="65">'310'!$P$49</definedName>
    <definedName name="OSRRefP22_2x_0" localSheetId="74">'310 &amp; 491'!$P$60</definedName>
    <definedName name="OSRRefP22_2x_0" localSheetId="56">'311'!$P$81</definedName>
    <definedName name="OSRRefP22_2x_0" localSheetId="67">'313'!$P$46</definedName>
    <definedName name="OSRRefP22_2x_0" localSheetId="54">'314'!$P$71</definedName>
    <definedName name="OSRRefP22_2x_0" localSheetId="59">'315'!$P$73</definedName>
    <definedName name="OSRRefP22_2x_0" localSheetId="61">'316'!$P$49</definedName>
    <definedName name="OSRRefP22_2x_0" localSheetId="64">'317'!$P$74</definedName>
    <definedName name="OSRRefP22_2x_0" localSheetId="62">'320'!$P$47</definedName>
    <definedName name="OSRRefP22_2x_0" localSheetId="68">'321'!$P$38</definedName>
    <definedName name="OSRRefP22_2x_0" localSheetId="69">'322'!$P$39</definedName>
    <definedName name="OSRRefP22_2x_0" localSheetId="70">'325'!$P$40</definedName>
    <definedName name="OSRRefP22_2x_0" localSheetId="71">'326'!$P$76</definedName>
    <definedName name="OSRRefP22_2x_0" localSheetId="72">'327'!$P$26</definedName>
    <definedName name="OSRRefP22_2x_0" localSheetId="52">'330'!$P$103</definedName>
    <definedName name="OSRRefP22_2x_0" localSheetId="58">'331'!$P$92</definedName>
    <definedName name="OSRRefP22_2x_0" localSheetId="60">'332'!$P$62</definedName>
    <definedName name="OSRRefP22_2x_0" localSheetId="76">'405'!$P$39</definedName>
    <definedName name="OSRRefP22_2x_0" localSheetId="77">'406'!$P$40</definedName>
    <definedName name="OSRRefP22_2x_0" localSheetId="78">'411'!$P$37</definedName>
    <definedName name="OSRRefP22_2x_0" localSheetId="79">'412'!$P$41</definedName>
    <definedName name="OSRRefP22_2x_0" localSheetId="81">'413'!$P$40</definedName>
    <definedName name="OSRRefP22_2x_0" localSheetId="82">'414'!$P$40</definedName>
    <definedName name="OSRRefP22_2x_0" localSheetId="83">'415'!$P$40</definedName>
    <definedName name="OSRRefP22_2x_0" localSheetId="84">'418'!$P$40</definedName>
    <definedName name="OSRRefP22_2x_0" localSheetId="80">'420'!$P$38</definedName>
    <definedName name="OSRRefP22_2x_0" localSheetId="85">'423'!$P$33</definedName>
    <definedName name="OSRRefP22_2x_0" localSheetId="86">'424'!$P$36</definedName>
    <definedName name="OSRRefP22_2x_0" localSheetId="87">'425'!$P$44</definedName>
    <definedName name="OSRRefP22_2x_0" localSheetId="90">'430'!$P$31</definedName>
    <definedName name="OSRRefP22_2x_0" localSheetId="91">'433'!$P$43</definedName>
    <definedName name="OSRRefP22_2x_0" localSheetId="92">'435'!$P$33</definedName>
    <definedName name="OSRRefP22_2x_0" localSheetId="93">'444'!$P$42</definedName>
    <definedName name="OSRRefP22_2x_0" localSheetId="95">'450'!$P$42</definedName>
    <definedName name="OSRRefP22_2x_0" localSheetId="88">'455'!$P$31</definedName>
    <definedName name="OSRRefP22_2x_0" localSheetId="75">'491'!$P$52</definedName>
    <definedName name="OSRRefP22_2x_0" localSheetId="89">'492'!$P$46</definedName>
    <definedName name="OSRRefP22_2x_0" localSheetId="97">'501'!$P$37</definedName>
    <definedName name="OSRRefP22_2x_0" localSheetId="9">'Div 2'!$P$40</definedName>
    <definedName name="OSRRefP22_2x_0" localSheetId="19">'Div 3'!$P$196</definedName>
    <definedName name="OSRRefP22_2x_0" localSheetId="73">'Div 4'!$P$53</definedName>
    <definedName name="OSRRefP22_2x_0" localSheetId="96">'Div 5'!$P$37</definedName>
    <definedName name="OSRRefP22_2x_0" localSheetId="63">'Div 6'!$P$74</definedName>
    <definedName name="OSRRefP22_2x_0" localSheetId="2">Summary!$P$231</definedName>
    <definedName name="OSRRefP22_3x_0" localSheetId="12">'200'!$P$26</definedName>
    <definedName name="OSRRefP22_3x_0" localSheetId="13">'201'!$P$36</definedName>
    <definedName name="OSRRefP22_3x_0" localSheetId="14">'202'!$P$38</definedName>
    <definedName name="OSRRefP22_3x_0" localSheetId="15">'203'!$P$39</definedName>
    <definedName name="OSRRefP22_3x_0" localSheetId="16">'204'!$P$40:$P$41</definedName>
    <definedName name="OSRRefP22_3x_0" localSheetId="17">'205'!$P$33</definedName>
    <definedName name="OSRRefP22_3x_0" localSheetId="18">'206'!$P$38</definedName>
    <definedName name="OSRRefP22_3x_0" localSheetId="22">'300'!$P$193:$P$194</definedName>
    <definedName name="OSRRefP22_3x_0" localSheetId="25">'300 &amp; 317'!$P$218:$P$219</definedName>
    <definedName name="OSRRefP22_3x_0" localSheetId="50">'301'!$P$40:$P$41</definedName>
    <definedName name="OSRRefP22_3x_0" localSheetId="51">'306'!$P$38</definedName>
    <definedName name="OSRRefP22_3x_0" localSheetId="53">'307'!$P$96</definedName>
    <definedName name="OSRRefP22_3x_0" localSheetId="55">'308'!$P$84:$P$85</definedName>
    <definedName name="OSRRefP22_3x_0" localSheetId="66">'309'!$P$41</definedName>
    <definedName name="OSRRefP22_3x_0" localSheetId="65">'310'!$P$51</definedName>
    <definedName name="OSRRefP22_3x_0" localSheetId="74">'310 &amp; 491'!$P$62</definedName>
    <definedName name="OSRRefP22_3x_0" localSheetId="56">'311'!$P$83:$P$84</definedName>
    <definedName name="OSRRefP22_3x_0" localSheetId="67">'313'!$P$48</definedName>
    <definedName name="OSRRefP22_3x_0" localSheetId="54">'314'!$P$73:$P$74</definedName>
    <definedName name="OSRRefP22_3x_0" localSheetId="59">'315'!$P$75:$P$76</definedName>
    <definedName name="OSRRefP22_3x_0" localSheetId="61">'316'!$P$51</definedName>
    <definedName name="OSRRefP22_3x_0" localSheetId="64">'317'!$P$76</definedName>
    <definedName name="OSRRefP22_3x_0" localSheetId="62">'320'!$P$49</definedName>
    <definedName name="OSRRefP22_3x_0" localSheetId="68">'321'!$P$40</definedName>
    <definedName name="OSRRefP22_3x_0" localSheetId="69">'322'!$P$41</definedName>
    <definedName name="OSRRefP22_3x_0" localSheetId="70">'325'!$P$42</definedName>
    <definedName name="OSRRefP22_3x_0" localSheetId="71">'326'!$P$78</definedName>
    <definedName name="OSRRefP22_3x_0" localSheetId="52">'330'!$P$105</definedName>
    <definedName name="OSRRefP22_3x_0" localSheetId="58">'331'!$P$94</definedName>
    <definedName name="OSRRefP22_3x_0" localSheetId="60">'332'!$P$64</definedName>
    <definedName name="OSRRefP22_3x_0" localSheetId="76">'405'!$P$41</definedName>
    <definedName name="OSRRefP22_3x_0" localSheetId="77">'406'!$P$42</definedName>
    <definedName name="OSRRefP22_3x_0" localSheetId="78">'411'!$P$39</definedName>
    <definedName name="OSRRefP22_3x_0" localSheetId="79">'412'!$P$43</definedName>
    <definedName name="OSRRefP22_3x_0" localSheetId="81">'413'!$P$42</definedName>
    <definedName name="OSRRefP22_3x_0" localSheetId="82">'414'!$P$42</definedName>
    <definedName name="OSRRefP22_3x_0" localSheetId="83">'415'!$P$42</definedName>
    <definedName name="OSRRefP22_3x_0" localSheetId="84">'418'!$P$42</definedName>
    <definedName name="OSRRefP22_3x_0" localSheetId="80">'420'!$P$40</definedName>
    <definedName name="OSRRefP22_3x_0" localSheetId="85">'423'!$P$35</definedName>
    <definedName name="OSRRefP22_3x_0" localSheetId="86">'424'!$P$38</definedName>
    <definedName name="OSRRefP22_3x_0" localSheetId="87">'425'!$P$46</definedName>
    <definedName name="OSRRefP22_3x_0" localSheetId="90">'430'!$P$33</definedName>
    <definedName name="OSRRefP22_3x_0" localSheetId="91">'433'!$P$45</definedName>
    <definedName name="OSRRefP22_3x_0" localSheetId="92">'435'!$P$35</definedName>
    <definedName name="OSRRefP22_3x_0" localSheetId="93">'444'!$P$44</definedName>
    <definedName name="OSRRefP22_3x_0" localSheetId="95">'450'!$P$44</definedName>
    <definedName name="OSRRefP22_3x_0" localSheetId="75">'491'!$P$54</definedName>
    <definedName name="OSRRefP22_3x_0" localSheetId="89">'492'!$P$48</definedName>
    <definedName name="OSRRefP22_3x_0" localSheetId="97">'501'!$P$39</definedName>
    <definedName name="OSRRefP22_3x_0" localSheetId="9">'Div 2'!$P$42</definedName>
    <definedName name="OSRRefP22_3x_0" localSheetId="19">'Div 3'!$P$198:$P$199</definedName>
    <definedName name="OSRRefP22_3x_0" localSheetId="73">'Div 4'!$P$55</definedName>
    <definedName name="OSRRefP22_3x_0" localSheetId="96">'Div 5'!$P$39</definedName>
    <definedName name="OSRRefP22_3x_0" localSheetId="63">'Div 6'!$P$76</definedName>
    <definedName name="OSRRefP22_3x_0" localSheetId="2">Summary!$P$233:$P$234</definedName>
    <definedName name="OSRRefP22_4x_0" localSheetId="12">'200'!$P$28:$P$29</definedName>
    <definedName name="OSRRefP22_4x_0" localSheetId="13">'201'!$P$38</definedName>
    <definedName name="OSRRefP22_4x_0" localSheetId="14">'202'!$P$40</definedName>
    <definedName name="OSRRefP22_4x_0" localSheetId="15">'203'!$P$41</definedName>
    <definedName name="OSRRefP22_4x_0" localSheetId="16">'204'!$P$43</definedName>
    <definedName name="OSRRefP22_4x_0" localSheetId="17">'205'!$P$35:$P$37</definedName>
    <definedName name="OSRRefP22_4x_0" localSheetId="18">'206'!$P$40</definedName>
    <definedName name="OSRRefP22_4x_0" localSheetId="22">'300'!$P$196</definedName>
    <definedName name="OSRRefP22_4x_0" localSheetId="25">'300 &amp; 317'!$P$221</definedName>
    <definedName name="OSRRefP22_4x_0" localSheetId="50">'301'!$P$43</definedName>
    <definedName name="OSRRefP22_4x_0" localSheetId="51">'306'!$P$40</definedName>
    <definedName name="OSRRefP22_4x_0" localSheetId="53">'307'!$P$98:$P$99</definedName>
    <definedName name="OSRRefP22_4x_0" localSheetId="55">'308'!$P$87</definedName>
    <definedName name="OSRRefP22_4x_0" localSheetId="66">'309'!$P$43</definedName>
    <definedName name="OSRRefP22_4x_0" localSheetId="65">'310'!$P$53</definedName>
    <definedName name="OSRRefP22_4x_0" localSheetId="74">'310 &amp; 491'!$P$64</definedName>
    <definedName name="OSRRefP22_4x_0" localSheetId="56">'311'!$P$86</definedName>
    <definedName name="OSRRefP22_4x_0" localSheetId="67">'313'!$P$50</definedName>
    <definedName name="OSRRefP22_4x_0" localSheetId="54">'314'!$P$76</definedName>
    <definedName name="OSRRefP22_4x_0" localSheetId="59">'315'!$P$78</definedName>
    <definedName name="OSRRefP22_4x_0" localSheetId="61">'316'!$P$53</definedName>
    <definedName name="OSRRefP22_4x_0" localSheetId="64">'317'!$P$78</definedName>
    <definedName name="OSRRefP22_4x_0" localSheetId="62">'320'!$P$51:$P$52</definedName>
    <definedName name="OSRRefP22_4x_0" localSheetId="68">'321'!$P$42</definedName>
    <definedName name="OSRRefP22_4x_0" localSheetId="69">'322'!$P$43</definedName>
    <definedName name="OSRRefP22_4x_0" localSheetId="70">'325'!$P$44</definedName>
    <definedName name="OSRRefP22_4x_0" localSheetId="71">'326'!$P$80</definedName>
    <definedName name="OSRRefP22_4x_0" localSheetId="52">'330'!$P$107:$P$108</definedName>
    <definedName name="OSRRefP22_4x_0" localSheetId="58">'331'!$P$96</definedName>
    <definedName name="OSRRefP22_4x_0" localSheetId="60">'332'!$P$66</definedName>
    <definedName name="OSRRefP22_4x_0" localSheetId="76">'405'!$P$43</definedName>
    <definedName name="OSRRefP22_4x_0" localSheetId="77">'406'!$P$44</definedName>
    <definedName name="OSRRefP22_4x_0" localSheetId="78">'411'!$P$41:$P$43</definedName>
    <definedName name="OSRRefP22_4x_0" localSheetId="79">'412'!$P$45</definedName>
    <definedName name="OSRRefP22_4x_0" localSheetId="81">'413'!$P$44</definedName>
    <definedName name="OSRRefP22_4x_0" localSheetId="82">'414'!$P$44</definedName>
    <definedName name="OSRRefP22_4x_0" localSheetId="83">'415'!$P$44</definedName>
    <definedName name="OSRRefP22_4x_0" localSheetId="84">'418'!$P$44</definedName>
    <definedName name="OSRRefP22_4x_0" localSheetId="80">'420'!$P$42</definedName>
    <definedName name="OSRRefP22_4x_0" localSheetId="85">'423'!$P$37</definedName>
    <definedName name="OSRRefP22_4x_0" localSheetId="86">'424'!$P$40</definedName>
    <definedName name="OSRRefP22_4x_0" localSheetId="87">'425'!$P$48</definedName>
    <definedName name="OSRRefP22_4x_0" localSheetId="90">'430'!$P$35</definedName>
    <definedName name="OSRRefP22_4x_0" localSheetId="91">'433'!$P$47</definedName>
    <definedName name="OSRRefP22_4x_0" localSheetId="92">'435'!$P$37</definedName>
    <definedName name="OSRRefP22_4x_0" localSheetId="93">'444'!$P$46</definedName>
    <definedName name="OSRRefP22_4x_0" localSheetId="95">'450'!$P$46</definedName>
    <definedName name="OSRRefP22_4x_0" localSheetId="75">'491'!$P$56</definedName>
    <definedName name="OSRRefP22_4x_0" localSheetId="89">'492'!$P$50</definedName>
    <definedName name="OSRRefP22_4x_0" localSheetId="97">'501'!$P$41</definedName>
    <definedName name="OSRRefP22_4x_0" localSheetId="9">'Div 2'!$P$44</definedName>
    <definedName name="OSRRefP22_4x_0" localSheetId="19">'Div 3'!$P$201</definedName>
    <definedName name="OSRRefP22_4x_0" localSheetId="73">'Div 4'!$P$57</definedName>
    <definedName name="OSRRefP22_4x_0" localSheetId="96">'Div 5'!$P$41</definedName>
    <definedName name="OSRRefP22_4x_0" localSheetId="63">'Div 6'!$P$78</definedName>
    <definedName name="OSRRefP22_4x_0" localSheetId="2">Summary!$P$236</definedName>
    <definedName name="OSRRefP22_5x_0" localSheetId="13">'201'!$P$40</definedName>
    <definedName name="OSRRefP22_5x_0" localSheetId="14">'202'!$P$42</definedName>
    <definedName name="OSRRefP22_5x_0" localSheetId="15">'203'!$P$43</definedName>
    <definedName name="OSRRefP22_5x_0" localSheetId="16">'204'!$P$45</definedName>
    <definedName name="OSRRefP22_5x_0" localSheetId="17">'205'!$P$39</definedName>
    <definedName name="OSRRefP22_5x_0" localSheetId="18">'206'!$P$42</definedName>
    <definedName name="OSRRefP22_5x_0" localSheetId="22">'300'!$P$198:$P$199</definedName>
    <definedName name="OSRRefP22_5x_0" localSheetId="25">'300 &amp; 317'!$P$223:$P$224</definedName>
    <definedName name="OSRRefP22_5x_0" localSheetId="50">'301'!$P$45:$P$46</definedName>
    <definedName name="OSRRefP22_5x_0" localSheetId="51">'306'!$P$42</definedName>
    <definedName name="OSRRefP22_5x_0" localSheetId="53">'307'!$P$101</definedName>
    <definedName name="OSRRefP22_5x_0" localSheetId="55">'308'!$P$89</definedName>
    <definedName name="OSRRefP22_5x_0" localSheetId="66">'309'!$P$45</definedName>
    <definedName name="OSRRefP22_5x_0" localSheetId="65">'310'!$P$55:$P$56</definedName>
    <definedName name="OSRRefP22_5x_0" localSheetId="74">'310 &amp; 491'!$P$66:$P$68</definedName>
    <definedName name="OSRRefP22_5x_0" localSheetId="56">'311'!$P$88</definedName>
    <definedName name="OSRRefP22_5x_0" localSheetId="67">'313'!$P$52</definedName>
    <definedName name="OSRRefP22_5x_0" localSheetId="54">'314'!$P$78</definedName>
    <definedName name="OSRRefP22_5x_0" localSheetId="59">'315'!$P$80:$P$81</definedName>
    <definedName name="OSRRefP22_5x_0" localSheetId="61">'316'!$P$55</definedName>
    <definedName name="OSRRefP22_5x_0" localSheetId="64">'317'!$P$80</definedName>
    <definedName name="OSRRefP22_5x_0" localSheetId="62">'320'!$P$54</definedName>
    <definedName name="OSRRefP22_5x_0" localSheetId="68">'321'!$P$44</definedName>
    <definedName name="OSRRefP22_5x_0" localSheetId="69">'322'!$P$45</definedName>
    <definedName name="OSRRefP22_5x_0" localSheetId="70">'325'!$P$46:$P$47</definedName>
    <definedName name="OSRRefP22_5x_0" localSheetId="71">'326'!$P$82</definedName>
    <definedName name="OSRRefP22_5x_0" localSheetId="52">'330'!$P$110</definedName>
    <definedName name="OSRRefP22_5x_0" localSheetId="58">'331'!$P$98:$P$99</definedName>
    <definedName name="OSRRefP22_5x_0" localSheetId="60">'332'!$P$68</definedName>
    <definedName name="OSRRefP22_5x_0" localSheetId="76">'405'!$P$45:$P$46</definedName>
    <definedName name="OSRRefP22_5x_0" localSheetId="77">'406'!$P$46</definedName>
    <definedName name="OSRRefP22_5x_0" localSheetId="78">'411'!$P$45</definedName>
    <definedName name="OSRRefP22_5x_0" localSheetId="79">'412'!$P$47</definedName>
    <definedName name="OSRRefP22_5x_0" localSheetId="81">'413'!$P$46</definedName>
    <definedName name="OSRRefP22_5x_0" localSheetId="82">'414'!$P$46</definedName>
    <definedName name="OSRRefP22_5x_0" localSheetId="83">'415'!$P$46:$P$47</definedName>
    <definedName name="OSRRefP22_5x_0" localSheetId="84">'418'!$P$46:$P$47</definedName>
    <definedName name="OSRRefP22_5x_0" localSheetId="80">'420'!$P$44</definedName>
    <definedName name="OSRRefP22_5x_0" localSheetId="85">'423'!$P$39</definedName>
    <definedName name="OSRRefP22_5x_0" localSheetId="86">'424'!$P$42</definedName>
    <definedName name="OSRRefP22_5x_0" localSheetId="87">'425'!$P$50</definedName>
    <definedName name="OSRRefP22_5x_0" localSheetId="90">'430'!$P$37</definedName>
    <definedName name="OSRRefP22_5x_0" localSheetId="91">'433'!$P$49</definedName>
    <definedName name="OSRRefP22_5x_0" localSheetId="92">'435'!$P$39</definedName>
    <definedName name="OSRRefP22_5x_0" localSheetId="93">'444'!$P$48</definedName>
    <definedName name="OSRRefP22_5x_0" localSheetId="95">'450'!$P$48</definedName>
    <definedName name="OSRRefP22_5x_0" localSheetId="75">'491'!$P$58:$P$60</definedName>
    <definedName name="OSRRefP22_5x_0" localSheetId="89">'492'!$P$52</definedName>
    <definedName name="OSRRefP22_5x_0" localSheetId="97">'501'!$P$43:$P$44</definedName>
    <definedName name="OSRRefP22_5x_0" localSheetId="9">'Div 2'!$P$46:$P$47</definedName>
    <definedName name="OSRRefP22_5x_0" localSheetId="19">'Div 3'!$P$203:$P$204</definedName>
    <definedName name="OSRRefP22_5x_0" localSheetId="73">'Div 4'!$P$59:$P$61</definedName>
    <definedName name="OSRRefP22_5x_0" localSheetId="96">'Div 5'!$P$43:$P$44</definedName>
    <definedName name="OSRRefP22_5x_0" localSheetId="63">'Div 6'!$P$80</definedName>
    <definedName name="OSRRefP22_5x_0" localSheetId="2">Summary!$P$238:$P$240</definedName>
    <definedName name="OSRRefP22_6x_0" localSheetId="13">'201'!$P$42</definedName>
    <definedName name="OSRRefP22_6x_0" localSheetId="14">'202'!$P$44</definedName>
    <definedName name="OSRRefP22_6x_0" localSheetId="15">'203'!$P$45</definedName>
    <definedName name="OSRRefP22_6x_0" localSheetId="16">'204'!$P$47:$P$50</definedName>
    <definedName name="OSRRefP22_6x_0" localSheetId="17">'205'!$P$41:$P$42</definedName>
    <definedName name="OSRRefP22_6x_0" localSheetId="18">'206'!$P$44:$P$45</definedName>
    <definedName name="OSRRefP22_6x_0" localSheetId="22">'300'!$P$201:$P$202</definedName>
    <definedName name="OSRRefP22_6x_0" localSheetId="25">'300 &amp; 317'!$P$226:$P$227</definedName>
    <definedName name="OSRRefP22_6x_0" localSheetId="50">'301'!$P$48:$P$49</definedName>
    <definedName name="OSRRefP22_6x_0" localSheetId="51">'306'!$P$44</definedName>
    <definedName name="OSRRefP22_6x_0" localSheetId="53">'307'!$P$103</definedName>
    <definedName name="OSRRefP22_6x_0" localSheetId="55">'308'!$P$91:$P$92</definedName>
    <definedName name="OSRRefP22_6x_0" localSheetId="66">'309'!$P$47</definedName>
    <definedName name="OSRRefP22_6x_0" localSheetId="65">'310'!$P$58</definedName>
    <definedName name="OSRRefP22_6x_0" localSheetId="74">'310 &amp; 491'!$P$70</definedName>
    <definedName name="OSRRefP22_6x_0" localSheetId="56">'311'!$P$90:$P$91</definedName>
    <definedName name="OSRRefP22_6x_0" localSheetId="67">'313'!$P$54</definedName>
    <definedName name="OSRRefP22_6x_0" localSheetId="54">'314'!$P$80</definedName>
    <definedName name="OSRRefP22_6x_0" localSheetId="59">'315'!$P$83</definedName>
    <definedName name="OSRRefP22_6x_0" localSheetId="61">'316'!$P$57</definedName>
    <definedName name="OSRRefP22_6x_0" localSheetId="64">'317'!$P$82</definedName>
    <definedName name="OSRRefP22_6x_0" localSheetId="62">'320'!$P$56</definedName>
    <definedName name="OSRRefP22_6x_0" localSheetId="68">'321'!$P$46</definedName>
    <definedName name="OSRRefP22_6x_0" localSheetId="69">'322'!$P$47</definedName>
    <definedName name="OSRRefP22_6x_0" localSheetId="70">'325'!$P$49</definedName>
    <definedName name="OSRRefP22_6x_0" localSheetId="71">'326'!$P$84</definedName>
    <definedName name="OSRRefP22_6x_0" localSheetId="52">'330'!$P$112</definedName>
    <definedName name="OSRRefP22_6x_0" localSheetId="58">'331'!$P$101</definedName>
    <definedName name="OSRRefP22_6x_0" localSheetId="60">'332'!$P$70:$P$71</definedName>
    <definedName name="OSRRefP22_6x_0" localSheetId="76">'405'!$P$48</definedName>
    <definedName name="OSRRefP22_6x_0" localSheetId="77">'406'!$P$48</definedName>
    <definedName name="OSRRefP22_6x_0" localSheetId="78">'411'!$P$47</definedName>
    <definedName name="OSRRefP22_6x_0" localSheetId="79">'412'!$P$49</definedName>
    <definedName name="OSRRefP22_6x_0" localSheetId="81">'413'!$P$48</definedName>
    <definedName name="OSRRefP22_6x_0" localSheetId="82">'414'!$P$48</definedName>
    <definedName name="OSRRefP22_6x_0" localSheetId="83">'415'!$P$49</definedName>
    <definedName name="OSRRefP22_6x_0" localSheetId="84">'418'!$P$49</definedName>
    <definedName name="OSRRefP22_6x_0" localSheetId="80">'420'!$P$46:$P$47</definedName>
    <definedName name="OSRRefP22_6x_0" localSheetId="85">'423'!$P$41</definedName>
    <definedName name="OSRRefP22_6x_0" localSheetId="86">'424'!$P$44</definedName>
    <definedName name="OSRRefP22_6x_0" localSheetId="87">'425'!$P$52</definedName>
    <definedName name="OSRRefP22_6x_0" localSheetId="90">'430'!$P$39:$P$40</definedName>
    <definedName name="OSRRefP22_6x_0" localSheetId="91">'433'!$P$51</definedName>
    <definedName name="OSRRefP22_6x_0" localSheetId="92">'435'!$P$41</definedName>
    <definedName name="OSRRefP22_6x_0" localSheetId="93">'444'!$P$50</definedName>
    <definedName name="OSRRefP22_6x_0" localSheetId="95">'450'!$P$50</definedName>
    <definedName name="OSRRefP22_6x_0" localSheetId="75">'491'!$P$62</definedName>
    <definedName name="OSRRefP22_6x_0" localSheetId="89">'492'!$P$54</definedName>
    <definedName name="OSRRefP22_6x_0" localSheetId="97">'501'!$P$46</definedName>
    <definedName name="OSRRefP22_6x_0" localSheetId="9">'Div 2'!$P$49</definedName>
    <definedName name="OSRRefP22_6x_0" localSheetId="19">'Div 3'!$P$206:$P$207</definedName>
    <definedName name="OSRRefP22_6x_0" localSheetId="73">'Div 4'!$P$63</definedName>
    <definedName name="OSRRefP22_6x_0" localSheetId="96">'Div 5'!$P$46</definedName>
    <definedName name="OSRRefP22_6x_0" localSheetId="63">'Div 6'!$P$82</definedName>
    <definedName name="OSRRefP22_6x_0" localSheetId="2">Summary!$P$242:$P$243</definedName>
    <definedName name="OSRRefP22_7x_0" localSheetId="13">'201'!$P$44</definedName>
    <definedName name="OSRRefP22_7x_0" localSheetId="14">'202'!$P$46</definedName>
    <definedName name="OSRRefP22_7x_0" localSheetId="15">'203'!$P$47</definedName>
    <definedName name="OSRRefP22_7x_0" localSheetId="16">'204'!$P$52:$P$53</definedName>
    <definedName name="OSRRefP22_7x_0" localSheetId="17">'205'!$P$44</definedName>
    <definedName name="OSRRefP22_7x_0" localSheetId="18">'206'!$P$47</definedName>
    <definedName name="OSRRefP22_7x_0" localSheetId="22">'300'!$P$204</definedName>
    <definedName name="OSRRefP22_7x_0" localSheetId="25">'300 &amp; 317'!$P$229</definedName>
    <definedName name="OSRRefP22_7x_0" localSheetId="50">'301'!$P$51</definedName>
    <definedName name="OSRRefP22_7x_0" localSheetId="51">'306'!$P$46:$P$47</definedName>
    <definedName name="OSRRefP22_7x_0" localSheetId="53">'307'!$P$105</definedName>
    <definedName name="OSRRefP22_7x_0" localSheetId="55">'308'!$P$94</definedName>
    <definedName name="OSRRefP22_7x_0" localSheetId="66">'309'!$P$49</definedName>
    <definedName name="OSRRefP22_7x_0" localSheetId="65">'310'!$P$60</definedName>
    <definedName name="OSRRefP22_7x_0" localSheetId="74">'310 &amp; 491'!$P$72</definedName>
    <definedName name="OSRRefP22_7x_0" localSheetId="56">'311'!$P$93</definedName>
    <definedName name="OSRRefP22_7x_0" localSheetId="67">'313'!$P$56:$P$57</definedName>
    <definedName name="OSRRefP22_7x_0" localSheetId="54">'314'!$P$82:$P$84</definedName>
    <definedName name="OSRRefP22_7x_0" localSheetId="59">'315'!$P$85</definedName>
    <definedName name="OSRRefP22_7x_0" localSheetId="61">'316'!$P$59</definedName>
    <definedName name="OSRRefP22_7x_0" localSheetId="64">'317'!$P$84:$P$85</definedName>
    <definedName name="OSRRefP22_7x_0" localSheetId="62">'320'!$P$58:$P$59</definedName>
    <definedName name="OSRRefP22_7x_0" localSheetId="68">'321'!$P$48:$P$50</definedName>
    <definedName name="OSRRefP22_7x_0" localSheetId="69">'322'!$P$49</definedName>
    <definedName name="OSRRefP22_7x_0" localSheetId="70">'325'!$P$51</definedName>
    <definedName name="OSRRefP22_7x_0" localSheetId="71">'326'!$P$86</definedName>
    <definedName name="OSRRefP22_7x_0" localSheetId="52">'330'!$P$114</definedName>
    <definedName name="OSRRefP22_7x_0" localSheetId="58">'331'!$P$103</definedName>
    <definedName name="OSRRefP22_7x_0" localSheetId="60">'332'!$P$73</definedName>
    <definedName name="OSRRefP22_7x_0" localSheetId="76">'405'!$P$50</definedName>
    <definedName name="OSRRefP22_7x_0" localSheetId="77">'406'!$P$50</definedName>
    <definedName name="OSRRefP22_7x_0" localSheetId="78">'411'!$P$49</definedName>
    <definedName name="OSRRefP22_7x_0" localSheetId="79">'412'!$P$51</definedName>
    <definedName name="OSRRefP22_7x_0" localSheetId="81">'413'!$P$50:$P$52</definedName>
    <definedName name="OSRRefP22_7x_0" localSheetId="82">'414'!$P$50</definedName>
    <definedName name="OSRRefP22_7x_0" localSheetId="83">'415'!$P$51</definedName>
    <definedName name="OSRRefP22_7x_0" localSheetId="84">'418'!$P$51</definedName>
    <definedName name="OSRRefP22_7x_0" localSheetId="80">'420'!$P$49</definedName>
    <definedName name="OSRRefP22_7x_0" localSheetId="86">'424'!$P$46</definedName>
    <definedName name="OSRRefP22_7x_0" localSheetId="87">'425'!$P$54</definedName>
    <definedName name="OSRRefP22_7x_0" localSheetId="90">'430'!$P$42</definedName>
    <definedName name="OSRRefP22_7x_0" localSheetId="91">'433'!$P$53</definedName>
    <definedName name="OSRRefP22_7x_0" localSheetId="92">'435'!$P$43</definedName>
    <definedName name="OSRRefP22_7x_0" localSheetId="93">'444'!$P$52</definedName>
    <definedName name="OSRRefP22_7x_0" localSheetId="95">'450'!$P$52</definedName>
    <definedName name="OSRRefP22_7x_0" localSheetId="75">'491'!$P$64</definedName>
    <definedName name="OSRRefP22_7x_0" localSheetId="89">'492'!$P$56</definedName>
    <definedName name="OSRRefP22_7x_0" localSheetId="97">'501'!$P$48</definedName>
    <definedName name="OSRRefP22_7x_0" localSheetId="9">'Div 2'!$P$51</definedName>
    <definedName name="OSRRefP22_7x_0" localSheetId="19">'Div 3'!$P$209</definedName>
    <definedName name="OSRRefP22_7x_0" localSheetId="73">'Div 4'!$P$65</definedName>
    <definedName name="OSRRefP22_7x_0" localSheetId="96">'Div 5'!$P$48</definedName>
    <definedName name="OSRRefP22_7x_0" localSheetId="63">'Div 6'!$P$84:$P$85</definedName>
    <definedName name="OSRRefP22_7x_0" localSheetId="2">Summary!$P$245</definedName>
    <definedName name="OSRRefP22_8x_0" localSheetId="13">'201'!$P$46</definedName>
    <definedName name="OSRRefP22_8x_0" localSheetId="14">'202'!$P$48</definedName>
    <definedName name="OSRRefP22_8x_0" localSheetId="15">'203'!$P$49</definedName>
    <definedName name="OSRRefP22_8x_0" localSheetId="16">'204'!$P$55:$P$56</definedName>
    <definedName name="OSRRefP22_8x_0" localSheetId="17">'205'!$P$46</definedName>
    <definedName name="OSRRefP22_8x_0" localSheetId="18">'206'!$P$49</definedName>
    <definedName name="OSRRefP22_8x_0" localSheetId="22">'300'!$P$206</definedName>
    <definedName name="OSRRefP22_8x_0" localSheetId="25">'300 &amp; 317'!$P$231</definedName>
    <definedName name="OSRRefP22_8x_0" localSheetId="50">'301'!$P$53</definedName>
    <definedName name="OSRRefP22_8x_0" localSheetId="51">'306'!$P$49:$P$53</definedName>
    <definedName name="OSRRefP22_8x_0" localSheetId="53">'307'!$P$107</definedName>
    <definedName name="OSRRefP22_8x_0" localSheetId="55">'308'!$P$96</definedName>
    <definedName name="OSRRefP22_8x_0" localSheetId="66">'309'!$P$51</definedName>
    <definedName name="OSRRefP22_8x_0" localSheetId="65">'310'!$P$62</definedName>
    <definedName name="OSRRefP22_8x_0" localSheetId="74">'310 &amp; 491'!$P$74</definedName>
    <definedName name="OSRRefP22_8x_0" localSheetId="56">'311'!$P$95</definedName>
    <definedName name="OSRRefP22_8x_0" localSheetId="67">'313'!$P$59</definedName>
    <definedName name="OSRRefP22_8x_0" localSheetId="54">'314'!$P$86</definedName>
    <definedName name="OSRRefP22_8x_0" localSheetId="59">'315'!$P$87</definedName>
    <definedName name="OSRRefP22_8x_0" localSheetId="61">'316'!$P$61:$P$62</definedName>
    <definedName name="OSRRefP22_8x_0" localSheetId="64">'317'!$P$87</definedName>
    <definedName name="OSRRefP22_8x_0" localSheetId="62">'320'!$P$61</definedName>
    <definedName name="OSRRefP22_8x_0" localSheetId="68">'321'!$P$52</definedName>
    <definedName name="OSRRefP22_8x_0" localSheetId="69">'322'!$P$51</definedName>
    <definedName name="OSRRefP22_8x_0" localSheetId="70">'325'!$P$53</definedName>
    <definedName name="OSRRefP22_8x_0" localSheetId="71">'326'!$P$88</definedName>
    <definedName name="OSRRefP22_8x_0" localSheetId="52">'330'!$P$116</definedName>
    <definedName name="OSRRefP22_8x_0" localSheetId="58">'331'!$P$105:$P$106</definedName>
    <definedName name="OSRRefP22_8x_0" localSheetId="60">'332'!$P$75</definedName>
    <definedName name="OSRRefP22_8x_0" localSheetId="76">'405'!$P$52</definedName>
    <definedName name="OSRRefP22_8x_0" localSheetId="77">'406'!$P$52</definedName>
    <definedName name="OSRRefP22_8x_0" localSheetId="78">'411'!$P$51</definedName>
    <definedName name="OSRRefP22_8x_0" localSheetId="79">'412'!$P$53</definedName>
    <definedName name="OSRRefP22_8x_0" localSheetId="81">'413'!$P$54:$P$55</definedName>
    <definedName name="OSRRefP22_8x_0" localSheetId="82">'414'!$P$52</definedName>
    <definedName name="OSRRefP22_8x_0" localSheetId="83">'415'!$P$53</definedName>
    <definedName name="OSRRefP22_8x_0" localSheetId="84">'418'!$P$53</definedName>
    <definedName name="OSRRefP22_8x_0" localSheetId="86">'424'!$P$48</definedName>
    <definedName name="OSRRefP22_8x_0" localSheetId="87">'425'!$P$56</definedName>
    <definedName name="OSRRefP22_8x_0" localSheetId="90">'430'!$P$44</definedName>
    <definedName name="OSRRefP22_8x_0" localSheetId="91">'433'!$P$55</definedName>
    <definedName name="OSRRefP22_8x_0" localSheetId="92">'435'!$P$45:$P$48</definedName>
    <definedName name="OSRRefP22_8x_0" localSheetId="93">'444'!$P$54</definedName>
    <definedName name="OSRRefP22_8x_0" localSheetId="95">'450'!$P$54</definedName>
    <definedName name="OSRRefP22_8x_0" localSheetId="75">'491'!$P$66</definedName>
    <definedName name="OSRRefP22_8x_0" localSheetId="89">'492'!$P$58</definedName>
    <definedName name="OSRRefP22_8x_0" localSheetId="97">'501'!$P$50</definedName>
    <definedName name="OSRRefP22_8x_0" localSheetId="9">'Div 2'!$P$53</definedName>
    <definedName name="OSRRefP22_8x_0" localSheetId="19">'Div 3'!$P$211</definedName>
    <definedName name="OSRRefP22_8x_0" localSheetId="73">'Div 4'!$P$67</definedName>
    <definedName name="OSRRefP22_8x_0" localSheetId="96">'Div 5'!$P$50</definedName>
    <definedName name="OSRRefP22_8x_0" localSheetId="63">'Div 6'!$P$87</definedName>
    <definedName name="OSRRefP22_8x_0" localSheetId="2">Summary!$P$247</definedName>
    <definedName name="OSRRefP22_9x_0" localSheetId="13">'201'!$P$48</definedName>
    <definedName name="OSRRefP22_9x_0" localSheetId="14">'202'!$P$50</definedName>
    <definedName name="OSRRefP22_9x_0" localSheetId="15">'203'!$P$51:$P$53</definedName>
    <definedName name="OSRRefP22_9x_0" localSheetId="16">'204'!$P$58</definedName>
    <definedName name="OSRRefP22_9x_0" localSheetId="22">'300'!$P$208</definedName>
    <definedName name="OSRRefP22_9x_0" localSheetId="25">'300 &amp; 317'!$P$233</definedName>
    <definedName name="OSRRefP22_9x_0" localSheetId="50">'301'!$P$55</definedName>
    <definedName name="OSRRefP22_9x_0" localSheetId="51">'306'!$P$55</definedName>
    <definedName name="OSRRefP22_9x_0" localSheetId="53">'307'!$P$109:$P$110</definedName>
    <definedName name="OSRRefP22_9x_0" localSheetId="55">'308'!$P$98:$P$100</definedName>
    <definedName name="OSRRefP22_9x_0" localSheetId="66">'309'!$P$53:$P$54</definedName>
    <definedName name="OSRRefP22_9x_0" localSheetId="65">'310'!$P$64:$P$65</definedName>
    <definedName name="OSRRefP22_9x_0" localSheetId="74">'310 &amp; 491'!$P$76</definedName>
    <definedName name="OSRRefP22_9x_0" localSheetId="56">'311'!$P$97:$P$99</definedName>
    <definedName name="OSRRefP22_9x_0" localSheetId="67">'313'!$P$61:$P$63</definedName>
    <definedName name="OSRRefP22_9x_0" localSheetId="54">'314'!$P$88</definedName>
    <definedName name="OSRRefP22_9x_0" localSheetId="59">'315'!$P$89:$P$91</definedName>
    <definedName name="OSRRefP22_9x_0" localSheetId="61">'316'!$P$64</definedName>
    <definedName name="OSRRefP22_9x_0" localSheetId="64">'317'!$P$89</definedName>
    <definedName name="OSRRefP22_9x_0" localSheetId="68">'321'!$P$54:$P$56</definedName>
    <definedName name="OSRRefP22_9x_0" localSheetId="69">'322'!$P$53</definedName>
    <definedName name="OSRRefP22_9x_0" localSheetId="70">'325'!$P$55</definedName>
    <definedName name="OSRRefP22_9x_0" localSheetId="71">'326'!$P$90</definedName>
    <definedName name="OSRRefP22_9x_0" localSheetId="52">'330'!$P$118</definedName>
    <definedName name="OSRRefP22_9x_0" localSheetId="58">'331'!$P$108</definedName>
    <definedName name="OSRRefP22_9x_0" localSheetId="60">'332'!$P$77:$P$78</definedName>
    <definedName name="OSRRefP22_9x_0" localSheetId="76">'405'!$P$54</definedName>
    <definedName name="OSRRefP22_9x_0" localSheetId="77">'406'!$P$54:$P$56</definedName>
    <definedName name="OSRRefP22_9x_0" localSheetId="78">'411'!$P$53</definedName>
    <definedName name="OSRRefP22_9x_0" localSheetId="79">'412'!$P$55:$P$57</definedName>
    <definedName name="OSRRefP22_9x_0" localSheetId="81">'413'!$P$57:$P$62</definedName>
    <definedName name="OSRRefP22_9x_0" localSheetId="82">'414'!$P$54:$P$55</definedName>
    <definedName name="OSRRefP22_9x_0" localSheetId="83">'415'!$P$55</definedName>
    <definedName name="OSRRefP22_9x_0" localSheetId="84">'418'!$P$55</definedName>
    <definedName name="OSRRefP22_9x_0" localSheetId="86">'424'!$P$50:$P$51</definedName>
    <definedName name="OSRRefP22_9x_0" localSheetId="87">'425'!$P$58:$P$60</definedName>
    <definedName name="OSRRefP22_9x_0" localSheetId="90">'430'!$P$46</definedName>
    <definedName name="OSRRefP22_9x_0" localSheetId="91">'433'!$P$57</definedName>
    <definedName name="OSRRefP22_9x_0" localSheetId="92">'435'!$P$50</definedName>
    <definedName name="OSRRefP22_9x_0" localSheetId="93">'444'!$P$56</definedName>
    <definedName name="OSRRefP22_9x_0" localSheetId="95">'450'!$P$56</definedName>
    <definedName name="OSRRefP22_9x_0" localSheetId="75">'491'!$P$68</definedName>
    <definedName name="OSRRefP22_9x_0" localSheetId="89">'492'!$P$60</definedName>
    <definedName name="OSRRefP22_9x_0" localSheetId="97">'501'!$P$52</definedName>
    <definedName name="OSRRefP22_9x_0" localSheetId="9">'Div 2'!$P$55</definedName>
    <definedName name="OSRRefP22_9x_0" localSheetId="19">'Div 3'!$P$213</definedName>
    <definedName name="OSRRefP22_9x_0" localSheetId="73">'Div 4'!$P$69</definedName>
    <definedName name="OSRRefP22_9x_0" localSheetId="96">'Div 5'!$P$52</definedName>
    <definedName name="OSRRefP22_9x_0" localSheetId="63">'Div 6'!$P$89</definedName>
    <definedName name="OSRRefP22_9x_0" localSheetId="2">Summary!$P$249</definedName>
    <definedName name="OSRRefP22x_0" localSheetId="12">'200'!$P$20,'200'!$P$22,'200'!$P$24,'200'!$P$26,'200'!$P$28:$P$29</definedName>
    <definedName name="OSRRefP22x_0" localSheetId="13">'201'!$P$20:$P$28,'201'!$P$30:$P$32,'201'!$P$34,'201'!$P$36,'201'!$P$38,'201'!$P$40,'201'!$P$42,'201'!$P$44,'201'!$P$46,'201'!$P$48,'201'!$P$50:$P$52,'201'!$P$54:$P$56,'201'!$P$58,'201'!$P$60:$P$63,'201'!$P$65,'201'!$P$67,'201'!$P$69:$P$70</definedName>
    <definedName name="OSRRefP22x_0" localSheetId="14">'202'!$P$20:$P$27,'202'!$P$29:$P$34,'202'!$P$36,'202'!$P$38,'202'!$P$40,'202'!$P$42,'202'!$P$44,'202'!$P$46,'202'!$P$48,'202'!$P$50,'202'!$P$52:$P$54,'202'!$P$56,'202'!$P$58,'202'!$P$60:$P$62,'202'!$P$64,'202'!$P$66,'202'!$P$68</definedName>
    <definedName name="OSRRefP22x_0" localSheetId="15">'203'!$P$20:$P$29,'203'!$P$31:$P$35,'203'!$P$37,'203'!$P$39,'203'!$P$41,'203'!$P$43,'203'!$P$45,'203'!$P$47,'203'!$P$49,'203'!$P$51:$P$53,'203'!$P$55:$P$56,'203'!$P$58:$P$59,'203'!$P$61:$P$63,'203'!$P$65,'203'!$P$67,'203'!$P$69</definedName>
    <definedName name="OSRRefP22x_0" localSheetId="16">'204'!$P$20:$P$29,'204'!$P$31:$P$36,'204'!$P$38,'204'!$P$40:$P$41,'204'!$P$43,'204'!$P$45,'204'!$P$47:$P$50,'204'!$P$52:$P$53,'204'!$P$55:$P$56,'204'!$P$58,'204'!$P$60:$P$61</definedName>
    <definedName name="OSRRefP22x_0" localSheetId="17">'205'!$P$20:$P$27,'205'!$P$29,'205'!$P$31,'205'!$P$33,'205'!$P$35:$P$37,'205'!$P$39,'205'!$P$41:$P$42,'205'!$P$44,'205'!$P$46</definedName>
    <definedName name="OSRRefP22x_0" localSheetId="18">'206'!$P$20:$P$27,'206'!$P$29:$P$34,'206'!$P$36,'206'!$P$38,'206'!$P$40,'206'!$P$42,'206'!$P$44:$P$45,'206'!$P$47,'206'!$P$49</definedName>
    <definedName name="OSRRefP22x_0" localSheetId="22">'300'!$P$173:$P$181,'300'!$P$183:$P$189,'300'!$P$191,'300'!$P$193:$P$194,'300'!$P$196,'300'!$P$198:$P$199,'300'!$P$201:$P$202,'300'!$P$204,'300'!$P$206,'300'!$P$208,'300'!$P$210:$P$211,'300'!$P$213,'300'!$P$215,'300'!$P$217,'300'!$P$219,'300'!$P$221,'300'!$P$223:$P$226,'300'!$P$228:$P$230,'300'!$P$232:$P$235,'300'!$P$237:$P$238,'300'!$P$240:$P$246,'300'!$P$248:$P$249,'300'!$P$251,'300'!$P$253:$P$255,'300'!$P$257</definedName>
    <definedName name="OSRRefP22x_0" localSheetId="25">'300 &amp; 317'!$P$198:$P$206,'300 &amp; 317'!$P$208:$P$214,'300 &amp; 317'!$P$216,'300 &amp; 317'!$P$218:$P$219,'300 &amp; 317'!$P$221,'300 &amp; 317'!$P$223:$P$224,'300 &amp; 317'!$P$226:$P$227,'300 &amp; 317'!$P$229,'300 &amp; 317'!$P$231,'300 &amp; 317'!$P$233,'300 &amp; 317'!$P$235:$P$236,'300 &amp; 317'!$P$238,'300 &amp; 317'!$P$240,'300 &amp; 317'!$P$242,'300 &amp; 317'!$P$244,'300 &amp; 317'!$P$246,'300 &amp; 317'!$P$248:$P$251,'300 &amp; 317'!$P$253:$P$255,'300 &amp; 317'!$P$257:$P$260,'300 &amp; 317'!$P$262:$P$263,'300 &amp; 317'!$P$265:$P$271,'300 &amp; 317'!$P$273:$P$274,'300 &amp; 317'!$P$276,'300 &amp; 317'!$P$278:$P$280,'300 &amp; 317'!$P$282</definedName>
    <definedName name="OSRRefP22x_0" localSheetId="50">'301'!$P$21:$P$28,'301'!$P$30:$P$36,'301'!$P$38,'301'!$P$40:$P$41,'301'!$P$43,'301'!$P$45:$P$46,'301'!$P$48:$P$49,'301'!$P$51,'301'!$P$53,'301'!$P$55,'301'!$P$57,'301'!$P$59,'301'!$P$61,'301'!$P$63,'301'!$P$65:$P$68,'301'!$P$70,'301'!$P$72:$P$74,'301'!$P$76:$P$77,'301'!$P$79:$P$84,'301'!$P$86,'301'!$P$88,'301'!$P$90:$P$92,'301'!$P$94</definedName>
    <definedName name="OSRRefP22x_0" localSheetId="51">'306'!$P$20:$P$28,'306'!$P$30:$P$34,'306'!$P$36,'306'!$P$38,'306'!$P$40,'306'!$P$42,'306'!$P$44,'306'!$P$46:$P$47,'306'!$P$49:$P$53,'306'!$P$55,'306'!$P$57</definedName>
    <definedName name="OSRRefP22x_0" localSheetId="53">'307'!$P$80:$P$87,'307'!$P$89:$P$92,'307'!$P$94,'307'!$P$96,'307'!$P$98:$P$99,'307'!$P$101,'307'!$P$103,'307'!$P$105,'307'!$P$107,'307'!$P$109:$P$110,'307'!$P$112:$P$113,'307'!$P$115:$P$117,'307'!$P$119,'307'!$P$121,'307'!$P$123</definedName>
    <definedName name="OSRRefP22x_0" localSheetId="55">'308'!$P$66:$P$74,'308'!$P$76:$P$80,'308'!$P$82,'308'!$P$84:$P$85,'308'!$P$87,'308'!$P$89,'308'!$P$91:$P$92,'308'!$P$94,'308'!$P$96,'308'!$P$98:$P$100,'308'!$P$102:$P$103,'308'!$P$105:$P$108,'308'!$P$110:$P$111,'308'!$P$113,'308'!$P$115</definedName>
    <definedName name="OSRRefP22x_0" localSheetId="66">'309'!$P$24:$P$31,'309'!$P$33:$P$37,'309'!$P$39,'309'!$P$41,'309'!$P$43,'309'!$P$45,'309'!$P$47,'309'!$P$49,'309'!$P$51,'309'!$P$53:$P$54,'309'!$P$56:$P$58,'309'!$P$60,'309'!$P$62:$P$68,'309'!$P$70</definedName>
    <definedName name="OSRRefP22x_0" localSheetId="65">'310'!$P$33:$P$40,'310'!$P$42:$P$47,'310'!$P$49,'310'!$P$51,'310'!$P$53,'310'!$P$55:$P$56,'310'!$P$58,'310'!$P$60,'310'!$P$62,'310'!$P$64:$P$65,'310'!$P$67,'310'!$P$69,'310'!$P$71,'310'!$P$73,'310'!$P$75:$P$77,'310'!$P$79,'310'!$P$81:$P$84,'310'!$P$86:$P$87,'310'!$P$89:$P$96,'310'!$P$98,'310'!$P$100,'310'!$P$102,'310'!$P$104</definedName>
    <definedName name="OSRRefP22x_0" localSheetId="74">'310 &amp; 491'!$P$42:$P$50,'310 &amp; 491'!$P$52:$P$58,'310 &amp; 491'!$P$60,'310 &amp; 491'!$P$62,'310 &amp; 491'!$P$64,'310 &amp; 491'!$P$66:$P$68,'310 &amp; 491'!$P$70,'310 &amp; 491'!$P$72,'310 &amp; 491'!$P$74,'310 &amp; 491'!$P$76,'310 &amp; 491'!$P$78:$P$79,'310 &amp; 491'!$P$81:$P$82,'310 &amp; 491'!$P$84,'310 &amp; 491'!$P$86,'310 &amp; 491'!$P$88,'310 &amp; 491'!$P$90,'310 &amp; 491'!$P$92:$P$95,'310 &amp; 491'!$P$97:$P$98,'310 &amp; 491'!$P$100:$P$104,'310 &amp; 491'!$P$106:$P$107,'310 &amp; 491'!$P$109:$P$117,'310 &amp; 491'!$P$119,'310 &amp; 491'!$P$121,'310 &amp; 491'!$P$123:$P$125,'310 &amp; 491'!$P$127</definedName>
    <definedName name="OSRRefP22x_0" localSheetId="56">'311'!$P$65:$P$73,'311'!$P$75:$P$79,'311'!$P$81,'311'!$P$83:$P$84,'311'!$P$86,'311'!$P$88,'311'!$P$90:$P$91,'311'!$P$93,'311'!$P$95,'311'!$P$97:$P$99,'311'!$P$101:$P$102,'311'!$P$104:$P$107,'311'!$P$109:$P$110,'311'!$P$112,'311'!$P$114</definedName>
    <definedName name="OSRRefP22x_0" localSheetId="67">'313'!$P$30:$P$37,'313'!$P$39:$P$44,'313'!$P$46,'313'!$P$48,'313'!$P$50,'313'!$P$52,'313'!$P$54,'313'!$P$56:$P$57,'313'!$P$59,'313'!$P$61:$P$63,'313'!$P$65:$P$66,'313'!$P$68:$P$69,'313'!$P$71:$P$76,'313'!$P$78,'313'!$P$80</definedName>
    <definedName name="OSRRefP22x_0" localSheetId="54">'314'!$P$56:$P$64,'314'!$P$66:$P$69,'314'!$P$71,'314'!$P$73:$P$74,'314'!$P$76,'314'!$P$78,'314'!$P$80,'314'!$P$82:$P$84,'314'!$P$86,'314'!$P$88,'314'!$P$90</definedName>
    <definedName name="OSRRefP22x_0" localSheetId="59">'315'!$P$57:$P$64,'315'!$P$66:$P$71,'315'!$P$73,'315'!$P$75:$P$76,'315'!$P$78,'315'!$P$80:$P$81,'315'!$P$83,'315'!$P$85,'315'!$P$87,'315'!$P$89:$P$91,'315'!$P$93:$P$94,'315'!$P$96:$P$97,'315'!$P$99:$P$103,'315'!$P$105,'315'!$P$107,'315'!$P$109:$P$110</definedName>
    <definedName name="OSRRefP22x_0" localSheetId="61">'316'!$P$35:$P$42,'316'!$P$44:$P$47,'316'!$P$49,'316'!$P$51,'316'!$P$53,'316'!$P$55,'316'!$P$57,'316'!$P$59,'316'!$P$61:$P$62,'316'!$P$64,'316'!$P$66:$P$70,'316'!$P$72,'316'!$P$74</definedName>
    <definedName name="OSRRefP22x_0" localSheetId="64">'317'!$P$58:$P$66,'317'!$P$68:$P$72,'317'!$P$74,'317'!$P$76,'317'!$P$78,'317'!$P$80,'317'!$P$82,'317'!$P$84:$P$85,'317'!$P$87,'317'!$P$89,'317'!$P$91,'317'!$P$93,'317'!$P$95:$P$96,'317'!$P$98,'317'!$P$100,'317'!$P$102:$P$103</definedName>
    <definedName name="OSRRefP22x_0" localSheetId="62">'320'!$P$31:$P$38,'320'!$P$40:$P$45,'320'!$P$47,'320'!$P$49,'320'!$P$51:$P$52,'320'!$P$54,'320'!$P$56,'320'!$P$58:$P$59,'320'!$P$61</definedName>
    <definedName name="OSRRefP22x_0" localSheetId="68">'321'!$P$24:$P$30,'321'!$P$32:$P$36,'321'!$P$38,'321'!$P$40,'321'!$P$42,'321'!$P$44,'321'!$P$46,'321'!$P$48:$P$50,'321'!$P$52,'321'!$P$54:$P$56,'321'!$P$58:$P$63,'321'!$P$65,'321'!$P$67,'321'!$P$69</definedName>
    <definedName name="OSRRefP22x_0" localSheetId="69">'322'!$P$24:$P$31,'322'!$P$33:$P$37,'322'!$P$39,'322'!$P$41,'322'!$P$43,'322'!$P$45,'322'!$P$47,'322'!$P$49,'322'!$P$51,'322'!$P$53,'322'!$P$55:$P$56,'322'!$P$58:$P$60,'322'!$P$62,'322'!$P$64:$P$70,'322'!$P$72,'322'!$P$74,'322'!$P$76</definedName>
    <definedName name="OSRRefP22x_0" localSheetId="57">'324'!$P$25</definedName>
    <definedName name="OSRRefP22x_0" localSheetId="70">'325'!$P$24:$P$31,'325'!$P$33:$P$38,'325'!$P$40,'325'!$P$42,'325'!$P$44,'325'!$P$46:$P$47,'325'!$P$49,'325'!$P$51,'325'!$P$53,'325'!$P$55,'325'!$P$57,'325'!$P$59:$P$61,'325'!$P$63:$P$66,'325'!$P$68:$P$69,'325'!$P$71:$P$76,'325'!$P$78,'325'!$P$80,'325'!$P$82</definedName>
    <definedName name="OSRRefP22x_0" localSheetId="71">'326'!$P$62:$P$69,'326'!$P$71:$P$74,'326'!$P$76,'326'!$P$78,'326'!$P$80,'326'!$P$82,'326'!$P$84,'326'!$P$86,'326'!$P$88,'326'!$P$90,'326'!$P$92,'326'!$P$94,'326'!$P$96,'326'!$P$98:$P$99,'326'!$P$101:$P$103,'326'!$P$105:$P$106,'326'!$P$108:$P$112,'326'!$P$114,'326'!$P$116,'326'!$P$118,'326'!$P$120</definedName>
    <definedName name="OSRRefP22x_0" localSheetId="72">'327'!$P$22,'327'!$P$24,'327'!$P$26</definedName>
    <definedName name="OSRRefP22x_0" localSheetId="52">'330'!$P$87:$P$95,'330'!$P$97:$P$101,'330'!$P$103,'330'!$P$105,'330'!$P$107:$P$108,'330'!$P$110,'330'!$P$112,'330'!$P$114,'330'!$P$116,'330'!$P$118,'330'!$P$120,'330'!$P$122:$P$123,'330'!$P$125:$P$126,'330'!$P$128,'330'!$P$130:$P$132,'330'!$P$134,'330'!$P$136,'330'!$P$138</definedName>
    <definedName name="OSRRefP22x_0" localSheetId="58">'331'!$P$76:$P$83,'331'!$P$85:$P$90,'331'!$P$92,'331'!$P$94,'331'!$P$96,'331'!$P$98:$P$99,'331'!$P$101,'331'!$P$103,'331'!$P$105:$P$106,'331'!$P$108,'331'!$P$110,'331'!$P$112,'331'!$P$114,'331'!$P$116,'331'!$P$118:$P$120,'331'!$P$122:$P$123,'331'!$P$125:$P$127,'331'!$P$129:$P$130,'331'!$P$132:$P$137,'331'!$P$139,'331'!$P$141,'331'!$P$143:$P$144,'331'!$P$146</definedName>
    <definedName name="OSRRefP22x_0" localSheetId="60">'332'!$P$46:$P$53,'332'!$P$55:$P$60,'332'!$P$62,'332'!$P$64,'332'!$P$66,'332'!$P$68,'332'!$P$70:$P$71,'332'!$P$73,'332'!$P$75,'332'!$P$77:$P$78,'332'!$P$80,'332'!$P$82:$P$86,'332'!$P$88,'332'!$P$90</definedName>
    <definedName name="OSRRefP22x_0" localSheetId="76">'405'!$P$24:$P$31,'405'!$P$33:$P$37,'405'!$P$39,'405'!$P$41,'405'!$P$43,'405'!$P$45:$P$46,'405'!$P$48,'405'!$P$50,'405'!$P$52,'405'!$P$54,'405'!$P$56:$P$57,'405'!$P$59,'405'!$P$61:$P$63,'405'!$P$65:$P$66,'405'!$P$68:$P$74,'405'!$P$76,'405'!$P$78,'405'!$P$80,'405'!$P$82</definedName>
    <definedName name="OSRRefP22x_0" localSheetId="77">'406'!$P$24:$P$31,'406'!$P$33:$P$38,'406'!$P$40,'406'!$P$42,'406'!$P$44,'406'!$P$46,'406'!$P$48,'406'!$P$50,'406'!$P$52,'406'!$P$54:$P$56,'406'!$P$58:$P$59,'406'!$P$61:$P$66,'406'!$P$68,'406'!$P$70,'406'!$P$72:$P$73</definedName>
    <definedName name="OSRRefP22x_0" localSheetId="78">'411'!$P$20:$P$28,'411'!$P$30:$P$35,'411'!$P$37,'411'!$P$39,'411'!$P$41:$P$43,'411'!$P$45,'411'!$P$47,'411'!$P$49,'411'!$P$51,'411'!$P$53,'411'!$P$55,'411'!$P$57,'411'!$P$59:$P$62,'411'!$P$64:$P$68,'411'!$P$70:$P$71,'411'!$P$73:$P$80,'411'!$P$82,'411'!$P$84,'411'!$P$86:$P$88,'411'!$P$90</definedName>
    <definedName name="OSRRefP22x_0" localSheetId="79">'412'!$P$25:$P$32,'412'!$P$34:$P$39,'412'!$P$41,'412'!$P$43,'412'!$P$45,'412'!$P$47,'412'!$P$49,'412'!$P$51,'412'!$P$53,'412'!$P$55:$P$57,'412'!$P$59,'412'!$P$61:$P$63,'412'!$P$65:$P$72,'412'!$P$74,'412'!$P$76</definedName>
    <definedName name="OSRRefP22x_0" localSheetId="81">'413'!$P$24:$P$31,'413'!$P$33:$P$38,'413'!$P$40,'413'!$P$42,'413'!$P$44,'413'!$P$46,'413'!$P$48,'413'!$P$50:$P$52,'413'!$P$54:$P$55,'413'!$P$57:$P$62,'413'!$P$64,'413'!$P$66,'413'!$P$68</definedName>
    <definedName name="OSRRefP22x_0" localSheetId="82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3">'415'!$P$24:$P$31,'415'!$P$33:$P$38,'415'!$P$40,'415'!$P$42,'415'!$P$44,'415'!$P$46:$P$47,'415'!$P$49,'415'!$P$51,'415'!$P$53,'415'!$P$55,'415'!$P$57,'415'!$P$59:$P$62,'415'!$P$64:$P$68,'415'!$P$70:$P$71,'415'!$P$73:$P$80,'415'!$P$82,'415'!$P$84,'415'!$P$86,'415'!$P$88</definedName>
    <definedName name="OSRRefP22x_0" localSheetId="84">'418'!$P$24:$P$31,'418'!$P$33:$P$38,'418'!$P$40,'418'!$P$42,'418'!$P$44,'418'!$P$46:$P$47,'418'!$P$49,'418'!$P$51,'418'!$P$53,'418'!$P$55,'418'!$P$57:$P$58,'418'!$P$60:$P$62,'418'!$P$64:$P$66,'418'!$P$68:$P$69,'418'!$P$71:$P$78,'418'!$P$80,'418'!$P$82</definedName>
    <definedName name="OSRRefP22x_0" localSheetId="80">'420'!$P$24:$P$31,'420'!$P$33:$P$36,'420'!$P$38,'420'!$P$40,'420'!$P$42,'420'!$P$44,'420'!$P$46:$P$47,'420'!$P$49</definedName>
    <definedName name="OSRRefP22x_0" localSheetId="85">'423'!$P$21:$P$28,'423'!$P$30:$P$31,'423'!$P$33,'423'!$P$35,'423'!$P$37,'423'!$P$39,'423'!$P$41</definedName>
    <definedName name="OSRRefP22x_0" localSheetId="86">'424'!$P$26:$P$28,'424'!$P$30:$P$34,'424'!$P$36,'424'!$P$38,'424'!$P$40,'424'!$P$42,'424'!$P$44,'424'!$P$46,'424'!$P$48,'424'!$P$50:$P$51,'424'!$P$53,'424'!$P$55,'424'!$P$57:$P$62,'424'!$P$64</definedName>
    <definedName name="OSRRefP22x_0" localSheetId="87">'425'!$P$27:$P$35,'425'!$P$37:$P$42,'425'!$P$44,'425'!$P$46,'425'!$P$48,'425'!$P$50,'425'!$P$52,'425'!$P$54,'425'!$P$56,'425'!$P$58:$P$60,'425'!$P$62,'425'!$P$64:$P$66,'425'!$P$68:$P$74,'425'!$P$76,'425'!$P$78,'425'!$P$80</definedName>
    <definedName name="OSRRefP22x_0" localSheetId="90">'430'!$P$20:$P$27,'430'!$P$29,'430'!$P$31,'430'!$P$33,'430'!$P$35,'430'!$P$37,'430'!$P$39:$P$40,'430'!$P$42,'430'!$P$44,'430'!$P$46</definedName>
    <definedName name="OSRRefP22x_0" localSheetId="91">'433'!$P$26:$P$34,'433'!$P$36:$P$41,'433'!$P$43,'433'!$P$45,'433'!$P$47,'433'!$P$49,'433'!$P$51,'433'!$P$53,'433'!$P$55,'433'!$P$57,'433'!$P$59:$P$61,'433'!$P$63:$P$65,'433'!$P$67:$P$73,'433'!$P$75,'433'!$P$77,'433'!$P$79:$P$80</definedName>
    <definedName name="OSRRefP22x_0" localSheetId="92">'435'!$P$25:$P$27,'435'!$P$29:$P$31,'435'!$P$33,'435'!$P$35,'435'!$P$37,'435'!$P$39,'435'!$P$41,'435'!$P$43,'435'!$P$45:$P$48,'435'!$P$50</definedName>
    <definedName name="OSRRefP22x_0" localSheetId="93">'444'!$P$25:$P$33,'444'!$P$35:$P$40,'444'!$P$42,'444'!$P$44,'444'!$P$46,'444'!$P$48,'444'!$P$50,'444'!$P$52,'444'!$P$54,'444'!$P$56,'444'!$P$58,'444'!$P$60:$P$62,'444'!$P$64:$P$66,'444'!$P$68:$P$75,'444'!$P$77,'444'!$P$79,'444'!$P$81</definedName>
    <definedName name="OSRRefP22x_0" localSheetId="94">'445'!$P$20</definedName>
    <definedName name="OSRRefP22x_0" localSheetId="95">'450'!$P$25:$P$33,'450'!$P$35:$P$40,'450'!$P$42,'450'!$P$44,'450'!$P$46,'450'!$P$48,'450'!$P$50,'450'!$P$52,'450'!$P$54,'450'!$P$56,'450'!$P$58,'450'!$P$60,'450'!$P$62:$P$64,'450'!$P$66:$P$68,'450'!$P$70:$P$76,'450'!$P$78,'450'!$P$80,'450'!$P$82:$P$83</definedName>
    <definedName name="OSRRefP22x_0" localSheetId="88">'455'!$P$20:$P$26,'455'!$P$28:$P$29,'455'!$P$31</definedName>
    <definedName name="OSRRefP22x_0" localSheetId="75">'491'!$P$34:$P$42,'491'!$P$44:$P$50,'491'!$P$52,'491'!$P$54,'491'!$P$56,'491'!$P$58:$P$60,'491'!$P$62,'491'!$P$64,'491'!$P$66,'491'!$P$68,'491'!$P$70,'491'!$P$72:$P$73,'491'!$P$75,'491'!$P$77,'491'!$P$79,'491'!$P$81,'491'!$P$83:$P$86,'491'!$P$88:$P$89,'491'!$P$91:$P$95,'491'!$P$97:$P$98,'491'!$P$100:$P$108,'491'!$P$110,'491'!$P$112,'491'!$P$114:$P$116,'491'!$P$118</definedName>
    <definedName name="OSRRefP22x_0" localSheetId="89">'492'!$P$28:$P$36,'492'!$P$38:$P$44,'492'!$P$46,'492'!$P$48,'492'!$P$50,'492'!$P$52,'492'!$P$54,'492'!$P$56,'492'!$P$58,'492'!$P$60,'492'!$P$62,'492'!$P$64,'492'!$P$66,'492'!$P$68:$P$70,'492'!$P$72:$P$74,'492'!$P$76:$P$83,'492'!$P$85,'492'!$P$87,'492'!$P$89:$P$90</definedName>
    <definedName name="OSRRefP22x_0" localSheetId="97">'501'!$P$21:$P$28,'501'!$P$30:$P$35,'501'!$P$37,'501'!$P$39,'501'!$P$41,'501'!$P$43:$P$44,'501'!$P$46,'501'!$P$48,'501'!$P$50,'501'!$P$52,'501'!$P$54:$P$56,'501'!$P$58,'501'!$P$60:$P$63,'501'!$P$65,'501'!$P$67</definedName>
    <definedName name="OSRRefP22x_0" localSheetId="9">'Div 2'!$P$20:$P$30,'Div 2'!$P$32:$P$38,'Div 2'!$P$40,'Div 2'!$P$42,'Div 2'!$P$44,'Div 2'!$P$46:$P$47,'Div 2'!$P$49,'Div 2'!$P$51,'Div 2'!$P$53,'Div 2'!$P$55,'Div 2'!$P$57,'Div 2'!$P$59,'Div 2'!$P$61:$P$64,'Div 2'!$P$66:$P$69,'Div 2'!$P$71:$P$72,'Div 2'!$P$74:$P$75,'Div 2'!$P$77:$P$81,'Div 2'!$P$83:$P$84,'Div 2'!$P$86,'Div 2'!$P$88:$P$89</definedName>
    <definedName name="OSRRefP22x_0" localSheetId="19">'Div 3'!$P$178:$P$186,'Div 3'!$P$188:$P$194,'Div 3'!$P$196,'Div 3'!$P$198:$P$199,'Div 3'!$P$201,'Div 3'!$P$203:$P$204,'Div 3'!$P$206:$P$207,'Div 3'!$P$209,'Div 3'!$P$211,'Div 3'!$P$213,'Div 3'!$P$215:$P$216,'Div 3'!$P$218,'Div 3'!$P$220,'Div 3'!$P$222,'Div 3'!$P$224,'Div 3'!$P$226,'Div 3'!$P$228,'Div 3'!$P$230:$P$233,'Div 3'!$P$235:$P$237,'Div 3'!$P$239:$P$243,'Div 3'!$P$245:$P$246,'Div 3'!$P$248:$P$255,'Div 3'!$P$257:$P$258,'Div 3'!$P$260,'Div 3'!$P$262:$P$264,'Div 3'!$P$266</definedName>
    <definedName name="OSRRefP22x_0" localSheetId="73">'Div 4'!$P$35:$P$43,'Div 4'!$P$45:$P$51,'Div 4'!$P$53,'Div 4'!$P$55,'Div 4'!$P$57,'Div 4'!$P$59:$P$61,'Div 4'!$P$63,'Div 4'!$P$65,'Div 4'!$P$67,'Div 4'!$P$69,'Div 4'!$P$71,'Div 4'!$P$73:$P$74,'Div 4'!$P$76,'Div 4'!$P$78,'Div 4'!$P$80,'Div 4'!$P$82,'Div 4'!$P$84,'Div 4'!$P$86:$P$89,'Div 4'!$P$91:$P$92,'Div 4'!$P$94:$P$98,'Div 4'!$P$100:$P$101,'Div 4'!$P$103:$P$111,'Div 4'!$P$113,'Div 4'!$P$115,'Div 4'!$P$117:$P$119,'Div 4'!$P$121</definedName>
    <definedName name="OSRRefP22x_0" localSheetId="96">'Div 5'!$P$21:$P$28,'Div 5'!$P$30:$P$35,'Div 5'!$P$37,'Div 5'!$P$39,'Div 5'!$P$41,'Div 5'!$P$43:$P$44,'Div 5'!$P$46,'Div 5'!$P$48,'Div 5'!$P$50,'Div 5'!$P$52,'Div 5'!$P$54:$P$56,'Div 5'!$P$58,'Div 5'!$P$60:$P$63,'Div 5'!$P$65,'Div 5'!$P$67</definedName>
    <definedName name="OSRRefP22x_0" localSheetId="63">'Div 6'!$P$58:$P$66,'Div 6'!$P$68:$P$72,'Div 6'!$P$74,'Div 6'!$P$76,'Div 6'!$P$78,'Div 6'!$P$80,'Div 6'!$P$82,'Div 6'!$P$84:$P$85,'Div 6'!$P$87,'Div 6'!$P$89,'Div 6'!$P$91,'Div 6'!$P$93,'Div 6'!$P$95:$P$96,'Div 6'!$P$98,'Div 6'!$P$100,'Div 6'!$P$102:$P$103</definedName>
    <definedName name="OSRRefP22x_0" localSheetId="2">Summary!$P$213:$P$221,Summary!$P$223:$P$229,Summary!$P$231,Summary!$P$233:$P$234,Summary!$P$236,Summary!$P$238:$P$240,Summary!$P$242:$P$243,Summary!$P$245,Summary!$P$247,Summary!$P$249,Summary!$P$251:$P$252,Summary!$P$254:$P$255,Summary!$P$257,Summary!$P$259,Summary!$P$261,Summary!$P$263,Summary!$P$265,Summary!$P$267,Summary!$P$269:$P$272,Summary!$P$274:$P$276,Summary!$P$278:$P$282,Summary!$P$284:$P$285,Summary!$P$287:$P$295,Summary!$P$297:$P$298,Summary!$P$300,Summary!$P$302:$P$304,Summary!$P$306</definedName>
    <definedName name="OSRRefP25x_0" localSheetId="22">'300'!$P$260:$P$268</definedName>
    <definedName name="OSRRefP25x_0" localSheetId="25">'300 &amp; 317'!$P$285:$P$296</definedName>
    <definedName name="OSRRefP25x_0" localSheetId="50">'301'!$P$97:$P$99</definedName>
    <definedName name="OSRRefP25x_0" localSheetId="53">'307'!$P$126</definedName>
    <definedName name="OSRRefP25x_0" localSheetId="55">'308'!$P$118:$P$120</definedName>
    <definedName name="OSRRefP25x_0" localSheetId="74">'310 &amp; 491'!$P$130:$P$132</definedName>
    <definedName name="OSRRefP25x_0" localSheetId="56">'311'!$P$117:$P$119</definedName>
    <definedName name="OSRRefP25x_0" localSheetId="59">'315'!$P$113</definedName>
    <definedName name="OSRRefP25x_0" localSheetId="61">'316'!$P$77</definedName>
    <definedName name="OSRRefP25x_0" localSheetId="64">'317'!$P$106:$P$109</definedName>
    <definedName name="OSRRefP25x_0" localSheetId="62">'320'!$P$64:$P$68</definedName>
    <definedName name="OSRRefP25x_0" localSheetId="52">'330'!$P$141</definedName>
    <definedName name="OSRRefP25x_0" localSheetId="58">'331'!$P$149</definedName>
    <definedName name="OSRRefP25x_0" localSheetId="60">'332'!$P$93:$P$98</definedName>
    <definedName name="OSRRefP25x_0" localSheetId="78">'411'!$P$93:$P$94</definedName>
    <definedName name="OSRRefP25x_0" localSheetId="81">'413'!$P$71</definedName>
    <definedName name="OSRRefP25x_0" localSheetId="83">'415'!$P$91</definedName>
    <definedName name="OSRRefP25x_0" localSheetId="84">'418'!$P$85</definedName>
    <definedName name="OSRRefP25x_0" localSheetId="85">'423'!$P$44</definedName>
    <definedName name="OSRRefP25x_0" localSheetId="86">'424'!$P$67</definedName>
    <definedName name="OSRRefP25x_0" localSheetId="87">'425'!$P$83</definedName>
    <definedName name="OSRRefP25x_0" localSheetId="88">'455'!$P$34:$P$35</definedName>
    <definedName name="OSRRefP25x_0" localSheetId="75">'491'!$P$121:$P$123</definedName>
    <definedName name="OSRRefP25x_0" localSheetId="97">'501'!$P$70:$P$71</definedName>
    <definedName name="OSRRefP25x_0" localSheetId="19">'Div 3'!$P$269:$P$277</definedName>
    <definedName name="OSRRefP25x_0" localSheetId="73">'Div 4'!$P$124:$P$126</definedName>
    <definedName name="OSRRefP25x_0" localSheetId="96">'Div 5'!$P$70:$P$71</definedName>
    <definedName name="OSRRefP25x_0" localSheetId="63">'Div 6'!$P$106:$P$109</definedName>
    <definedName name="OSRRefP25x_0" localSheetId="2">Summary!$P$309:$P$321</definedName>
    <definedName name="OSRRefT13x_0" localSheetId="22">'300'!$T$13:$T$114</definedName>
    <definedName name="OSRRefT13x_0" localSheetId="25">'300 &amp; 317'!$T$13:$T$132</definedName>
    <definedName name="OSRRefT13x_0" localSheetId="53">'307'!$T$13:$T$51</definedName>
    <definedName name="OSRRefT13x_0" localSheetId="55">'308'!$T$13:$T$42</definedName>
    <definedName name="OSRRefT13x_0" localSheetId="66">'309'!$T$13:$T$14</definedName>
    <definedName name="OSRRefT13x_0" localSheetId="65">'310'!$T$13:$T$23</definedName>
    <definedName name="OSRRefT13x_0" localSheetId="74">'310 &amp; 491'!$T$13:$T$32</definedName>
    <definedName name="OSRRefT13x_0" localSheetId="56">'311'!$T$13:$T$41</definedName>
    <definedName name="OSRRefT13x_0" localSheetId="67">'313'!$T$13:$T$20</definedName>
    <definedName name="OSRRefT13x_0" localSheetId="54">'314'!$T$13:$T$33</definedName>
    <definedName name="OSRRefT13x_0" localSheetId="59">'315'!$T$13:$T$33</definedName>
    <definedName name="OSRRefT13x_0" localSheetId="61">'316'!$T$13:$T$27</definedName>
    <definedName name="OSRRefT13x_0" localSheetId="64">'317'!$T$13:$T$36</definedName>
    <definedName name="OSRRefT13x_0" localSheetId="62">'320'!$T$13:$T$18</definedName>
    <definedName name="OSRRefT13x_0" localSheetId="68">'321'!$T$13:$T$14</definedName>
    <definedName name="OSRRefT13x_0" localSheetId="69">'322'!$T$13:$T$14</definedName>
    <definedName name="OSRRefT13x_0" localSheetId="57">'324'!$T$13:$T$15</definedName>
    <definedName name="OSRRefT13x_0" localSheetId="70">'325'!$T$13:$T$14</definedName>
    <definedName name="OSRRefT13x_0" localSheetId="71">'326'!$T$13:$T$36</definedName>
    <definedName name="OSRRefT13x_0" localSheetId="72">'327'!$T$13</definedName>
    <definedName name="OSRRefT13x_0" localSheetId="52">'330'!$T$13:$T$55</definedName>
    <definedName name="OSRRefT13x_0" localSheetId="58">'331'!$T$13:$T$44</definedName>
    <definedName name="OSRRefT13x_0" localSheetId="60">'332'!$T$13:$T$33</definedName>
    <definedName name="OSRRefT13x_0" localSheetId="76">'405'!$T$13:$T$14</definedName>
    <definedName name="OSRRefT13x_0" localSheetId="77">'406'!$T$13:$T$14</definedName>
    <definedName name="OSRRefT13x_0" localSheetId="79">'412'!$T$13:$T$15</definedName>
    <definedName name="OSRRefT13x_0" localSheetId="81">'413'!$T$13:$T$14</definedName>
    <definedName name="OSRRefT13x_0" localSheetId="82">'414'!$T$13:$T$14</definedName>
    <definedName name="OSRRefT13x_0" localSheetId="83">'415'!$T$13:$T$14</definedName>
    <definedName name="OSRRefT13x_0" localSheetId="84">'418'!$T$13:$T$14</definedName>
    <definedName name="OSRRefT13x_0" localSheetId="80">'420'!$T$13:$T$14</definedName>
    <definedName name="OSRRefT13x_0" localSheetId="86">'424'!$T$13:$T$16</definedName>
    <definedName name="OSRRefT13x_0" localSheetId="87">'425'!$T$13:$T$17</definedName>
    <definedName name="OSRRefT13x_0" localSheetId="91">'433'!$T$13:$T$16</definedName>
    <definedName name="OSRRefT13x_0" localSheetId="92">'435'!$T$13:$T$15</definedName>
    <definedName name="OSRRefT13x_0" localSheetId="93">'444'!$T$13:$T$15</definedName>
    <definedName name="OSRRefT13x_0" localSheetId="95">'450'!$T$13:$T$15</definedName>
    <definedName name="OSRRefT13x_0" localSheetId="75">'491'!$T$13:$T$24</definedName>
    <definedName name="OSRRefT13x_0" localSheetId="89">'492'!$T$13:$T$18</definedName>
    <definedName name="OSRRefT13x_0" localSheetId="97">'501'!$T$13</definedName>
    <definedName name="OSRRefT13x_0" localSheetId="19">'Div 3'!$T$13:$T$117</definedName>
    <definedName name="OSRRefT13x_0" localSheetId="73">'Div 4'!$T$13:$T$25</definedName>
    <definedName name="OSRRefT13x_0" localSheetId="96">'Div 5'!$T$13</definedName>
    <definedName name="OSRRefT13x_0" localSheetId="63">'Div 6'!$T$13:$T$36</definedName>
    <definedName name="OSRRefT13x_0" localSheetId="2">Summary!$T$13:$T$145</definedName>
    <definedName name="OSRRefT16x_0" localSheetId="22">'300'!$T$117:$T$167</definedName>
    <definedName name="OSRRefT16x_0" localSheetId="25">'300 &amp; 317'!$T$135:$T$192</definedName>
    <definedName name="OSRRefT16x_0" localSheetId="50">'301'!$T$15</definedName>
    <definedName name="OSRRefT16x_0" localSheetId="53">'307'!$T$54:$T$74</definedName>
    <definedName name="OSRRefT16x_0" localSheetId="55">'308'!$T$45:$T$60</definedName>
    <definedName name="OSRRefT16x_0" localSheetId="66">'309'!$T$17:$T$18</definedName>
    <definedName name="OSRRefT16x_0" localSheetId="65">'310'!$T$26:$T$27</definedName>
    <definedName name="OSRRefT16x_0" localSheetId="74">'310 &amp; 491'!$T$35:$T$36</definedName>
    <definedName name="OSRRefT16x_0" localSheetId="56">'311'!$T$44:$T$59</definedName>
    <definedName name="OSRRefT16x_0" localSheetId="67">'313'!$T$23:$T$24</definedName>
    <definedName name="OSRRefT16x_0" localSheetId="54">'314'!$T$36:$T$50</definedName>
    <definedName name="OSRRefT16x_0" localSheetId="59">'315'!$T$36:$T$51</definedName>
    <definedName name="OSRRefT16x_0" localSheetId="64">'317'!$T$39:$T$52</definedName>
    <definedName name="OSRRefT16x_0" localSheetId="62">'320'!$T$21:$T$25</definedName>
    <definedName name="OSRRefT16x_0" localSheetId="68">'321'!$T$17:$T$18</definedName>
    <definedName name="OSRRefT16x_0" localSheetId="69">'322'!$T$17:$T$18</definedName>
    <definedName name="OSRRefT16x_0" localSheetId="57">'324'!$T$18:$T$19</definedName>
    <definedName name="OSRRefT16x_0" localSheetId="70">'325'!$T$17:$T$18</definedName>
    <definedName name="OSRRefT16x_0" localSheetId="71">'326'!$T$39:$T$56</definedName>
    <definedName name="OSRRefT16x_0" localSheetId="72">'327'!$T$16</definedName>
    <definedName name="OSRRefT16x_0" localSheetId="52">'330'!$T$58:$T$81</definedName>
    <definedName name="OSRRefT16x_0" localSheetId="58">'331'!$T$47:$T$70</definedName>
    <definedName name="OSRRefT16x_0" localSheetId="60">'332'!$T$36:$T$40</definedName>
    <definedName name="OSRRefT16x_0" localSheetId="76">'405'!$T$17:$T$18</definedName>
    <definedName name="OSRRefT16x_0" localSheetId="77">'406'!$T$17:$T$18</definedName>
    <definedName name="OSRRefT16x_0" localSheetId="79">'412'!$T$18:$T$19</definedName>
    <definedName name="OSRRefT16x_0" localSheetId="81">'413'!$T$17:$T$18</definedName>
    <definedName name="OSRRefT16x_0" localSheetId="82">'414'!$T$17:$T$18</definedName>
    <definedName name="OSRRefT16x_0" localSheetId="83">'415'!$T$17:$T$18</definedName>
    <definedName name="OSRRefT16x_0" localSheetId="84">'418'!$T$17:$T$18</definedName>
    <definedName name="OSRRefT16x_0" localSheetId="80">'420'!$T$17:$T$18</definedName>
    <definedName name="OSRRefT16x_0" localSheetId="85">'423'!$T$15</definedName>
    <definedName name="OSRRefT16x_0" localSheetId="86">'424'!$T$19:$T$20</definedName>
    <definedName name="OSRRefT16x_0" localSheetId="87">'425'!$T$20:$T$21</definedName>
    <definedName name="OSRRefT16x_0" localSheetId="91">'433'!$T$19:$T$20</definedName>
    <definedName name="OSRRefT16x_0" localSheetId="92">'435'!$T$18:$T$19</definedName>
    <definedName name="OSRRefT16x_0" localSheetId="93">'444'!$T$18:$T$19</definedName>
    <definedName name="OSRRefT16x_0" localSheetId="95">'450'!$T$18:$T$19</definedName>
    <definedName name="OSRRefT16x_0" localSheetId="75">'491'!$T$27:$T$28</definedName>
    <definedName name="OSRRefT16x_0" localSheetId="89">'492'!$T$21:$T$22</definedName>
    <definedName name="OSRRefT16x_0" localSheetId="19">'Div 3'!$T$120:$T$172</definedName>
    <definedName name="OSRRefT16x_0" localSheetId="73">'Div 4'!$T$28:$T$29</definedName>
    <definedName name="OSRRefT16x_0" localSheetId="63">'Div 6'!$T$39:$T$52</definedName>
    <definedName name="OSRRefT16x_0" localSheetId="2">Summary!$T$148:$T$207</definedName>
    <definedName name="OSRRefT22_0x_0" localSheetId="12">'200'!$T$20</definedName>
    <definedName name="OSRRefT22_0x_0" localSheetId="13">'201'!$T$20:$T$28</definedName>
    <definedName name="OSRRefT22_0x_0" localSheetId="14">'202'!$T$20:$T$27</definedName>
    <definedName name="OSRRefT22_0x_0" localSheetId="15">'203'!$T$20:$T$29</definedName>
    <definedName name="OSRRefT22_0x_0" localSheetId="16">'204'!$T$20:$T$29</definedName>
    <definedName name="OSRRefT22_0x_0" localSheetId="17">'205'!$T$20:$T$27</definedName>
    <definedName name="OSRRefT22_0x_0" localSheetId="18">'206'!$T$20:$T$27</definedName>
    <definedName name="OSRRefT22_0x_0" localSheetId="22">'300'!$T$173:$T$181</definedName>
    <definedName name="OSRRefT22_0x_0" localSheetId="25">'300 &amp; 317'!$T$198:$T$206</definedName>
    <definedName name="OSRRefT22_0x_0" localSheetId="50">'301'!$T$21:$T$28</definedName>
    <definedName name="OSRRefT22_0x_0" localSheetId="51">'306'!$T$20:$T$28</definedName>
    <definedName name="OSRRefT22_0x_0" localSheetId="53">'307'!$T$80:$T$87</definedName>
    <definedName name="OSRRefT22_0x_0" localSheetId="55">'308'!$T$66:$T$74</definedName>
    <definedName name="OSRRefT22_0x_0" localSheetId="66">'309'!$T$24:$T$31</definedName>
    <definedName name="OSRRefT22_0x_0" localSheetId="65">'310'!$T$33:$T$40</definedName>
    <definedName name="OSRRefT22_0x_0" localSheetId="74">'310 &amp; 491'!$T$42:$T$50</definedName>
    <definedName name="OSRRefT22_0x_0" localSheetId="56">'311'!$T$65:$T$73</definedName>
    <definedName name="OSRRefT22_0x_0" localSheetId="67">'313'!$T$30:$T$37</definedName>
    <definedName name="OSRRefT22_0x_0" localSheetId="54">'314'!$T$56:$T$64</definedName>
    <definedName name="OSRRefT22_0x_0" localSheetId="59">'315'!$T$57:$T$64</definedName>
    <definedName name="OSRRefT22_0x_0" localSheetId="61">'316'!$T$35:$T$42</definedName>
    <definedName name="OSRRefT22_0x_0" localSheetId="64">'317'!$T$58:$T$66</definedName>
    <definedName name="OSRRefT22_0x_0" localSheetId="62">'320'!$T$31:$T$38</definedName>
    <definedName name="OSRRefT22_0x_0" localSheetId="68">'321'!$T$24:$T$30</definedName>
    <definedName name="OSRRefT22_0x_0" localSheetId="69">'322'!$T$24:$T$31</definedName>
    <definedName name="OSRRefT22_0x_0" localSheetId="57">'324'!$T$25</definedName>
    <definedName name="OSRRefT22_0x_0" localSheetId="70">'325'!$T$24:$T$31</definedName>
    <definedName name="OSRRefT22_0x_0" localSheetId="71">'326'!$T$62:$T$69</definedName>
    <definedName name="OSRRefT22_0x_0" localSheetId="72">'327'!$T$22</definedName>
    <definedName name="OSRRefT22_0x_0" localSheetId="52">'330'!$T$87:$T$95</definedName>
    <definedName name="OSRRefT22_0x_0" localSheetId="58">'331'!$T$76:$T$83</definedName>
    <definedName name="OSRRefT22_0x_0" localSheetId="60">'332'!$T$46:$T$53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'412'!$T$25:$T$32</definedName>
    <definedName name="OSRRefT22_0x_0" localSheetId="81">'413'!$T$24:$T$31</definedName>
    <definedName name="OSRRefT22_0x_0" localSheetId="82">'414'!$T$24:$T$31</definedName>
    <definedName name="OSRRefT22_0x_0" localSheetId="83">'415'!$T$24:$T$31</definedName>
    <definedName name="OSRRefT22_0x_0" localSheetId="84">'418'!$T$24:$T$31</definedName>
    <definedName name="OSRRefT22_0x_0" localSheetId="80">'420'!$T$24:$T$31</definedName>
    <definedName name="OSRRefT22_0x_0" localSheetId="85">'423'!$T$21:$T$28</definedName>
    <definedName name="OSRRefT22_0x_0" localSheetId="86">'424'!$T$26:$T$28</definedName>
    <definedName name="OSRRefT22_0x_0" localSheetId="87">'425'!$T$27:$T$35</definedName>
    <definedName name="OSRRefT22_0x_0" localSheetId="90">'430'!$T$20:$T$27</definedName>
    <definedName name="OSRRefT22_0x_0" localSheetId="91">'433'!$T$26:$T$34</definedName>
    <definedName name="OSRRefT22_0x_0" localSheetId="92">'435'!$T$25:$T$27</definedName>
    <definedName name="OSRRefT22_0x_0" localSheetId="93">'444'!$T$25:$T$33</definedName>
    <definedName name="OSRRefT22_0x_0" localSheetId="94">'445'!$T$20</definedName>
    <definedName name="OSRRefT22_0x_0" localSheetId="95">'450'!$T$25:$T$33</definedName>
    <definedName name="OSRRefT22_0x_0" localSheetId="88">'455'!$T$20:$T$26</definedName>
    <definedName name="OSRRefT22_0x_0" localSheetId="75">'491'!$T$34:$T$42</definedName>
    <definedName name="OSRRefT22_0x_0" localSheetId="89">'492'!$T$28:$T$36</definedName>
    <definedName name="OSRRefT22_0x_0" localSheetId="97">'501'!$T$21:$T$28</definedName>
    <definedName name="OSRRefT22_0x_0" localSheetId="9">'Div 2'!$T$20:$T$30</definedName>
    <definedName name="OSRRefT22_0x_0" localSheetId="19">'Div 3'!$T$178:$T$186</definedName>
    <definedName name="OSRRefT22_0x_0" localSheetId="73">'Div 4'!$T$35:$T$43</definedName>
    <definedName name="OSRRefT22_0x_0" localSheetId="96">'Div 5'!$T$21:$T$28</definedName>
    <definedName name="OSRRefT22_0x_0" localSheetId="63">'Div 6'!$T$58:$T$66</definedName>
    <definedName name="OSRRefT22_0x_0" localSheetId="2">Summary!$T$213:$T$221</definedName>
    <definedName name="OSRRefT22_10x_0" localSheetId="13">'201'!$T$50:$T$52</definedName>
    <definedName name="OSRRefT22_10x_0" localSheetId="14">'202'!$T$52:$T$54</definedName>
    <definedName name="OSRRefT22_10x_0" localSheetId="15">'203'!$T$55:$T$56</definedName>
    <definedName name="OSRRefT22_10x_0" localSheetId="16">'204'!$T$60:$T$61</definedName>
    <definedName name="OSRRefT22_10x_0" localSheetId="22">'300'!$T$210:$T$211</definedName>
    <definedName name="OSRRefT22_10x_0" localSheetId="25">'300 &amp; 317'!$T$235:$T$236</definedName>
    <definedName name="OSRRefT22_10x_0" localSheetId="50">'301'!$T$57</definedName>
    <definedName name="OSRRefT22_10x_0" localSheetId="51">'306'!$T$57</definedName>
    <definedName name="OSRRefT22_10x_0" localSheetId="53">'307'!$T$112:$T$113</definedName>
    <definedName name="OSRRefT22_10x_0" localSheetId="55">'308'!$T$102:$T$103</definedName>
    <definedName name="OSRRefT22_10x_0" localSheetId="66">'309'!$T$56:$T$58</definedName>
    <definedName name="OSRRefT22_10x_0" localSheetId="65">'310'!$T$67</definedName>
    <definedName name="OSRRefT22_10x_0" localSheetId="74">'310 &amp; 491'!$T$78:$T$79</definedName>
    <definedName name="OSRRefT22_10x_0" localSheetId="56">'311'!$T$101:$T$102</definedName>
    <definedName name="OSRRefT22_10x_0" localSheetId="67">'313'!$T$65:$T$66</definedName>
    <definedName name="OSRRefT22_10x_0" localSheetId="54">'314'!$T$90</definedName>
    <definedName name="OSRRefT22_10x_0" localSheetId="59">'315'!$T$93:$T$94</definedName>
    <definedName name="OSRRefT22_10x_0" localSheetId="61">'316'!$T$66:$T$70</definedName>
    <definedName name="OSRRefT22_10x_0" localSheetId="64">'317'!$T$91</definedName>
    <definedName name="OSRRefT22_10x_0" localSheetId="68">'321'!$T$58:$T$63</definedName>
    <definedName name="OSRRefT22_10x_0" localSheetId="69">'322'!$T$55:$T$56</definedName>
    <definedName name="OSRRefT22_10x_0" localSheetId="70">'325'!$T$57</definedName>
    <definedName name="OSRRefT22_10x_0" localSheetId="71">'326'!$T$92</definedName>
    <definedName name="OSRRefT22_10x_0" localSheetId="52">'330'!$T$120</definedName>
    <definedName name="OSRRefT22_10x_0" localSheetId="58">'331'!$T$110</definedName>
    <definedName name="OSRRefT22_10x_0" localSheetId="60">'332'!$T$80</definedName>
    <definedName name="OSRRefT22_10x_0" localSheetId="76">'405'!$T$56:$T$57</definedName>
    <definedName name="OSRRefT22_10x_0" localSheetId="77">'406'!$T$58:$T$59</definedName>
    <definedName name="OSRRefT22_10x_0" localSheetId="78">'411'!$T$55</definedName>
    <definedName name="OSRRefT22_10x_0" localSheetId="79">'412'!$T$59</definedName>
    <definedName name="OSRRefT22_10x_0" localSheetId="81">'413'!$T$64</definedName>
    <definedName name="OSRRefT22_10x_0" localSheetId="82">'414'!$T$57</definedName>
    <definedName name="OSRRefT22_10x_0" localSheetId="83">'415'!$T$57</definedName>
    <definedName name="OSRRefT22_10x_0" localSheetId="84">'418'!$T$57:$T$58</definedName>
    <definedName name="OSRRefT22_10x_0" localSheetId="86">'424'!$T$53</definedName>
    <definedName name="OSRRefT22_10x_0" localSheetId="87">'425'!$T$62</definedName>
    <definedName name="OSRRefT22_10x_0" localSheetId="91">'433'!$T$59:$T$61</definedName>
    <definedName name="OSRRefT22_10x_0" localSheetId="93">'444'!$T$58</definedName>
    <definedName name="OSRRefT22_10x_0" localSheetId="95">'450'!$T$58</definedName>
    <definedName name="OSRRefT22_10x_0" localSheetId="75">'491'!$T$70</definedName>
    <definedName name="OSRRefT22_10x_0" localSheetId="89">'492'!$T$62</definedName>
    <definedName name="OSRRefT22_10x_0" localSheetId="97">'501'!$T$54:$T$56</definedName>
    <definedName name="OSRRefT22_10x_0" localSheetId="9">'Div 2'!$T$57</definedName>
    <definedName name="OSRRefT22_10x_0" localSheetId="19">'Div 3'!$T$215:$T$216</definedName>
    <definedName name="OSRRefT22_10x_0" localSheetId="73">'Div 4'!$T$71</definedName>
    <definedName name="OSRRefT22_10x_0" localSheetId="96">'Div 5'!$T$54:$T$56</definedName>
    <definedName name="OSRRefT22_10x_0" localSheetId="63">'Div 6'!$T$91</definedName>
    <definedName name="OSRRefT22_10x_0" localSheetId="2">Summary!$T$251:$T$252</definedName>
    <definedName name="OSRRefT22_11x_0" localSheetId="13">'201'!$T$54:$T$56</definedName>
    <definedName name="OSRRefT22_11x_0" localSheetId="14">'202'!$T$56</definedName>
    <definedName name="OSRRefT22_11x_0" localSheetId="15">'203'!$T$58:$T$59</definedName>
    <definedName name="OSRRefT22_11x_0" localSheetId="22">'300'!$T$213</definedName>
    <definedName name="OSRRefT22_11x_0" localSheetId="25">'300 &amp; 317'!$T$238</definedName>
    <definedName name="OSRRefT22_11x_0" localSheetId="50">'301'!$T$59</definedName>
    <definedName name="OSRRefT22_11x_0" localSheetId="53">'307'!$T$115:$T$117</definedName>
    <definedName name="OSRRefT22_11x_0" localSheetId="55">'308'!$T$105:$T$108</definedName>
    <definedName name="OSRRefT22_11x_0" localSheetId="66">'309'!$T$60</definedName>
    <definedName name="OSRRefT22_11x_0" localSheetId="65">'310'!$T$69</definedName>
    <definedName name="OSRRefT22_11x_0" localSheetId="74">'310 &amp; 491'!$T$81:$T$82</definedName>
    <definedName name="OSRRefT22_11x_0" localSheetId="56">'311'!$T$104:$T$107</definedName>
    <definedName name="OSRRefT22_11x_0" localSheetId="67">'313'!$T$68:$T$69</definedName>
    <definedName name="OSRRefT22_11x_0" localSheetId="59">'315'!$T$96:$T$97</definedName>
    <definedName name="OSRRefT22_11x_0" localSheetId="61">'316'!$T$72</definedName>
    <definedName name="OSRRefT22_11x_0" localSheetId="64">'317'!$T$93</definedName>
    <definedName name="OSRRefT22_11x_0" localSheetId="68">'321'!$T$65</definedName>
    <definedName name="OSRRefT22_11x_0" localSheetId="69">'322'!$T$58:$T$60</definedName>
    <definedName name="OSRRefT22_11x_0" localSheetId="70">'325'!$T$59:$T$61</definedName>
    <definedName name="OSRRefT22_11x_0" localSheetId="71">'326'!$T$94</definedName>
    <definedName name="OSRRefT22_11x_0" localSheetId="52">'330'!$T$122:$T$123</definedName>
    <definedName name="OSRRefT22_11x_0" localSheetId="58">'331'!$T$112</definedName>
    <definedName name="OSRRefT22_11x_0" localSheetId="60">'332'!$T$82:$T$86</definedName>
    <definedName name="OSRRefT22_11x_0" localSheetId="76">'405'!$T$59</definedName>
    <definedName name="OSRRefT22_11x_0" localSheetId="77">'406'!$T$61:$T$66</definedName>
    <definedName name="OSRRefT22_11x_0" localSheetId="78">'411'!$T$57</definedName>
    <definedName name="OSRRefT22_11x_0" localSheetId="79">'412'!$T$61:$T$63</definedName>
    <definedName name="OSRRefT22_11x_0" localSheetId="81">'413'!$T$66</definedName>
    <definedName name="OSRRefT22_11x_0" localSheetId="82">'414'!$T$59</definedName>
    <definedName name="OSRRefT22_11x_0" localSheetId="83">'415'!$T$59:$T$62</definedName>
    <definedName name="OSRRefT22_11x_0" localSheetId="84">'418'!$T$60:$T$62</definedName>
    <definedName name="OSRRefT22_11x_0" localSheetId="86">'424'!$T$55</definedName>
    <definedName name="OSRRefT22_11x_0" localSheetId="87">'425'!$T$64:$T$66</definedName>
    <definedName name="OSRRefT22_11x_0" localSheetId="91">'433'!$T$63:$T$65</definedName>
    <definedName name="OSRRefT22_11x_0" localSheetId="93">'444'!$T$60:$T$62</definedName>
    <definedName name="OSRRefT22_11x_0" localSheetId="95">'450'!$T$60</definedName>
    <definedName name="OSRRefT22_11x_0" localSheetId="75">'491'!$T$72:$T$73</definedName>
    <definedName name="OSRRefT22_11x_0" localSheetId="89">'492'!$T$64</definedName>
    <definedName name="OSRRefT22_11x_0" localSheetId="97">'501'!$T$58</definedName>
    <definedName name="OSRRefT22_11x_0" localSheetId="9">'Div 2'!$T$59</definedName>
    <definedName name="OSRRefT22_11x_0" localSheetId="19">'Div 3'!$T$218</definedName>
    <definedName name="OSRRefT22_11x_0" localSheetId="73">'Div 4'!$T$73:$T$74</definedName>
    <definedName name="OSRRefT22_11x_0" localSheetId="96">'Div 5'!$T$58</definedName>
    <definedName name="OSRRefT22_11x_0" localSheetId="63">'Div 6'!$T$93</definedName>
    <definedName name="OSRRefT22_11x_0" localSheetId="2">Summary!$T$254:$T$255</definedName>
    <definedName name="OSRRefT22_12x_0" localSheetId="13">'201'!$T$58</definedName>
    <definedName name="OSRRefT22_12x_0" localSheetId="14">'202'!$T$58</definedName>
    <definedName name="OSRRefT22_12x_0" localSheetId="15">'203'!$T$61:$T$63</definedName>
    <definedName name="OSRRefT22_12x_0" localSheetId="22">'300'!$T$215</definedName>
    <definedName name="OSRRefT22_12x_0" localSheetId="25">'300 &amp; 317'!$T$240</definedName>
    <definedName name="OSRRefT22_12x_0" localSheetId="50">'301'!$T$61</definedName>
    <definedName name="OSRRefT22_12x_0" localSheetId="53">'307'!$T$119</definedName>
    <definedName name="OSRRefT22_12x_0" localSheetId="55">'308'!$T$110:$T$111</definedName>
    <definedName name="OSRRefT22_12x_0" localSheetId="66">'309'!$T$62:$T$68</definedName>
    <definedName name="OSRRefT22_12x_0" localSheetId="65">'310'!$T$71</definedName>
    <definedName name="OSRRefT22_12x_0" localSheetId="74">'310 &amp; 491'!$T$84</definedName>
    <definedName name="OSRRefT22_12x_0" localSheetId="56">'311'!$T$109:$T$110</definedName>
    <definedName name="OSRRefT22_12x_0" localSheetId="67">'313'!$T$71:$T$76</definedName>
    <definedName name="OSRRefT22_12x_0" localSheetId="59">'315'!$T$99:$T$103</definedName>
    <definedName name="OSRRefT22_12x_0" localSheetId="61">'316'!$T$74</definedName>
    <definedName name="OSRRefT22_12x_0" localSheetId="64">'317'!$T$95:$T$96</definedName>
    <definedName name="OSRRefT22_12x_0" localSheetId="68">'321'!$T$67</definedName>
    <definedName name="OSRRefT22_12x_0" localSheetId="69">'322'!$T$62</definedName>
    <definedName name="OSRRefT22_12x_0" localSheetId="70">'325'!$T$63:$T$66</definedName>
    <definedName name="OSRRefT22_12x_0" localSheetId="71">'326'!$T$96</definedName>
    <definedName name="OSRRefT22_12x_0" localSheetId="52">'330'!$T$125:$T$126</definedName>
    <definedName name="OSRRefT22_12x_0" localSheetId="58">'331'!$T$114</definedName>
    <definedName name="OSRRefT22_12x_0" localSheetId="60">'332'!$T$88</definedName>
    <definedName name="OSRRefT22_12x_0" localSheetId="76">'405'!$T$61:$T$63</definedName>
    <definedName name="OSRRefT22_12x_0" localSheetId="77">'406'!$T$68</definedName>
    <definedName name="OSRRefT22_12x_0" localSheetId="78">'411'!$T$59:$T$62</definedName>
    <definedName name="OSRRefT22_12x_0" localSheetId="79">'412'!$T$65:$T$72</definedName>
    <definedName name="OSRRefT22_12x_0" localSheetId="81">'413'!$T$68</definedName>
    <definedName name="OSRRefT22_12x_0" localSheetId="82">'414'!$T$61</definedName>
    <definedName name="OSRRefT22_12x_0" localSheetId="83">'415'!$T$64:$T$68</definedName>
    <definedName name="OSRRefT22_12x_0" localSheetId="84">'418'!$T$64:$T$66</definedName>
    <definedName name="OSRRefT22_12x_0" localSheetId="86">'424'!$T$57:$T$62</definedName>
    <definedName name="OSRRefT22_12x_0" localSheetId="87">'425'!$T$68:$T$74</definedName>
    <definedName name="OSRRefT22_12x_0" localSheetId="91">'433'!$T$67:$T$73</definedName>
    <definedName name="OSRRefT22_12x_0" localSheetId="93">'444'!$T$64:$T$66</definedName>
    <definedName name="OSRRefT22_12x_0" localSheetId="95">'450'!$T$62:$T$64</definedName>
    <definedName name="OSRRefT22_12x_0" localSheetId="75">'491'!$T$75</definedName>
    <definedName name="OSRRefT22_12x_0" localSheetId="89">'492'!$T$66</definedName>
    <definedName name="OSRRefT22_12x_0" localSheetId="97">'501'!$T$60:$T$63</definedName>
    <definedName name="OSRRefT22_12x_0" localSheetId="9">'Div 2'!$T$61:$T$64</definedName>
    <definedName name="OSRRefT22_12x_0" localSheetId="19">'Div 3'!$T$220</definedName>
    <definedName name="OSRRefT22_12x_0" localSheetId="73">'Div 4'!$T$76</definedName>
    <definedName name="OSRRefT22_12x_0" localSheetId="96">'Div 5'!$T$60:$T$63</definedName>
    <definedName name="OSRRefT22_12x_0" localSheetId="63">'Div 6'!$T$95:$T$96</definedName>
    <definedName name="OSRRefT22_12x_0" localSheetId="2">Summary!$T$257</definedName>
    <definedName name="OSRRefT22_13x_0" localSheetId="13">'201'!$T$60:$T$63</definedName>
    <definedName name="OSRRefT22_13x_0" localSheetId="14">'202'!$T$60:$T$62</definedName>
    <definedName name="OSRRefT22_13x_0" localSheetId="15">'203'!$T$65</definedName>
    <definedName name="OSRRefT22_13x_0" localSheetId="22">'300'!$T$217</definedName>
    <definedName name="OSRRefT22_13x_0" localSheetId="25">'300 &amp; 317'!$T$242</definedName>
    <definedName name="OSRRefT22_13x_0" localSheetId="50">'301'!$T$63</definedName>
    <definedName name="OSRRefT22_13x_0" localSheetId="53">'307'!$T$121</definedName>
    <definedName name="OSRRefT22_13x_0" localSheetId="55">'308'!$T$113</definedName>
    <definedName name="OSRRefT22_13x_0" localSheetId="66">'309'!$T$70</definedName>
    <definedName name="OSRRefT22_13x_0" localSheetId="65">'310'!$T$73</definedName>
    <definedName name="OSRRefT22_13x_0" localSheetId="74">'310 &amp; 491'!$T$86</definedName>
    <definedName name="OSRRefT22_13x_0" localSheetId="56">'311'!$T$112</definedName>
    <definedName name="OSRRefT22_13x_0" localSheetId="67">'313'!$T$78</definedName>
    <definedName name="OSRRefT22_13x_0" localSheetId="59">'315'!$T$105</definedName>
    <definedName name="OSRRefT22_13x_0" localSheetId="64">'317'!$T$98</definedName>
    <definedName name="OSRRefT22_13x_0" localSheetId="68">'321'!$T$69</definedName>
    <definedName name="OSRRefT22_13x_0" localSheetId="69">'322'!$T$64:$T$70</definedName>
    <definedName name="OSRRefT22_13x_0" localSheetId="70">'325'!$T$68:$T$69</definedName>
    <definedName name="OSRRefT22_13x_0" localSheetId="71">'326'!$T$98:$T$99</definedName>
    <definedName name="OSRRefT22_13x_0" localSheetId="52">'330'!$T$128</definedName>
    <definedName name="OSRRefT22_13x_0" localSheetId="58">'331'!$T$116</definedName>
    <definedName name="OSRRefT22_13x_0" localSheetId="60">'332'!$T$90</definedName>
    <definedName name="OSRRefT22_13x_0" localSheetId="76">'405'!$T$65:$T$66</definedName>
    <definedName name="OSRRefT22_13x_0" localSheetId="77">'406'!$T$70</definedName>
    <definedName name="OSRRefT22_13x_0" localSheetId="78">'411'!$T$64:$T$68</definedName>
    <definedName name="OSRRefT22_13x_0" localSheetId="79">'412'!$T$74</definedName>
    <definedName name="OSRRefT22_13x_0" localSheetId="82">'414'!$T$63:$T$69</definedName>
    <definedName name="OSRRefT22_13x_0" localSheetId="83">'415'!$T$70:$T$71</definedName>
    <definedName name="OSRRefT22_13x_0" localSheetId="84">'418'!$T$68:$T$69</definedName>
    <definedName name="OSRRefT22_13x_0" localSheetId="86">'424'!$T$64</definedName>
    <definedName name="OSRRefT22_13x_0" localSheetId="87">'425'!$T$76</definedName>
    <definedName name="OSRRefT22_13x_0" localSheetId="91">'433'!$T$75</definedName>
    <definedName name="OSRRefT22_13x_0" localSheetId="93">'444'!$T$68:$T$75</definedName>
    <definedName name="OSRRefT22_13x_0" localSheetId="95">'450'!$T$66:$T$68</definedName>
    <definedName name="OSRRefT22_13x_0" localSheetId="75">'491'!$T$77</definedName>
    <definedName name="OSRRefT22_13x_0" localSheetId="89">'492'!$T$68:$T$70</definedName>
    <definedName name="OSRRefT22_13x_0" localSheetId="97">'501'!$T$65</definedName>
    <definedName name="OSRRefT22_13x_0" localSheetId="9">'Div 2'!$T$66:$T$69</definedName>
    <definedName name="OSRRefT22_13x_0" localSheetId="19">'Div 3'!$T$222</definedName>
    <definedName name="OSRRefT22_13x_0" localSheetId="73">'Div 4'!$T$78</definedName>
    <definedName name="OSRRefT22_13x_0" localSheetId="96">'Div 5'!$T$65</definedName>
    <definedName name="OSRRefT22_13x_0" localSheetId="63">'Div 6'!$T$98</definedName>
    <definedName name="OSRRefT22_13x_0" localSheetId="2">Summary!$T$259</definedName>
    <definedName name="OSRRefT22_14x_0" localSheetId="13">'201'!$T$65</definedName>
    <definedName name="OSRRefT22_14x_0" localSheetId="14">'202'!$T$64</definedName>
    <definedName name="OSRRefT22_14x_0" localSheetId="15">'203'!$T$67</definedName>
    <definedName name="OSRRefT22_14x_0" localSheetId="22">'300'!$T$219</definedName>
    <definedName name="OSRRefT22_14x_0" localSheetId="25">'300 &amp; 317'!$T$244</definedName>
    <definedName name="OSRRefT22_14x_0" localSheetId="50">'301'!$T$65:$T$68</definedName>
    <definedName name="OSRRefT22_14x_0" localSheetId="53">'307'!$T$123</definedName>
    <definedName name="OSRRefT22_14x_0" localSheetId="55">'308'!$T$115</definedName>
    <definedName name="OSRRefT22_14x_0" localSheetId="65">'310'!$T$75:$T$77</definedName>
    <definedName name="OSRRefT22_14x_0" localSheetId="74">'310 &amp; 491'!$T$88</definedName>
    <definedName name="OSRRefT22_14x_0" localSheetId="56">'311'!$T$114</definedName>
    <definedName name="OSRRefT22_14x_0" localSheetId="67">'313'!$T$80</definedName>
    <definedName name="OSRRefT22_14x_0" localSheetId="59">'315'!$T$107</definedName>
    <definedName name="OSRRefT22_14x_0" localSheetId="64">'317'!$T$100</definedName>
    <definedName name="OSRRefT22_14x_0" localSheetId="69">'322'!$T$72</definedName>
    <definedName name="OSRRefT22_14x_0" localSheetId="70">'325'!$T$71:$T$76</definedName>
    <definedName name="OSRRefT22_14x_0" localSheetId="71">'326'!$T$101:$T$103</definedName>
    <definedName name="OSRRefT22_14x_0" localSheetId="52">'330'!$T$130:$T$132</definedName>
    <definedName name="OSRRefT22_14x_0" localSheetId="58">'331'!$T$118:$T$120</definedName>
    <definedName name="OSRRefT22_14x_0" localSheetId="76">'405'!$T$68:$T$74</definedName>
    <definedName name="OSRRefT22_14x_0" localSheetId="77">'406'!$T$72:$T$73</definedName>
    <definedName name="OSRRefT22_14x_0" localSheetId="78">'411'!$T$70:$T$71</definedName>
    <definedName name="OSRRefT22_14x_0" localSheetId="79">'412'!$T$76</definedName>
    <definedName name="OSRRefT22_14x_0" localSheetId="82">'414'!$T$71</definedName>
    <definedName name="OSRRefT22_14x_0" localSheetId="83">'415'!$T$73:$T$80</definedName>
    <definedName name="OSRRefT22_14x_0" localSheetId="84">'418'!$T$71:$T$78</definedName>
    <definedName name="OSRRefT22_14x_0" localSheetId="87">'425'!$T$78</definedName>
    <definedName name="OSRRefT22_14x_0" localSheetId="91">'433'!$T$77</definedName>
    <definedName name="OSRRefT22_14x_0" localSheetId="93">'444'!$T$77</definedName>
    <definedName name="OSRRefT22_14x_0" localSheetId="95">'450'!$T$70:$T$76</definedName>
    <definedName name="OSRRefT22_14x_0" localSheetId="75">'491'!$T$79</definedName>
    <definedName name="OSRRefT22_14x_0" localSheetId="89">'492'!$T$72:$T$74</definedName>
    <definedName name="OSRRefT22_14x_0" localSheetId="97">'501'!$T$67</definedName>
    <definedName name="OSRRefT22_14x_0" localSheetId="9">'Div 2'!$T$71:$T$72</definedName>
    <definedName name="OSRRefT22_14x_0" localSheetId="19">'Div 3'!$T$224</definedName>
    <definedName name="OSRRefT22_14x_0" localSheetId="73">'Div 4'!$T$80</definedName>
    <definedName name="OSRRefT22_14x_0" localSheetId="96">'Div 5'!$T$67</definedName>
    <definedName name="OSRRefT22_14x_0" localSheetId="63">'Div 6'!$T$100</definedName>
    <definedName name="OSRRefT22_14x_0" localSheetId="2">Summary!$T$261</definedName>
    <definedName name="OSRRefT22_15x_0" localSheetId="13">'201'!$T$67</definedName>
    <definedName name="OSRRefT22_15x_0" localSheetId="14">'202'!$T$66</definedName>
    <definedName name="OSRRefT22_15x_0" localSheetId="15">'203'!$T$69</definedName>
    <definedName name="OSRRefT22_15x_0" localSheetId="22">'300'!$T$221</definedName>
    <definedName name="OSRRefT22_15x_0" localSheetId="25">'300 &amp; 317'!$T$246</definedName>
    <definedName name="OSRRefT22_15x_0" localSheetId="50">'301'!$T$70</definedName>
    <definedName name="OSRRefT22_15x_0" localSheetId="65">'310'!$T$79</definedName>
    <definedName name="OSRRefT22_15x_0" localSheetId="74">'310 &amp; 491'!$T$90</definedName>
    <definedName name="OSRRefT22_15x_0" localSheetId="59">'315'!$T$109:$T$110</definedName>
    <definedName name="OSRRefT22_15x_0" localSheetId="64">'317'!$T$102:$T$103</definedName>
    <definedName name="OSRRefT22_15x_0" localSheetId="69">'322'!$T$74</definedName>
    <definedName name="OSRRefT22_15x_0" localSheetId="70">'325'!$T$78</definedName>
    <definedName name="OSRRefT22_15x_0" localSheetId="71">'326'!$T$105:$T$106</definedName>
    <definedName name="OSRRefT22_15x_0" localSheetId="52">'330'!$T$134</definedName>
    <definedName name="OSRRefT22_15x_0" localSheetId="58">'331'!$T$122:$T$123</definedName>
    <definedName name="OSRRefT22_15x_0" localSheetId="76">'405'!$T$76</definedName>
    <definedName name="OSRRefT22_15x_0" localSheetId="78">'411'!$T$73:$T$80</definedName>
    <definedName name="OSRRefT22_15x_0" localSheetId="82">'414'!$T$73</definedName>
    <definedName name="OSRRefT22_15x_0" localSheetId="83">'415'!$T$82</definedName>
    <definedName name="OSRRefT22_15x_0" localSheetId="84">'418'!$T$80</definedName>
    <definedName name="OSRRefT22_15x_0" localSheetId="87">'425'!$T$80</definedName>
    <definedName name="OSRRefT22_15x_0" localSheetId="91">'433'!$T$79:$T$80</definedName>
    <definedName name="OSRRefT22_15x_0" localSheetId="93">'444'!$T$79</definedName>
    <definedName name="OSRRefT22_15x_0" localSheetId="95">'450'!$T$78</definedName>
    <definedName name="OSRRefT22_15x_0" localSheetId="75">'491'!$T$81</definedName>
    <definedName name="OSRRefT22_15x_0" localSheetId="89">'492'!$T$76:$T$83</definedName>
    <definedName name="OSRRefT22_15x_0" localSheetId="9">'Div 2'!$T$74:$T$75</definedName>
    <definedName name="OSRRefT22_15x_0" localSheetId="19">'Div 3'!$T$226</definedName>
    <definedName name="OSRRefT22_15x_0" localSheetId="73">'Div 4'!$T$82</definedName>
    <definedName name="OSRRefT22_15x_0" localSheetId="63">'Div 6'!$T$102:$T$103</definedName>
    <definedName name="OSRRefT22_15x_0" localSheetId="2">Summary!$T$263</definedName>
    <definedName name="OSRRefT22_16x_0" localSheetId="13">'201'!$T$69:$T$70</definedName>
    <definedName name="OSRRefT22_16x_0" localSheetId="14">'202'!$T$68</definedName>
    <definedName name="OSRRefT22_16x_0" localSheetId="22">'300'!$T$223:$T$226</definedName>
    <definedName name="OSRRefT22_16x_0" localSheetId="25">'300 &amp; 317'!$T$248:$T$251</definedName>
    <definedName name="OSRRefT22_16x_0" localSheetId="50">'301'!$T$72:$T$74</definedName>
    <definedName name="OSRRefT22_16x_0" localSheetId="65">'310'!$T$81:$T$84</definedName>
    <definedName name="OSRRefT22_16x_0" localSheetId="74">'310 &amp; 491'!$T$92:$T$95</definedName>
    <definedName name="OSRRefT22_16x_0" localSheetId="69">'322'!$T$76</definedName>
    <definedName name="OSRRefT22_16x_0" localSheetId="70">'325'!$T$80</definedName>
    <definedName name="OSRRefT22_16x_0" localSheetId="71">'326'!$T$108:$T$112</definedName>
    <definedName name="OSRRefT22_16x_0" localSheetId="52">'330'!$T$136</definedName>
    <definedName name="OSRRefT22_16x_0" localSheetId="58">'331'!$T$125:$T$127</definedName>
    <definedName name="OSRRefT22_16x_0" localSheetId="76">'405'!$T$78</definedName>
    <definedName name="OSRRefT22_16x_0" localSheetId="78">'411'!$T$82</definedName>
    <definedName name="OSRRefT22_16x_0" localSheetId="83">'415'!$T$84</definedName>
    <definedName name="OSRRefT22_16x_0" localSheetId="84">'418'!$T$82</definedName>
    <definedName name="OSRRefT22_16x_0" localSheetId="93">'444'!$T$81</definedName>
    <definedName name="OSRRefT22_16x_0" localSheetId="95">'450'!$T$80</definedName>
    <definedName name="OSRRefT22_16x_0" localSheetId="75">'491'!$T$83:$T$86</definedName>
    <definedName name="OSRRefT22_16x_0" localSheetId="89">'492'!$T$85</definedName>
    <definedName name="OSRRefT22_16x_0" localSheetId="9">'Div 2'!$T$77:$T$81</definedName>
    <definedName name="OSRRefT22_16x_0" localSheetId="19">'Div 3'!$T$228</definedName>
    <definedName name="OSRRefT22_16x_0" localSheetId="73">'Div 4'!$T$84</definedName>
    <definedName name="OSRRefT22_16x_0" localSheetId="2">Summary!$T$265</definedName>
    <definedName name="OSRRefT22_17x_0" localSheetId="22">'300'!$T$228:$T$230</definedName>
    <definedName name="OSRRefT22_17x_0" localSheetId="25">'300 &amp; 317'!$T$253:$T$255</definedName>
    <definedName name="OSRRefT22_17x_0" localSheetId="50">'301'!$T$76:$T$77</definedName>
    <definedName name="OSRRefT22_17x_0" localSheetId="65">'310'!$T$86:$T$87</definedName>
    <definedName name="OSRRefT22_17x_0" localSheetId="74">'310 &amp; 491'!$T$97:$T$98</definedName>
    <definedName name="OSRRefT22_17x_0" localSheetId="70">'325'!$T$82</definedName>
    <definedName name="OSRRefT22_17x_0" localSheetId="71">'326'!$T$114</definedName>
    <definedName name="OSRRefT22_17x_0" localSheetId="52">'330'!$T$138</definedName>
    <definedName name="OSRRefT22_17x_0" localSheetId="58">'331'!$T$129:$T$130</definedName>
    <definedName name="OSRRefT22_17x_0" localSheetId="76">'405'!$T$80</definedName>
    <definedName name="OSRRefT22_17x_0" localSheetId="78">'411'!$T$84</definedName>
    <definedName name="OSRRefT22_17x_0" localSheetId="83">'415'!$T$86</definedName>
    <definedName name="OSRRefT22_17x_0" localSheetId="95">'450'!$T$82:$T$83</definedName>
    <definedName name="OSRRefT22_17x_0" localSheetId="75">'491'!$T$88:$T$89</definedName>
    <definedName name="OSRRefT22_17x_0" localSheetId="89">'492'!$T$87</definedName>
    <definedName name="OSRRefT22_17x_0" localSheetId="9">'Div 2'!$T$83:$T$84</definedName>
    <definedName name="OSRRefT22_17x_0" localSheetId="19">'Div 3'!$T$230:$T$233</definedName>
    <definedName name="OSRRefT22_17x_0" localSheetId="73">'Div 4'!$T$86:$T$89</definedName>
    <definedName name="OSRRefT22_17x_0" localSheetId="2">Summary!$T$267</definedName>
    <definedName name="OSRRefT22_18x_0" localSheetId="22">'300'!$T$232:$T$235</definedName>
    <definedName name="OSRRefT22_18x_0" localSheetId="25">'300 &amp; 317'!$T$257:$T$260</definedName>
    <definedName name="OSRRefT22_18x_0" localSheetId="50">'301'!$T$79:$T$84</definedName>
    <definedName name="OSRRefT22_18x_0" localSheetId="65">'310'!$T$89:$T$96</definedName>
    <definedName name="OSRRefT22_18x_0" localSheetId="74">'310 &amp; 491'!$T$100:$T$104</definedName>
    <definedName name="OSRRefT22_18x_0" localSheetId="71">'326'!$T$116</definedName>
    <definedName name="OSRRefT22_18x_0" localSheetId="58">'331'!$T$132:$T$137</definedName>
    <definedName name="OSRRefT22_18x_0" localSheetId="76">'405'!$T$82</definedName>
    <definedName name="OSRRefT22_18x_0" localSheetId="78">'411'!$T$86:$T$88</definedName>
    <definedName name="OSRRefT22_18x_0" localSheetId="83">'415'!$T$88</definedName>
    <definedName name="OSRRefT22_18x_0" localSheetId="75">'491'!$T$91:$T$95</definedName>
    <definedName name="OSRRefT22_18x_0" localSheetId="89">'492'!$T$89:$T$90</definedName>
    <definedName name="OSRRefT22_18x_0" localSheetId="9">'Div 2'!$T$86</definedName>
    <definedName name="OSRRefT22_18x_0" localSheetId="19">'Div 3'!$T$235:$T$237</definedName>
    <definedName name="OSRRefT22_18x_0" localSheetId="73">'Div 4'!$T$91:$T$92</definedName>
    <definedName name="OSRRefT22_18x_0" localSheetId="2">Summary!$T$269:$T$272</definedName>
    <definedName name="OSRRefT22_19x_0" localSheetId="22">'300'!$T$237:$T$238</definedName>
    <definedName name="OSRRefT22_19x_0" localSheetId="25">'300 &amp; 317'!$T$262:$T$263</definedName>
    <definedName name="OSRRefT22_19x_0" localSheetId="50">'301'!$T$86</definedName>
    <definedName name="OSRRefT22_19x_0" localSheetId="65">'310'!$T$98</definedName>
    <definedName name="OSRRefT22_19x_0" localSheetId="74">'310 &amp; 491'!$T$106:$T$107</definedName>
    <definedName name="OSRRefT22_19x_0" localSheetId="71">'326'!$T$118</definedName>
    <definedName name="OSRRefT22_19x_0" localSheetId="58">'331'!$T$139</definedName>
    <definedName name="OSRRefT22_19x_0" localSheetId="78">'411'!$T$90</definedName>
    <definedName name="OSRRefT22_19x_0" localSheetId="75">'491'!$T$97:$T$98</definedName>
    <definedName name="OSRRefT22_19x_0" localSheetId="9">'Div 2'!$T$88:$T$89</definedName>
    <definedName name="OSRRefT22_19x_0" localSheetId="19">'Div 3'!$T$239:$T$243</definedName>
    <definedName name="OSRRefT22_19x_0" localSheetId="73">'Div 4'!$T$94:$T$98</definedName>
    <definedName name="OSRRefT22_19x_0" localSheetId="2">Summary!$T$274:$T$276</definedName>
    <definedName name="OSRRefT22_1x_0" localSheetId="12">'200'!$T$22</definedName>
    <definedName name="OSRRefT22_1x_0" localSheetId="13">'201'!$T$30:$T$32</definedName>
    <definedName name="OSRRefT22_1x_0" localSheetId="14">'202'!$T$29:$T$34</definedName>
    <definedName name="OSRRefT22_1x_0" localSheetId="15">'203'!$T$31:$T$35</definedName>
    <definedName name="OSRRefT22_1x_0" localSheetId="16">'204'!$T$31:$T$36</definedName>
    <definedName name="OSRRefT22_1x_0" localSheetId="17">'205'!$T$29</definedName>
    <definedName name="OSRRefT22_1x_0" localSheetId="18">'206'!$T$29:$T$34</definedName>
    <definedName name="OSRRefT22_1x_0" localSheetId="22">'300'!$T$183:$T$189</definedName>
    <definedName name="OSRRefT22_1x_0" localSheetId="25">'300 &amp; 317'!$T$208:$T$214</definedName>
    <definedName name="OSRRefT22_1x_0" localSheetId="50">'301'!$T$30:$T$36</definedName>
    <definedName name="OSRRefT22_1x_0" localSheetId="51">'306'!$T$30:$T$34</definedName>
    <definedName name="OSRRefT22_1x_0" localSheetId="53">'307'!$T$89:$T$92</definedName>
    <definedName name="OSRRefT22_1x_0" localSheetId="55">'308'!$T$76:$T$80</definedName>
    <definedName name="OSRRefT22_1x_0" localSheetId="66">'309'!$T$33:$T$37</definedName>
    <definedName name="OSRRefT22_1x_0" localSheetId="65">'310'!$T$42:$T$47</definedName>
    <definedName name="OSRRefT22_1x_0" localSheetId="74">'310 &amp; 491'!$T$52:$T$58</definedName>
    <definedName name="OSRRefT22_1x_0" localSheetId="56">'311'!$T$75:$T$79</definedName>
    <definedName name="OSRRefT22_1x_0" localSheetId="67">'313'!$T$39:$T$44</definedName>
    <definedName name="OSRRefT22_1x_0" localSheetId="54">'314'!$T$66:$T$69</definedName>
    <definedName name="OSRRefT22_1x_0" localSheetId="59">'315'!$T$66:$T$71</definedName>
    <definedName name="OSRRefT22_1x_0" localSheetId="61">'316'!$T$44:$T$47</definedName>
    <definedName name="OSRRefT22_1x_0" localSheetId="64">'317'!$T$68:$T$72</definedName>
    <definedName name="OSRRefT22_1x_0" localSheetId="62">'320'!$T$40:$T$45</definedName>
    <definedName name="OSRRefT22_1x_0" localSheetId="68">'321'!$T$32:$T$36</definedName>
    <definedName name="OSRRefT22_1x_0" localSheetId="69">'322'!$T$33:$T$37</definedName>
    <definedName name="OSRRefT22_1x_0" localSheetId="70">'325'!$T$33:$T$38</definedName>
    <definedName name="OSRRefT22_1x_0" localSheetId="71">'326'!$T$71:$T$74</definedName>
    <definedName name="OSRRefT22_1x_0" localSheetId="72">'327'!$T$24</definedName>
    <definedName name="OSRRefT22_1x_0" localSheetId="52">'330'!$T$97:$T$101</definedName>
    <definedName name="OSRRefT22_1x_0" localSheetId="58">'331'!$T$85:$T$90</definedName>
    <definedName name="OSRRefT22_1x_0" localSheetId="60">'332'!$T$55:$T$60</definedName>
    <definedName name="OSRRefT22_1x_0" localSheetId="76">'405'!$T$33:$T$37</definedName>
    <definedName name="OSRRefT22_1x_0" localSheetId="77">'406'!$T$33:$T$38</definedName>
    <definedName name="OSRRefT22_1x_0" localSheetId="78">'411'!$T$30:$T$35</definedName>
    <definedName name="OSRRefT22_1x_0" localSheetId="79">'412'!$T$34:$T$39</definedName>
    <definedName name="OSRRefT22_1x_0" localSheetId="81">'413'!$T$33:$T$38</definedName>
    <definedName name="OSRRefT22_1x_0" localSheetId="82">'414'!$T$33:$T$38</definedName>
    <definedName name="OSRRefT22_1x_0" localSheetId="83">'415'!$T$33:$T$38</definedName>
    <definedName name="OSRRefT22_1x_0" localSheetId="84">'418'!$T$33:$T$38</definedName>
    <definedName name="OSRRefT22_1x_0" localSheetId="80">'420'!$T$33:$T$36</definedName>
    <definedName name="OSRRefT22_1x_0" localSheetId="85">'423'!$T$30:$T$31</definedName>
    <definedName name="OSRRefT22_1x_0" localSheetId="86">'424'!$T$30:$T$34</definedName>
    <definedName name="OSRRefT22_1x_0" localSheetId="87">'425'!$T$37:$T$42</definedName>
    <definedName name="OSRRefT22_1x_0" localSheetId="90">'430'!$T$29</definedName>
    <definedName name="OSRRefT22_1x_0" localSheetId="91">'433'!$T$36:$T$41</definedName>
    <definedName name="OSRRefT22_1x_0" localSheetId="92">'435'!$T$29:$T$31</definedName>
    <definedName name="OSRRefT22_1x_0" localSheetId="93">'444'!$T$35:$T$40</definedName>
    <definedName name="OSRRefT22_1x_0" localSheetId="95">'450'!$T$35:$T$40</definedName>
    <definedName name="OSRRefT22_1x_0" localSheetId="88">'455'!$T$28:$T$29</definedName>
    <definedName name="OSRRefT22_1x_0" localSheetId="75">'491'!$T$44:$T$50</definedName>
    <definedName name="OSRRefT22_1x_0" localSheetId="89">'492'!$T$38:$T$44</definedName>
    <definedName name="OSRRefT22_1x_0" localSheetId="97">'501'!$T$30:$T$35</definedName>
    <definedName name="OSRRefT22_1x_0" localSheetId="9">'Div 2'!$T$32:$T$38</definedName>
    <definedName name="OSRRefT22_1x_0" localSheetId="19">'Div 3'!$T$188:$T$194</definedName>
    <definedName name="OSRRefT22_1x_0" localSheetId="73">'Div 4'!$T$45:$T$51</definedName>
    <definedName name="OSRRefT22_1x_0" localSheetId="96">'Div 5'!$T$30:$T$35</definedName>
    <definedName name="OSRRefT22_1x_0" localSheetId="63">'Div 6'!$T$68:$T$72</definedName>
    <definedName name="OSRRefT22_1x_0" localSheetId="2">Summary!$T$223:$T$229</definedName>
    <definedName name="OSRRefT22_20x_0" localSheetId="22">'300'!$T$240:$T$246</definedName>
    <definedName name="OSRRefT22_20x_0" localSheetId="25">'300 &amp; 317'!$T$265:$T$271</definedName>
    <definedName name="OSRRefT22_20x_0" localSheetId="50">'301'!$T$88</definedName>
    <definedName name="OSRRefT22_20x_0" localSheetId="65">'310'!$T$100</definedName>
    <definedName name="OSRRefT22_20x_0" localSheetId="74">'310 &amp; 491'!$T$109:$T$117</definedName>
    <definedName name="OSRRefT22_20x_0" localSheetId="71">'326'!$T$120</definedName>
    <definedName name="OSRRefT22_20x_0" localSheetId="58">'331'!$T$141</definedName>
    <definedName name="OSRRefT22_20x_0" localSheetId="75">'491'!$T$100:$T$108</definedName>
    <definedName name="OSRRefT22_20x_0" localSheetId="19">'Div 3'!$T$245:$T$246</definedName>
    <definedName name="OSRRefT22_20x_0" localSheetId="73">'Div 4'!$T$100:$T$101</definedName>
    <definedName name="OSRRefT22_20x_0" localSheetId="2">Summary!$T$278:$T$282</definedName>
    <definedName name="OSRRefT22_21x_0" localSheetId="22">'300'!$T$248:$T$249</definedName>
    <definedName name="OSRRefT22_21x_0" localSheetId="25">'300 &amp; 317'!$T$273:$T$274</definedName>
    <definedName name="OSRRefT22_21x_0" localSheetId="50">'301'!$T$90:$T$92</definedName>
    <definedName name="OSRRefT22_21x_0" localSheetId="65">'310'!$T$102</definedName>
    <definedName name="OSRRefT22_21x_0" localSheetId="74">'310 &amp; 491'!$T$119</definedName>
    <definedName name="OSRRefT22_21x_0" localSheetId="58">'331'!$T$143:$T$144</definedName>
    <definedName name="OSRRefT22_21x_0" localSheetId="75">'491'!$T$110</definedName>
    <definedName name="OSRRefT22_21x_0" localSheetId="19">'Div 3'!$T$248:$T$255</definedName>
    <definedName name="OSRRefT22_21x_0" localSheetId="73">'Div 4'!$T$103:$T$111</definedName>
    <definedName name="OSRRefT22_21x_0" localSheetId="2">Summary!$T$284:$T$285</definedName>
    <definedName name="OSRRefT22_22x_0" localSheetId="22">'300'!$T$251</definedName>
    <definedName name="OSRRefT22_22x_0" localSheetId="25">'300 &amp; 317'!$T$276</definedName>
    <definedName name="OSRRefT22_22x_0" localSheetId="50">'301'!$T$94</definedName>
    <definedName name="OSRRefT22_22x_0" localSheetId="65">'310'!$T$104</definedName>
    <definedName name="OSRRefT22_22x_0" localSheetId="74">'310 &amp; 491'!$T$121</definedName>
    <definedName name="OSRRefT22_22x_0" localSheetId="58">'331'!$T$146</definedName>
    <definedName name="OSRRefT22_22x_0" localSheetId="75">'491'!$T$112</definedName>
    <definedName name="OSRRefT22_22x_0" localSheetId="19">'Div 3'!$T$257:$T$258</definedName>
    <definedName name="OSRRefT22_22x_0" localSheetId="73">'Div 4'!$T$113</definedName>
    <definedName name="OSRRefT22_22x_0" localSheetId="2">Summary!$T$287:$T$295</definedName>
    <definedName name="OSRRefT22_23x_0" localSheetId="22">'300'!$T$253:$T$255</definedName>
    <definedName name="OSRRefT22_23x_0" localSheetId="25">'300 &amp; 317'!$T$278:$T$280</definedName>
    <definedName name="OSRRefT22_23x_0" localSheetId="74">'310 &amp; 491'!$T$123:$T$125</definedName>
    <definedName name="OSRRefT22_23x_0" localSheetId="75">'491'!$T$114:$T$116</definedName>
    <definedName name="OSRRefT22_23x_0" localSheetId="19">'Div 3'!$T$260</definedName>
    <definedName name="OSRRefT22_23x_0" localSheetId="73">'Div 4'!$T$115</definedName>
    <definedName name="OSRRefT22_23x_0" localSheetId="2">Summary!$T$297:$T$298</definedName>
    <definedName name="OSRRefT22_24x_0" localSheetId="22">'300'!$T$257</definedName>
    <definedName name="OSRRefT22_24x_0" localSheetId="25">'300 &amp; 317'!$T$282</definedName>
    <definedName name="OSRRefT22_24x_0" localSheetId="74">'310 &amp; 491'!$T$127</definedName>
    <definedName name="OSRRefT22_24x_0" localSheetId="75">'491'!$T$118</definedName>
    <definedName name="OSRRefT22_24x_0" localSheetId="19">'Div 3'!$T$262:$T$264</definedName>
    <definedName name="OSRRefT22_24x_0" localSheetId="73">'Div 4'!$T$117:$T$119</definedName>
    <definedName name="OSRRefT22_24x_0" localSheetId="2">Summary!$T$300</definedName>
    <definedName name="OSRRefT22_25x_0" localSheetId="19">'Div 3'!$T$266</definedName>
    <definedName name="OSRRefT22_25x_0" localSheetId="73">'Div 4'!$T$121</definedName>
    <definedName name="OSRRefT22_25x_0" localSheetId="2">Summary!$T$302:$T$304</definedName>
    <definedName name="OSRRefT22_26x_0" localSheetId="2">Summary!$T$306</definedName>
    <definedName name="OSRRefT22_2x_0" localSheetId="12">'200'!$T$24</definedName>
    <definedName name="OSRRefT22_2x_0" localSheetId="13">'201'!$T$34</definedName>
    <definedName name="OSRRefT22_2x_0" localSheetId="14">'202'!$T$36</definedName>
    <definedName name="OSRRefT22_2x_0" localSheetId="15">'203'!$T$37</definedName>
    <definedName name="OSRRefT22_2x_0" localSheetId="16">'204'!$T$38</definedName>
    <definedName name="OSRRefT22_2x_0" localSheetId="17">'205'!$T$31</definedName>
    <definedName name="OSRRefT22_2x_0" localSheetId="18">'206'!$T$36</definedName>
    <definedName name="OSRRefT22_2x_0" localSheetId="22">'300'!$T$191</definedName>
    <definedName name="OSRRefT22_2x_0" localSheetId="25">'300 &amp; 317'!$T$216</definedName>
    <definedName name="OSRRefT22_2x_0" localSheetId="50">'301'!$T$38</definedName>
    <definedName name="OSRRefT22_2x_0" localSheetId="51">'306'!$T$36</definedName>
    <definedName name="OSRRefT22_2x_0" localSheetId="53">'307'!$T$94</definedName>
    <definedName name="OSRRefT22_2x_0" localSheetId="55">'308'!$T$82</definedName>
    <definedName name="OSRRefT22_2x_0" localSheetId="66">'309'!$T$39</definedName>
    <definedName name="OSRRefT22_2x_0" localSheetId="65">'310'!$T$49</definedName>
    <definedName name="OSRRefT22_2x_0" localSheetId="74">'310 &amp; 491'!$T$60</definedName>
    <definedName name="OSRRefT22_2x_0" localSheetId="56">'311'!$T$81</definedName>
    <definedName name="OSRRefT22_2x_0" localSheetId="67">'313'!$T$46</definedName>
    <definedName name="OSRRefT22_2x_0" localSheetId="54">'314'!$T$71</definedName>
    <definedName name="OSRRefT22_2x_0" localSheetId="59">'315'!$T$73</definedName>
    <definedName name="OSRRefT22_2x_0" localSheetId="61">'316'!$T$49</definedName>
    <definedName name="OSRRefT22_2x_0" localSheetId="64">'317'!$T$74</definedName>
    <definedName name="OSRRefT22_2x_0" localSheetId="62">'320'!$T$47</definedName>
    <definedName name="OSRRefT22_2x_0" localSheetId="68">'321'!$T$38</definedName>
    <definedName name="OSRRefT22_2x_0" localSheetId="69">'322'!$T$39</definedName>
    <definedName name="OSRRefT22_2x_0" localSheetId="70">'325'!$T$40</definedName>
    <definedName name="OSRRefT22_2x_0" localSheetId="71">'326'!$T$76</definedName>
    <definedName name="OSRRefT22_2x_0" localSheetId="72">'327'!$T$26</definedName>
    <definedName name="OSRRefT22_2x_0" localSheetId="52">'330'!$T$103</definedName>
    <definedName name="OSRRefT22_2x_0" localSheetId="58">'331'!$T$92</definedName>
    <definedName name="OSRRefT22_2x_0" localSheetId="60">'332'!$T$62</definedName>
    <definedName name="OSRRefT22_2x_0" localSheetId="76">'405'!$T$39</definedName>
    <definedName name="OSRRefT22_2x_0" localSheetId="77">'406'!$T$40</definedName>
    <definedName name="OSRRefT22_2x_0" localSheetId="78">'411'!$T$37</definedName>
    <definedName name="OSRRefT22_2x_0" localSheetId="79">'412'!$T$41</definedName>
    <definedName name="OSRRefT22_2x_0" localSheetId="81">'413'!$T$40</definedName>
    <definedName name="OSRRefT22_2x_0" localSheetId="82">'414'!$T$40</definedName>
    <definedName name="OSRRefT22_2x_0" localSheetId="83">'415'!$T$40</definedName>
    <definedName name="OSRRefT22_2x_0" localSheetId="84">'418'!$T$40</definedName>
    <definedName name="OSRRefT22_2x_0" localSheetId="80">'420'!$T$38</definedName>
    <definedName name="OSRRefT22_2x_0" localSheetId="85">'423'!$T$33</definedName>
    <definedName name="OSRRefT22_2x_0" localSheetId="86">'424'!$T$36</definedName>
    <definedName name="OSRRefT22_2x_0" localSheetId="87">'425'!$T$44</definedName>
    <definedName name="OSRRefT22_2x_0" localSheetId="90">'430'!$T$31</definedName>
    <definedName name="OSRRefT22_2x_0" localSheetId="91">'433'!$T$43</definedName>
    <definedName name="OSRRefT22_2x_0" localSheetId="92">'435'!$T$33</definedName>
    <definedName name="OSRRefT22_2x_0" localSheetId="93">'444'!$T$42</definedName>
    <definedName name="OSRRefT22_2x_0" localSheetId="95">'450'!$T$42</definedName>
    <definedName name="OSRRefT22_2x_0" localSheetId="88">'455'!$T$31</definedName>
    <definedName name="OSRRefT22_2x_0" localSheetId="75">'491'!$T$52</definedName>
    <definedName name="OSRRefT22_2x_0" localSheetId="89">'492'!$T$46</definedName>
    <definedName name="OSRRefT22_2x_0" localSheetId="97">'501'!$T$37</definedName>
    <definedName name="OSRRefT22_2x_0" localSheetId="9">'Div 2'!$T$40</definedName>
    <definedName name="OSRRefT22_2x_0" localSheetId="19">'Div 3'!$T$196</definedName>
    <definedName name="OSRRefT22_2x_0" localSheetId="73">'Div 4'!$T$53</definedName>
    <definedName name="OSRRefT22_2x_0" localSheetId="96">'Div 5'!$T$37</definedName>
    <definedName name="OSRRefT22_2x_0" localSheetId="63">'Div 6'!$T$74</definedName>
    <definedName name="OSRRefT22_2x_0" localSheetId="2">Summary!$T$231</definedName>
    <definedName name="OSRRefT22_3x_0" localSheetId="12">'200'!$T$26</definedName>
    <definedName name="OSRRefT22_3x_0" localSheetId="13">'201'!$T$36</definedName>
    <definedName name="OSRRefT22_3x_0" localSheetId="14">'202'!$T$38</definedName>
    <definedName name="OSRRefT22_3x_0" localSheetId="15">'203'!$T$39</definedName>
    <definedName name="OSRRefT22_3x_0" localSheetId="16">'204'!$T$40:$T$41</definedName>
    <definedName name="OSRRefT22_3x_0" localSheetId="17">'205'!$T$33</definedName>
    <definedName name="OSRRefT22_3x_0" localSheetId="18">'206'!$T$38</definedName>
    <definedName name="OSRRefT22_3x_0" localSheetId="22">'300'!$T$193:$T$194</definedName>
    <definedName name="OSRRefT22_3x_0" localSheetId="25">'300 &amp; 317'!$T$218:$T$219</definedName>
    <definedName name="OSRRefT22_3x_0" localSheetId="50">'301'!$T$40:$T$41</definedName>
    <definedName name="OSRRefT22_3x_0" localSheetId="51">'306'!$T$38</definedName>
    <definedName name="OSRRefT22_3x_0" localSheetId="53">'307'!$T$96</definedName>
    <definedName name="OSRRefT22_3x_0" localSheetId="55">'308'!$T$84:$T$85</definedName>
    <definedName name="OSRRefT22_3x_0" localSheetId="66">'309'!$T$41</definedName>
    <definedName name="OSRRefT22_3x_0" localSheetId="65">'310'!$T$51</definedName>
    <definedName name="OSRRefT22_3x_0" localSheetId="74">'310 &amp; 491'!$T$62</definedName>
    <definedName name="OSRRefT22_3x_0" localSheetId="56">'311'!$T$83:$T$84</definedName>
    <definedName name="OSRRefT22_3x_0" localSheetId="67">'313'!$T$48</definedName>
    <definedName name="OSRRefT22_3x_0" localSheetId="54">'314'!$T$73:$T$74</definedName>
    <definedName name="OSRRefT22_3x_0" localSheetId="59">'315'!$T$75:$T$76</definedName>
    <definedName name="OSRRefT22_3x_0" localSheetId="61">'316'!$T$51</definedName>
    <definedName name="OSRRefT22_3x_0" localSheetId="64">'317'!$T$76</definedName>
    <definedName name="OSRRefT22_3x_0" localSheetId="62">'320'!$T$49</definedName>
    <definedName name="OSRRefT22_3x_0" localSheetId="68">'321'!$T$40</definedName>
    <definedName name="OSRRefT22_3x_0" localSheetId="69">'322'!$T$41</definedName>
    <definedName name="OSRRefT22_3x_0" localSheetId="70">'325'!$T$42</definedName>
    <definedName name="OSRRefT22_3x_0" localSheetId="71">'326'!$T$78</definedName>
    <definedName name="OSRRefT22_3x_0" localSheetId="52">'330'!$T$105</definedName>
    <definedName name="OSRRefT22_3x_0" localSheetId="58">'331'!$T$94</definedName>
    <definedName name="OSRRefT22_3x_0" localSheetId="60">'332'!$T$64</definedName>
    <definedName name="OSRRefT22_3x_0" localSheetId="76">'405'!$T$41</definedName>
    <definedName name="OSRRefT22_3x_0" localSheetId="77">'406'!$T$42</definedName>
    <definedName name="OSRRefT22_3x_0" localSheetId="78">'411'!$T$39</definedName>
    <definedName name="OSRRefT22_3x_0" localSheetId="79">'412'!$T$43</definedName>
    <definedName name="OSRRefT22_3x_0" localSheetId="81">'413'!$T$42</definedName>
    <definedName name="OSRRefT22_3x_0" localSheetId="82">'414'!$T$42</definedName>
    <definedName name="OSRRefT22_3x_0" localSheetId="83">'415'!$T$42</definedName>
    <definedName name="OSRRefT22_3x_0" localSheetId="84">'418'!$T$42</definedName>
    <definedName name="OSRRefT22_3x_0" localSheetId="80">'420'!$T$40</definedName>
    <definedName name="OSRRefT22_3x_0" localSheetId="85">'423'!$T$35</definedName>
    <definedName name="OSRRefT22_3x_0" localSheetId="86">'424'!$T$38</definedName>
    <definedName name="OSRRefT22_3x_0" localSheetId="87">'425'!$T$46</definedName>
    <definedName name="OSRRefT22_3x_0" localSheetId="90">'430'!$T$33</definedName>
    <definedName name="OSRRefT22_3x_0" localSheetId="91">'433'!$T$45</definedName>
    <definedName name="OSRRefT22_3x_0" localSheetId="92">'435'!$T$35</definedName>
    <definedName name="OSRRefT22_3x_0" localSheetId="93">'444'!$T$44</definedName>
    <definedName name="OSRRefT22_3x_0" localSheetId="95">'450'!$T$44</definedName>
    <definedName name="OSRRefT22_3x_0" localSheetId="75">'491'!$T$54</definedName>
    <definedName name="OSRRefT22_3x_0" localSheetId="89">'492'!$T$48</definedName>
    <definedName name="OSRRefT22_3x_0" localSheetId="97">'501'!$T$39</definedName>
    <definedName name="OSRRefT22_3x_0" localSheetId="9">'Div 2'!$T$42</definedName>
    <definedName name="OSRRefT22_3x_0" localSheetId="19">'Div 3'!$T$198:$T$199</definedName>
    <definedName name="OSRRefT22_3x_0" localSheetId="73">'Div 4'!$T$55</definedName>
    <definedName name="OSRRefT22_3x_0" localSheetId="96">'Div 5'!$T$39</definedName>
    <definedName name="OSRRefT22_3x_0" localSheetId="63">'Div 6'!$T$76</definedName>
    <definedName name="OSRRefT22_3x_0" localSheetId="2">Summary!$T$233:$T$234</definedName>
    <definedName name="OSRRefT22_4x_0" localSheetId="12">'200'!$T$28:$T$29</definedName>
    <definedName name="OSRRefT22_4x_0" localSheetId="13">'201'!$T$38</definedName>
    <definedName name="OSRRefT22_4x_0" localSheetId="14">'202'!$T$40</definedName>
    <definedName name="OSRRefT22_4x_0" localSheetId="15">'203'!$T$41</definedName>
    <definedName name="OSRRefT22_4x_0" localSheetId="16">'204'!$T$43</definedName>
    <definedName name="OSRRefT22_4x_0" localSheetId="17">'205'!$T$35:$T$37</definedName>
    <definedName name="OSRRefT22_4x_0" localSheetId="18">'206'!$T$40</definedName>
    <definedName name="OSRRefT22_4x_0" localSheetId="22">'300'!$T$196</definedName>
    <definedName name="OSRRefT22_4x_0" localSheetId="25">'300 &amp; 317'!$T$221</definedName>
    <definedName name="OSRRefT22_4x_0" localSheetId="50">'301'!$T$43</definedName>
    <definedName name="OSRRefT22_4x_0" localSheetId="51">'306'!$T$40</definedName>
    <definedName name="OSRRefT22_4x_0" localSheetId="53">'307'!$T$98:$T$99</definedName>
    <definedName name="OSRRefT22_4x_0" localSheetId="55">'308'!$T$87</definedName>
    <definedName name="OSRRefT22_4x_0" localSheetId="66">'309'!$T$43</definedName>
    <definedName name="OSRRefT22_4x_0" localSheetId="65">'310'!$T$53</definedName>
    <definedName name="OSRRefT22_4x_0" localSheetId="74">'310 &amp; 491'!$T$64</definedName>
    <definedName name="OSRRefT22_4x_0" localSheetId="56">'311'!$T$86</definedName>
    <definedName name="OSRRefT22_4x_0" localSheetId="67">'313'!$T$50</definedName>
    <definedName name="OSRRefT22_4x_0" localSheetId="54">'314'!$T$76</definedName>
    <definedName name="OSRRefT22_4x_0" localSheetId="59">'315'!$T$78</definedName>
    <definedName name="OSRRefT22_4x_0" localSheetId="61">'316'!$T$53</definedName>
    <definedName name="OSRRefT22_4x_0" localSheetId="64">'317'!$T$78</definedName>
    <definedName name="OSRRefT22_4x_0" localSheetId="62">'320'!$T$51:$T$52</definedName>
    <definedName name="OSRRefT22_4x_0" localSheetId="68">'321'!$T$42</definedName>
    <definedName name="OSRRefT22_4x_0" localSheetId="69">'322'!$T$43</definedName>
    <definedName name="OSRRefT22_4x_0" localSheetId="70">'325'!$T$44</definedName>
    <definedName name="OSRRefT22_4x_0" localSheetId="71">'326'!$T$80</definedName>
    <definedName name="OSRRefT22_4x_0" localSheetId="52">'330'!$T$107:$T$108</definedName>
    <definedName name="OSRRefT22_4x_0" localSheetId="58">'331'!$T$96</definedName>
    <definedName name="OSRRefT22_4x_0" localSheetId="60">'332'!$T$66</definedName>
    <definedName name="OSRRefT22_4x_0" localSheetId="76">'405'!$T$43</definedName>
    <definedName name="OSRRefT22_4x_0" localSheetId="77">'406'!$T$44</definedName>
    <definedName name="OSRRefT22_4x_0" localSheetId="78">'411'!$T$41:$T$43</definedName>
    <definedName name="OSRRefT22_4x_0" localSheetId="79">'412'!$T$45</definedName>
    <definedName name="OSRRefT22_4x_0" localSheetId="81">'413'!$T$44</definedName>
    <definedName name="OSRRefT22_4x_0" localSheetId="82">'414'!$T$44</definedName>
    <definedName name="OSRRefT22_4x_0" localSheetId="83">'415'!$T$44</definedName>
    <definedName name="OSRRefT22_4x_0" localSheetId="84">'418'!$T$44</definedName>
    <definedName name="OSRRefT22_4x_0" localSheetId="80">'420'!$T$42</definedName>
    <definedName name="OSRRefT22_4x_0" localSheetId="85">'423'!$T$37</definedName>
    <definedName name="OSRRefT22_4x_0" localSheetId="86">'424'!$T$40</definedName>
    <definedName name="OSRRefT22_4x_0" localSheetId="87">'425'!$T$48</definedName>
    <definedName name="OSRRefT22_4x_0" localSheetId="90">'430'!$T$35</definedName>
    <definedName name="OSRRefT22_4x_0" localSheetId="91">'433'!$T$47</definedName>
    <definedName name="OSRRefT22_4x_0" localSheetId="92">'435'!$T$37</definedName>
    <definedName name="OSRRefT22_4x_0" localSheetId="93">'444'!$T$46</definedName>
    <definedName name="OSRRefT22_4x_0" localSheetId="95">'450'!$T$46</definedName>
    <definedName name="OSRRefT22_4x_0" localSheetId="75">'491'!$T$56</definedName>
    <definedName name="OSRRefT22_4x_0" localSheetId="89">'492'!$T$50</definedName>
    <definedName name="OSRRefT22_4x_0" localSheetId="97">'501'!$T$41</definedName>
    <definedName name="OSRRefT22_4x_0" localSheetId="9">'Div 2'!$T$44</definedName>
    <definedName name="OSRRefT22_4x_0" localSheetId="19">'Div 3'!$T$201</definedName>
    <definedName name="OSRRefT22_4x_0" localSheetId="73">'Div 4'!$T$57</definedName>
    <definedName name="OSRRefT22_4x_0" localSheetId="96">'Div 5'!$T$41</definedName>
    <definedName name="OSRRefT22_4x_0" localSheetId="63">'Div 6'!$T$78</definedName>
    <definedName name="OSRRefT22_4x_0" localSheetId="2">Summary!$T$236</definedName>
    <definedName name="OSRRefT22_5x_0" localSheetId="13">'201'!$T$40</definedName>
    <definedName name="OSRRefT22_5x_0" localSheetId="14">'202'!$T$42</definedName>
    <definedName name="OSRRefT22_5x_0" localSheetId="15">'203'!$T$43</definedName>
    <definedName name="OSRRefT22_5x_0" localSheetId="16">'204'!$T$45</definedName>
    <definedName name="OSRRefT22_5x_0" localSheetId="17">'205'!$T$39</definedName>
    <definedName name="OSRRefT22_5x_0" localSheetId="18">'206'!$T$42</definedName>
    <definedName name="OSRRefT22_5x_0" localSheetId="22">'300'!$T$198:$T$199</definedName>
    <definedName name="OSRRefT22_5x_0" localSheetId="25">'300 &amp; 317'!$T$223:$T$224</definedName>
    <definedName name="OSRRefT22_5x_0" localSheetId="50">'301'!$T$45:$T$46</definedName>
    <definedName name="OSRRefT22_5x_0" localSheetId="51">'306'!$T$42</definedName>
    <definedName name="OSRRefT22_5x_0" localSheetId="53">'307'!$T$101</definedName>
    <definedName name="OSRRefT22_5x_0" localSheetId="55">'308'!$T$89</definedName>
    <definedName name="OSRRefT22_5x_0" localSheetId="66">'309'!$T$45</definedName>
    <definedName name="OSRRefT22_5x_0" localSheetId="65">'310'!$T$55:$T$56</definedName>
    <definedName name="OSRRefT22_5x_0" localSheetId="74">'310 &amp; 491'!$T$66:$T$68</definedName>
    <definedName name="OSRRefT22_5x_0" localSheetId="56">'311'!$T$88</definedName>
    <definedName name="OSRRefT22_5x_0" localSheetId="67">'313'!$T$52</definedName>
    <definedName name="OSRRefT22_5x_0" localSheetId="54">'314'!$T$78</definedName>
    <definedName name="OSRRefT22_5x_0" localSheetId="59">'315'!$T$80:$T$81</definedName>
    <definedName name="OSRRefT22_5x_0" localSheetId="61">'316'!$T$55</definedName>
    <definedName name="OSRRefT22_5x_0" localSheetId="64">'317'!$T$80</definedName>
    <definedName name="OSRRefT22_5x_0" localSheetId="62">'320'!$T$54</definedName>
    <definedName name="OSRRefT22_5x_0" localSheetId="68">'321'!$T$44</definedName>
    <definedName name="OSRRefT22_5x_0" localSheetId="69">'322'!$T$45</definedName>
    <definedName name="OSRRefT22_5x_0" localSheetId="70">'325'!$T$46:$T$47</definedName>
    <definedName name="OSRRefT22_5x_0" localSheetId="71">'326'!$T$82</definedName>
    <definedName name="OSRRefT22_5x_0" localSheetId="52">'330'!$T$110</definedName>
    <definedName name="OSRRefT22_5x_0" localSheetId="58">'331'!$T$98:$T$99</definedName>
    <definedName name="OSRRefT22_5x_0" localSheetId="60">'332'!$T$68</definedName>
    <definedName name="OSRRefT22_5x_0" localSheetId="76">'405'!$T$45:$T$46</definedName>
    <definedName name="OSRRefT22_5x_0" localSheetId="77">'406'!$T$46</definedName>
    <definedName name="OSRRefT22_5x_0" localSheetId="78">'411'!$T$45</definedName>
    <definedName name="OSRRefT22_5x_0" localSheetId="79">'412'!$T$47</definedName>
    <definedName name="OSRRefT22_5x_0" localSheetId="81">'413'!$T$46</definedName>
    <definedName name="OSRRefT22_5x_0" localSheetId="82">'414'!$T$46</definedName>
    <definedName name="OSRRefT22_5x_0" localSheetId="83">'415'!$T$46:$T$47</definedName>
    <definedName name="OSRRefT22_5x_0" localSheetId="84">'418'!$T$46:$T$47</definedName>
    <definedName name="OSRRefT22_5x_0" localSheetId="80">'420'!$T$44</definedName>
    <definedName name="OSRRefT22_5x_0" localSheetId="85">'423'!$T$39</definedName>
    <definedName name="OSRRefT22_5x_0" localSheetId="86">'424'!$T$42</definedName>
    <definedName name="OSRRefT22_5x_0" localSheetId="87">'425'!$T$50</definedName>
    <definedName name="OSRRefT22_5x_0" localSheetId="90">'430'!$T$37</definedName>
    <definedName name="OSRRefT22_5x_0" localSheetId="91">'433'!$T$49</definedName>
    <definedName name="OSRRefT22_5x_0" localSheetId="92">'435'!$T$39</definedName>
    <definedName name="OSRRefT22_5x_0" localSheetId="93">'444'!$T$48</definedName>
    <definedName name="OSRRefT22_5x_0" localSheetId="95">'450'!$T$48</definedName>
    <definedName name="OSRRefT22_5x_0" localSheetId="75">'491'!$T$58:$T$60</definedName>
    <definedName name="OSRRefT22_5x_0" localSheetId="89">'492'!$T$52</definedName>
    <definedName name="OSRRefT22_5x_0" localSheetId="97">'501'!$T$43:$T$44</definedName>
    <definedName name="OSRRefT22_5x_0" localSheetId="9">'Div 2'!$T$46:$T$47</definedName>
    <definedName name="OSRRefT22_5x_0" localSheetId="19">'Div 3'!$T$203:$T$204</definedName>
    <definedName name="OSRRefT22_5x_0" localSheetId="73">'Div 4'!$T$59:$T$61</definedName>
    <definedName name="OSRRefT22_5x_0" localSheetId="96">'Div 5'!$T$43:$T$44</definedName>
    <definedName name="OSRRefT22_5x_0" localSheetId="63">'Div 6'!$T$80</definedName>
    <definedName name="OSRRefT22_5x_0" localSheetId="2">Summary!$T$238:$T$240</definedName>
    <definedName name="OSRRefT22_6x_0" localSheetId="13">'201'!$T$42</definedName>
    <definedName name="OSRRefT22_6x_0" localSheetId="14">'202'!$T$44</definedName>
    <definedName name="OSRRefT22_6x_0" localSheetId="15">'203'!$T$45</definedName>
    <definedName name="OSRRefT22_6x_0" localSheetId="16">'204'!$T$47:$T$50</definedName>
    <definedName name="OSRRefT22_6x_0" localSheetId="17">'205'!$T$41:$T$42</definedName>
    <definedName name="OSRRefT22_6x_0" localSheetId="18">'206'!$T$44:$T$45</definedName>
    <definedName name="OSRRefT22_6x_0" localSheetId="22">'300'!$T$201:$T$202</definedName>
    <definedName name="OSRRefT22_6x_0" localSheetId="25">'300 &amp; 317'!$T$226:$T$227</definedName>
    <definedName name="OSRRefT22_6x_0" localSheetId="50">'301'!$T$48:$T$49</definedName>
    <definedName name="OSRRefT22_6x_0" localSheetId="51">'306'!$T$44</definedName>
    <definedName name="OSRRefT22_6x_0" localSheetId="53">'307'!$T$103</definedName>
    <definedName name="OSRRefT22_6x_0" localSheetId="55">'308'!$T$91:$T$92</definedName>
    <definedName name="OSRRefT22_6x_0" localSheetId="66">'309'!$T$47</definedName>
    <definedName name="OSRRefT22_6x_0" localSheetId="65">'310'!$T$58</definedName>
    <definedName name="OSRRefT22_6x_0" localSheetId="74">'310 &amp; 491'!$T$70</definedName>
    <definedName name="OSRRefT22_6x_0" localSheetId="56">'311'!$T$90:$T$91</definedName>
    <definedName name="OSRRefT22_6x_0" localSheetId="67">'313'!$T$54</definedName>
    <definedName name="OSRRefT22_6x_0" localSheetId="54">'314'!$T$80</definedName>
    <definedName name="OSRRefT22_6x_0" localSheetId="59">'315'!$T$83</definedName>
    <definedName name="OSRRefT22_6x_0" localSheetId="61">'316'!$T$57</definedName>
    <definedName name="OSRRefT22_6x_0" localSheetId="64">'317'!$T$82</definedName>
    <definedName name="OSRRefT22_6x_0" localSheetId="62">'320'!$T$56</definedName>
    <definedName name="OSRRefT22_6x_0" localSheetId="68">'321'!$T$46</definedName>
    <definedName name="OSRRefT22_6x_0" localSheetId="69">'322'!$T$47</definedName>
    <definedName name="OSRRefT22_6x_0" localSheetId="70">'325'!$T$49</definedName>
    <definedName name="OSRRefT22_6x_0" localSheetId="71">'326'!$T$84</definedName>
    <definedName name="OSRRefT22_6x_0" localSheetId="52">'330'!$T$112</definedName>
    <definedName name="OSRRefT22_6x_0" localSheetId="58">'331'!$T$101</definedName>
    <definedName name="OSRRefT22_6x_0" localSheetId="60">'332'!$T$70:$T$71</definedName>
    <definedName name="OSRRefT22_6x_0" localSheetId="76">'405'!$T$48</definedName>
    <definedName name="OSRRefT22_6x_0" localSheetId="77">'406'!$T$48</definedName>
    <definedName name="OSRRefT22_6x_0" localSheetId="78">'411'!$T$47</definedName>
    <definedName name="OSRRefT22_6x_0" localSheetId="79">'412'!$T$49</definedName>
    <definedName name="OSRRefT22_6x_0" localSheetId="81">'413'!$T$48</definedName>
    <definedName name="OSRRefT22_6x_0" localSheetId="82">'414'!$T$48</definedName>
    <definedName name="OSRRefT22_6x_0" localSheetId="83">'415'!$T$49</definedName>
    <definedName name="OSRRefT22_6x_0" localSheetId="84">'418'!$T$49</definedName>
    <definedName name="OSRRefT22_6x_0" localSheetId="80">'420'!$T$46:$T$47</definedName>
    <definedName name="OSRRefT22_6x_0" localSheetId="85">'423'!$T$41</definedName>
    <definedName name="OSRRefT22_6x_0" localSheetId="86">'424'!$T$44</definedName>
    <definedName name="OSRRefT22_6x_0" localSheetId="87">'425'!$T$52</definedName>
    <definedName name="OSRRefT22_6x_0" localSheetId="90">'430'!$T$39:$T$40</definedName>
    <definedName name="OSRRefT22_6x_0" localSheetId="91">'433'!$T$51</definedName>
    <definedName name="OSRRefT22_6x_0" localSheetId="92">'435'!$T$41</definedName>
    <definedName name="OSRRefT22_6x_0" localSheetId="93">'444'!$T$50</definedName>
    <definedName name="OSRRefT22_6x_0" localSheetId="95">'450'!$T$50</definedName>
    <definedName name="OSRRefT22_6x_0" localSheetId="75">'491'!$T$62</definedName>
    <definedName name="OSRRefT22_6x_0" localSheetId="89">'492'!$T$54</definedName>
    <definedName name="OSRRefT22_6x_0" localSheetId="97">'501'!$T$46</definedName>
    <definedName name="OSRRefT22_6x_0" localSheetId="9">'Div 2'!$T$49</definedName>
    <definedName name="OSRRefT22_6x_0" localSheetId="19">'Div 3'!$T$206:$T$207</definedName>
    <definedName name="OSRRefT22_6x_0" localSheetId="73">'Div 4'!$T$63</definedName>
    <definedName name="OSRRefT22_6x_0" localSheetId="96">'Div 5'!$T$46</definedName>
    <definedName name="OSRRefT22_6x_0" localSheetId="63">'Div 6'!$T$82</definedName>
    <definedName name="OSRRefT22_6x_0" localSheetId="2">Summary!$T$242:$T$243</definedName>
    <definedName name="OSRRefT22_7x_0" localSheetId="13">'201'!$T$44</definedName>
    <definedName name="OSRRefT22_7x_0" localSheetId="14">'202'!$T$46</definedName>
    <definedName name="OSRRefT22_7x_0" localSheetId="15">'203'!$T$47</definedName>
    <definedName name="OSRRefT22_7x_0" localSheetId="16">'204'!$T$52:$T$53</definedName>
    <definedName name="OSRRefT22_7x_0" localSheetId="17">'205'!$T$44</definedName>
    <definedName name="OSRRefT22_7x_0" localSheetId="18">'206'!$T$47</definedName>
    <definedName name="OSRRefT22_7x_0" localSheetId="22">'300'!$T$204</definedName>
    <definedName name="OSRRefT22_7x_0" localSheetId="25">'300 &amp; 317'!$T$229</definedName>
    <definedName name="OSRRefT22_7x_0" localSheetId="50">'301'!$T$51</definedName>
    <definedName name="OSRRefT22_7x_0" localSheetId="51">'306'!$T$46:$T$47</definedName>
    <definedName name="OSRRefT22_7x_0" localSheetId="53">'307'!$T$105</definedName>
    <definedName name="OSRRefT22_7x_0" localSheetId="55">'308'!$T$94</definedName>
    <definedName name="OSRRefT22_7x_0" localSheetId="66">'309'!$T$49</definedName>
    <definedName name="OSRRefT22_7x_0" localSheetId="65">'310'!$T$60</definedName>
    <definedName name="OSRRefT22_7x_0" localSheetId="74">'310 &amp; 491'!$T$72</definedName>
    <definedName name="OSRRefT22_7x_0" localSheetId="56">'311'!$T$93</definedName>
    <definedName name="OSRRefT22_7x_0" localSheetId="67">'313'!$T$56:$T$57</definedName>
    <definedName name="OSRRefT22_7x_0" localSheetId="54">'314'!$T$82:$T$84</definedName>
    <definedName name="OSRRefT22_7x_0" localSheetId="59">'315'!$T$85</definedName>
    <definedName name="OSRRefT22_7x_0" localSheetId="61">'316'!$T$59</definedName>
    <definedName name="OSRRefT22_7x_0" localSheetId="64">'317'!$T$84:$T$85</definedName>
    <definedName name="OSRRefT22_7x_0" localSheetId="62">'320'!$T$58:$T$59</definedName>
    <definedName name="OSRRefT22_7x_0" localSheetId="68">'321'!$T$48:$T$50</definedName>
    <definedName name="OSRRefT22_7x_0" localSheetId="69">'322'!$T$49</definedName>
    <definedName name="OSRRefT22_7x_0" localSheetId="70">'325'!$T$51</definedName>
    <definedName name="OSRRefT22_7x_0" localSheetId="71">'326'!$T$86</definedName>
    <definedName name="OSRRefT22_7x_0" localSheetId="52">'330'!$T$114</definedName>
    <definedName name="OSRRefT22_7x_0" localSheetId="58">'331'!$T$103</definedName>
    <definedName name="OSRRefT22_7x_0" localSheetId="60">'332'!$T$73</definedName>
    <definedName name="OSRRefT22_7x_0" localSheetId="76">'405'!$T$50</definedName>
    <definedName name="OSRRefT22_7x_0" localSheetId="77">'406'!$T$50</definedName>
    <definedName name="OSRRefT22_7x_0" localSheetId="78">'411'!$T$49</definedName>
    <definedName name="OSRRefT22_7x_0" localSheetId="79">'412'!$T$51</definedName>
    <definedName name="OSRRefT22_7x_0" localSheetId="81">'413'!$T$50:$T$52</definedName>
    <definedName name="OSRRefT22_7x_0" localSheetId="82">'414'!$T$50</definedName>
    <definedName name="OSRRefT22_7x_0" localSheetId="83">'415'!$T$51</definedName>
    <definedName name="OSRRefT22_7x_0" localSheetId="84">'418'!$T$51</definedName>
    <definedName name="OSRRefT22_7x_0" localSheetId="80">'420'!$T$49</definedName>
    <definedName name="OSRRefT22_7x_0" localSheetId="86">'424'!$T$46</definedName>
    <definedName name="OSRRefT22_7x_0" localSheetId="87">'425'!$T$54</definedName>
    <definedName name="OSRRefT22_7x_0" localSheetId="90">'430'!$T$42</definedName>
    <definedName name="OSRRefT22_7x_0" localSheetId="91">'433'!$T$53</definedName>
    <definedName name="OSRRefT22_7x_0" localSheetId="92">'435'!$T$43</definedName>
    <definedName name="OSRRefT22_7x_0" localSheetId="93">'444'!$T$52</definedName>
    <definedName name="OSRRefT22_7x_0" localSheetId="95">'450'!$T$52</definedName>
    <definedName name="OSRRefT22_7x_0" localSheetId="75">'491'!$T$64</definedName>
    <definedName name="OSRRefT22_7x_0" localSheetId="89">'492'!$T$56</definedName>
    <definedName name="OSRRefT22_7x_0" localSheetId="97">'501'!$T$48</definedName>
    <definedName name="OSRRefT22_7x_0" localSheetId="9">'Div 2'!$T$51</definedName>
    <definedName name="OSRRefT22_7x_0" localSheetId="19">'Div 3'!$T$209</definedName>
    <definedName name="OSRRefT22_7x_0" localSheetId="73">'Div 4'!$T$65</definedName>
    <definedName name="OSRRefT22_7x_0" localSheetId="96">'Div 5'!$T$48</definedName>
    <definedName name="OSRRefT22_7x_0" localSheetId="63">'Div 6'!$T$84:$T$85</definedName>
    <definedName name="OSRRefT22_7x_0" localSheetId="2">Summary!$T$245</definedName>
    <definedName name="OSRRefT22_8x_0" localSheetId="13">'201'!$T$46</definedName>
    <definedName name="OSRRefT22_8x_0" localSheetId="14">'202'!$T$48</definedName>
    <definedName name="OSRRefT22_8x_0" localSheetId="15">'203'!$T$49</definedName>
    <definedName name="OSRRefT22_8x_0" localSheetId="16">'204'!$T$55:$T$56</definedName>
    <definedName name="OSRRefT22_8x_0" localSheetId="17">'205'!$T$46</definedName>
    <definedName name="OSRRefT22_8x_0" localSheetId="18">'206'!$T$49</definedName>
    <definedName name="OSRRefT22_8x_0" localSheetId="22">'300'!$T$206</definedName>
    <definedName name="OSRRefT22_8x_0" localSheetId="25">'300 &amp; 317'!$T$231</definedName>
    <definedName name="OSRRefT22_8x_0" localSheetId="50">'301'!$T$53</definedName>
    <definedName name="OSRRefT22_8x_0" localSheetId="51">'306'!$T$49:$T$53</definedName>
    <definedName name="OSRRefT22_8x_0" localSheetId="53">'307'!$T$107</definedName>
    <definedName name="OSRRefT22_8x_0" localSheetId="55">'308'!$T$96</definedName>
    <definedName name="OSRRefT22_8x_0" localSheetId="66">'309'!$T$51</definedName>
    <definedName name="OSRRefT22_8x_0" localSheetId="65">'310'!$T$62</definedName>
    <definedName name="OSRRefT22_8x_0" localSheetId="74">'310 &amp; 491'!$T$74</definedName>
    <definedName name="OSRRefT22_8x_0" localSheetId="56">'311'!$T$95</definedName>
    <definedName name="OSRRefT22_8x_0" localSheetId="67">'313'!$T$59</definedName>
    <definedName name="OSRRefT22_8x_0" localSheetId="54">'314'!$T$86</definedName>
    <definedName name="OSRRefT22_8x_0" localSheetId="59">'315'!$T$87</definedName>
    <definedName name="OSRRefT22_8x_0" localSheetId="61">'316'!$T$61:$T$62</definedName>
    <definedName name="OSRRefT22_8x_0" localSheetId="64">'317'!$T$87</definedName>
    <definedName name="OSRRefT22_8x_0" localSheetId="62">'320'!$T$61</definedName>
    <definedName name="OSRRefT22_8x_0" localSheetId="68">'321'!$T$52</definedName>
    <definedName name="OSRRefT22_8x_0" localSheetId="69">'322'!$T$51</definedName>
    <definedName name="OSRRefT22_8x_0" localSheetId="70">'325'!$T$53</definedName>
    <definedName name="OSRRefT22_8x_0" localSheetId="71">'326'!$T$88</definedName>
    <definedName name="OSRRefT22_8x_0" localSheetId="52">'330'!$T$116</definedName>
    <definedName name="OSRRefT22_8x_0" localSheetId="58">'331'!$T$105:$T$106</definedName>
    <definedName name="OSRRefT22_8x_0" localSheetId="60">'332'!$T$75</definedName>
    <definedName name="OSRRefT22_8x_0" localSheetId="76">'405'!$T$52</definedName>
    <definedName name="OSRRefT22_8x_0" localSheetId="77">'406'!$T$52</definedName>
    <definedName name="OSRRefT22_8x_0" localSheetId="78">'411'!$T$51</definedName>
    <definedName name="OSRRefT22_8x_0" localSheetId="79">'412'!$T$53</definedName>
    <definedName name="OSRRefT22_8x_0" localSheetId="81">'413'!$T$54:$T$55</definedName>
    <definedName name="OSRRefT22_8x_0" localSheetId="82">'414'!$T$52</definedName>
    <definedName name="OSRRefT22_8x_0" localSheetId="83">'415'!$T$53</definedName>
    <definedName name="OSRRefT22_8x_0" localSheetId="84">'418'!$T$53</definedName>
    <definedName name="OSRRefT22_8x_0" localSheetId="86">'424'!$T$48</definedName>
    <definedName name="OSRRefT22_8x_0" localSheetId="87">'425'!$T$56</definedName>
    <definedName name="OSRRefT22_8x_0" localSheetId="90">'430'!$T$44</definedName>
    <definedName name="OSRRefT22_8x_0" localSheetId="91">'433'!$T$55</definedName>
    <definedName name="OSRRefT22_8x_0" localSheetId="92">'435'!$T$45:$T$48</definedName>
    <definedName name="OSRRefT22_8x_0" localSheetId="93">'444'!$T$54</definedName>
    <definedName name="OSRRefT22_8x_0" localSheetId="95">'450'!$T$54</definedName>
    <definedName name="OSRRefT22_8x_0" localSheetId="75">'491'!$T$66</definedName>
    <definedName name="OSRRefT22_8x_0" localSheetId="89">'492'!$T$58</definedName>
    <definedName name="OSRRefT22_8x_0" localSheetId="97">'501'!$T$50</definedName>
    <definedName name="OSRRefT22_8x_0" localSheetId="9">'Div 2'!$T$53</definedName>
    <definedName name="OSRRefT22_8x_0" localSheetId="19">'Div 3'!$T$211</definedName>
    <definedName name="OSRRefT22_8x_0" localSheetId="73">'Div 4'!$T$67</definedName>
    <definedName name="OSRRefT22_8x_0" localSheetId="96">'Div 5'!$T$50</definedName>
    <definedName name="OSRRefT22_8x_0" localSheetId="63">'Div 6'!$T$87</definedName>
    <definedName name="OSRRefT22_8x_0" localSheetId="2">Summary!$T$247</definedName>
    <definedName name="OSRRefT22_9x_0" localSheetId="13">'201'!$T$48</definedName>
    <definedName name="OSRRefT22_9x_0" localSheetId="14">'202'!$T$50</definedName>
    <definedName name="OSRRefT22_9x_0" localSheetId="15">'203'!$T$51:$T$53</definedName>
    <definedName name="OSRRefT22_9x_0" localSheetId="16">'204'!$T$58</definedName>
    <definedName name="OSRRefT22_9x_0" localSheetId="22">'300'!$T$208</definedName>
    <definedName name="OSRRefT22_9x_0" localSheetId="25">'300 &amp; 317'!$T$233</definedName>
    <definedName name="OSRRefT22_9x_0" localSheetId="50">'301'!$T$55</definedName>
    <definedName name="OSRRefT22_9x_0" localSheetId="51">'306'!$T$55</definedName>
    <definedName name="OSRRefT22_9x_0" localSheetId="53">'307'!$T$109:$T$110</definedName>
    <definedName name="OSRRefT22_9x_0" localSheetId="55">'308'!$T$98:$T$100</definedName>
    <definedName name="OSRRefT22_9x_0" localSheetId="66">'309'!$T$53:$T$54</definedName>
    <definedName name="OSRRefT22_9x_0" localSheetId="65">'310'!$T$64:$T$65</definedName>
    <definedName name="OSRRefT22_9x_0" localSheetId="74">'310 &amp; 491'!$T$76</definedName>
    <definedName name="OSRRefT22_9x_0" localSheetId="56">'311'!$T$97:$T$99</definedName>
    <definedName name="OSRRefT22_9x_0" localSheetId="67">'313'!$T$61:$T$63</definedName>
    <definedName name="OSRRefT22_9x_0" localSheetId="54">'314'!$T$88</definedName>
    <definedName name="OSRRefT22_9x_0" localSheetId="59">'315'!$T$89:$T$91</definedName>
    <definedName name="OSRRefT22_9x_0" localSheetId="61">'316'!$T$64</definedName>
    <definedName name="OSRRefT22_9x_0" localSheetId="64">'317'!$T$89</definedName>
    <definedName name="OSRRefT22_9x_0" localSheetId="68">'321'!$T$54:$T$56</definedName>
    <definedName name="OSRRefT22_9x_0" localSheetId="69">'322'!$T$53</definedName>
    <definedName name="OSRRefT22_9x_0" localSheetId="70">'325'!$T$55</definedName>
    <definedName name="OSRRefT22_9x_0" localSheetId="71">'326'!$T$90</definedName>
    <definedName name="OSRRefT22_9x_0" localSheetId="52">'330'!$T$118</definedName>
    <definedName name="OSRRefT22_9x_0" localSheetId="58">'331'!$T$108</definedName>
    <definedName name="OSRRefT22_9x_0" localSheetId="60">'332'!$T$77:$T$78</definedName>
    <definedName name="OSRRefT22_9x_0" localSheetId="76">'405'!$T$54</definedName>
    <definedName name="OSRRefT22_9x_0" localSheetId="77">'406'!$T$54:$T$56</definedName>
    <definedName name="OSRRefT22_9x_0" localSheetId="78">'411'!$T$53</definedName>
    <definedName name="OSRRefT22_9x_0" localSheetId="79">'412'!$T$55:$T$57</definedName>
    <definedName name="OSRRefT22_9x_0" localSheetId="81">'413'!$T$57:$T$62</definedName>
    <definedName name="OSRRefT22_9x_0" localSheetId="82">'414'!$T$54:$T$55</definedName>
    <definedName name="OSRRefT22_9x_0" localSheetId="83">'415'!$T$55</definedName>
    <definedName name="OSRRefT22_9x_0" localSheetId="84">'418'!$T$55</definedName>
    <definedName name="OSRRefT22_9x_0" localSheetId="86">'424'!$T$50:$T$51</definedName>
    <definedName name="OSRRefT22_9x_0" localSheetId="87">'425'!$T$58:$T$60</definedName>
    <definedName name="OSRRefT22_9x_0" localSheetId="90">'430'!$T$46</definedName>
    <definedName name="OSRRefT22_9x_0" localSheetId="91">'433'!$T$57</definedName>
    <definedName name="OSRRefT22_9x_0" localSheetId="92">'435'!$T$50</definedName>
    <definedName name="OSRRefT22_9x_0" localSheetId="93">'444'!$T$56</definedName>
    <definedName name="OSRRefT22_9x_0" localSheetId="95">'450'!$T$56</definedName>
    <definedName name="OSRRefT22_9x_0" localSheetId="75">'491'!$T$68</definedName>
    <definedName name="OSRRefT22_9x_0" localSheetId="89">'492'!$T$60</definedName>
    <definedName name="OSRRefT22_9x_0" localSheetId="97">'501'!$T$52</definedName>
    <definedName name="OSRRefT22_9x_0" localSheetId="9">'Div 2'!$T$55</definedName>
    <definedName name="OSRRefT22_9x_0" localSheetId="19">'Div 3'!$T$213</definedName>
    <definedName name="OSRRefT22_9x_0" localSheetId="73">'Div 4'!$T$69</definedName>
    <definedName name="OSRRefT22_9x_0" localSheetId="96">'Div 5'!$T$52</definedName>
    <definedName name="OSRRefT22_9x_0" localSheetId="63">'Div 6'!$T$89</definedName>
    <definedName name="OSRRefT22_9x_0" localSheetId="2">Summary!$T$249</definedName>
    <definedName name="OSRRefT22x_0" localSheetId="12">'200'!$T$20,'200'!$T$22,'200'!$T$24,'200'!$T$26,'200'!$T$28:$T$29</definedName>
    <definedName name="OSRRefT22x_0" localSheetId="13">'201'!$T$20:$T$28,'201'!$T$30:$T$32,'201'!$T$34,'201'!$T$36,'201'!$T$38,'201'!$T$40,'201'!$T$42,'201'!$T$44,'201'!$T$46,'201'!$T$48,'201'!$T$50:$T$52,'201'!$T$54:$T$56,'201'!$T$58,'201'!$T$60:$T$63,'201'!$T$65,'201'!$T$67,'201'!$T$69:$T$70</definedName>
    <definedName name="OSRRefT22x_0" localSheetId="14">'202'!$T$20:$T$27,'202'!$T$29:$T$34,'202'!$T$36,'202'!$T$38,'202'!$T$40,'202'!$T$42,'202'!$T$44,'202'!$T$46,'202'!$T$48,'202'!$T$50,'202'!$T$52:$T$54,'202'!$T$56,'202'!$T$58,'202'!$T$60:$T$62,'202'!$T$64,'202'!$T$66,'202'!$T$68</definedName>
    <definedName name="OSRRefT22x_0" localSheetId="15">'203'!$T$20:$T$29,'203'!$T$31:$T$35,'203'!$T$37,'203'!$T$39,'203'!$T$41,'203'!$T$43,'203'!$T$45,'203'!$T$47,'203'!$T$49,'203'!$T$51:$T$53,'203'!$T$55:$T$56,'203'!$T$58:$T$59,'203'!$T$61:$T$63,'203'!$T$65,'203'!$T$67,'203'!$T$69</definedName>
    <definedName name="OSRRefT22x_0" localSheetId="16">'204'!$T$20:$T$29,'204'!$T$31:$T$36,'204'!$T$38,'204'!$T$40:$T$41,'204'!$T$43,'204'!$T$45,'204'!$T$47:$T$50,'204'!$T$52:$T$53,'204'!$T$55:$T$56,'204'!$T$58,'204'!$T$60:$T$61</definedName>
    <definedName name="OSRRefT22x_0" localSheetId="17">'205'!$T$20:$T$27,'205'!$T$29,'205'!$T$31,'205'!$T$33,'205'!$T$35:$T$37,'205'!$T$39,'205'!$T$41:$T$42,'205'!$T$44,'205'!$T$46</definedName>
    <definedName name="OSRRefT22x_0" localSheetId="18">'206'!$T$20:$T$27,'206'!$T$29:$T$34,'206'!$T$36,'206'!$T$38,'206'!$T$40,'206'!$T$42,'206'!$T$44:$T$45,'206'!$T$47,'206'!$T$49</definedName>
    <definedName name="OSRRefT22x_0" localSheetId="22">'300'!$T$173:$T$181,'300'!$T$183:$T$189,'300'!$T$191,'300'!$T$193:$T$194,'300'!$T$196,'300'!$T$198:$T$199,'300'!$T$201:$T$202,'300'!$T$204,'300'!$T$206,'300'!$T$208,'300'!$T$210:$T$211,'300'!$T$213,'300'!$T$215,'300'!$T$217,'300'!$T$219,'300'!$T$221,'300'!$T$223:$T$226,'300'!$T$228:$T$230,'300'!$T$232:$T$235,'300'!$T$237:$T$238,'300'!$T$240:$T$246,'300'!$T$248:$T$249,'300'!$T$251,'300'!$T$253:$T$255,'300'!$T$257</definedName>
    <definedName name="OSRRefT22x_0" localSheetId="25">'300 &amp; 317'!$T$198:$T$206,'300 &amp; 317'!$T$208:$T$214,'300 &amp; 317'!$T$216,'300 &amp; 317'!$T$218:$T$219,'300 &amp; 317'!$T$221,'300 &amp; 317'!$T$223:$T$224,'300 &amp; 317'!$T$226:$T$227,'300 &amp; 317'!$T$229,'300 &amp; 317'!$T$231,'300 &amp; 317'!$T$233,'300 &amp; 317'!$T$235:$T$236,'300 &amp; 317'!$T$238,'300 &amp; 317'!$T$240,'300 &amp; 317'!$T$242,'300 &amp; 317'!$T$244,'300 &amp; 317'!$T$246,'300 &amp; 317'!$T$248:$T$251,'300 &amp; 317'!$T$253:$T$255,'300 &amp; 317'!$T$257:$T$260,'300 &amp; 317'!$T$262:$T$263,'300 &amp; 317'!$T$265:$T$271,'300 &amp; 317'!$T$273:$T$274,'300 &amp; 317'!$T$276,'300 &amp; 317'!$T$278:$T$280,'300 &amp; 317'!$T$282</definedName>
    <definedName name="OSRRefT22x_0" localSheetId="50">'301'!$T$21:$T$28,'301'!$T$30:$T$36,'301'!$T$38,'301'!$T$40:$T$41,'301'!$T$43,'301'!$T$45:$T$46,'301'!$T$48:$T$49,'301'!$T$51,'301'!$T$53,'301'!$T$55,'301'!$T$57,'301'!$T$59,'301'!$T$61,'301'!$T$63,'301'!$T$65:$T$68,'301'!$T$70,'301'!$T$72:$T$74,'301'!$T$76:$T$77,'301'!$T$79:$T$84,'301'!$T$86,'301'!$T$88,'301'!$T$90:$T$92,'301'!$T$94</definedName>
    <definedName name="OSRRefT22x_0" localSheetId="51">'306'!$T$20:$T$28,'306'!$T$30:$T$34,'306'!$T$36,'306'!$T$38,'306'!$T$40,'306'!$T$42,'306'!$T$44,'306'!$T$46:$T$47,'306'!$T$49:$T$53,'306'!$T$55,'306'!$T$57</definedName>
    <definedName name="OSRRefT22x_0" localSheetId="53">'307'!$T$80:$T$87,'307'!$T$89:$T$92,'307'!$T$94,'307'!$T$96,'307'!$T$98:$T$99,'307'!$T$101,'307'!$T$103,'307'!$T$105,'307'!$T$107,'307'!$T$109:$T$110,'307'!$T$112:$T$113,'307'!$T$115:$T$117,'307'!$T$119,'307'!$T$121,'307'!$T$123</definedName>
    <definedName name="OSRRefT22x_0" localSheetId="55">'308'!$T$66:$T$74,'308'!$T$76:$T$80,'308'!$T$82,'308'!$T$84:$T$85,'308'!$T$87,'308'!$T$89,'308'!$T$91:$T$92,'308'!$T$94,'308'!$T$96,'308'!$T$98:$T$100,'308'!$T$102:$T$103,'308'!$T$105:$T$108,'308'!$T$110:$T$111,'308'!$T$113,'308'!$T$115</definedName>
    <definedName name="OSRRefT22x_0" localSheetId="66">'309'!$T$24:$T$31,'309'!$T$33:$T$37,'309'!$T$39,'309'!$T$41,'309'!$T$43,'309'!$T$45,'309'!$T$47,'309'!$T$49,'309'!$T$51,'309'!$T$53:$T$54,'309'!$T$56:$T$58,'309'!$T$60,'309'!$T$62:$T$68,'309'!$T$70</definedName>
    <definedName name="OSRRefT22x_0" localSheetId="65">'310'!$T$33:$T$40,'310'!$T$42:$T$47,'310'!$T$49,'310'!$T$51,'310'!$T$53,'310'!$T$55:$T$56,'310'!$T$58,'310'!$T$60,'310'!$T$62,'310'!$T$64:$T$65,'310'!$T$67,'310'!$T$69,'310'!$T$71,'310'!$T$73,'310'!$T$75:$T$77,'310'!$T$79,'310'!$T$81:$T$84,'310'!$T$86:$T$87,'310'!$T$89:$T$96,'310'!$T$98,'310'!$T$100,'310'!$T$102,'310'!$T$104</definedName>
    <definedName name="OSRRefT22x_0" localSheetId="74">'310 &amp; 491'!$T$42:$T$50,'310 &amp; 491'!$T$52:$T$58,'310 &amp; 491'!$T$60,'310 &amp; 491'!$T$62,'310 &amp; 491'!$T$64,'310 &amp; 491'!$T$66:$T$68,'310 &amp; 491'!$T$70,'310 &amp; 491'!$T$72,'310 &amp; 491'!$T$74,'310 &amp; 491'!$T$76,'310 &amp; 491'!$T$78:$T$79,'310 &amp; 491'!$T$81:$T$82,'310 &amp; 491'!$T$84,'310 &amp; 491'!$T$86,'310 &amp; 491'!$T$88,'310 &amp; 491'!$T$90,'310 &amp; 491'!$T$92:$T$95,'310 &amp; 491'!$T$97:$T$98,'310 &amp; 491'!$T$100:$T$104,'310 &amp; 491'!$T$106:$T$107,'310 &amp; 491'!$T$109:$T$117,'310 &amp; 491'!$T$119,'310 &amp; 491'!$T$121,'310 &amp; 491'!$T$123:$T$125,'310 &amp; 491'!$T$127</definedName>
    <definedName name="OSRRefT22x_0" localSheetId="56">'311'!$T$65:$T$73,'311'!$T$75:$T$79,'311'!$T$81,'311'!$T$83:$T$84,'311'!$T$86,'311'!$T$88,'311'!$T$90:$T$91,'311'!$T$93,'311'!$T$95,'311'!$T$97:$T$99,'311'!$T$101:$T$102,'311'!$T$104:$T$107,'311'!$T$109:$T$110,'311'!$T$112,'311'!$T$114</definedName>
    <definedName name="OSRRefT22x_0" localSheetId="67">'313'!$T$30:$T$37,'313'!$T$39:$T$44,'313'!$T$46,'313'!$T$48,'313'!$T$50,'313'!$T$52,'313'!$T$54,'313'!$T$56:$T$57,'313'!$T$59,'313'!$T$61:$T$63,'313'!$T$65:$T$66,'313'!$T$68:$T$69,'313'!$T$71:$T$76,'313'!$T$78,'313'!$T$80</definedName>
    <definedName name="OSRRefT22x_0" localSheetId="54">'314'!$T$56:$T$64,'314'!$T$66:$T$69,'314'!$T$71,'314'!$T$73:$T$74,'314'!$T$76,'314'!$T$78,'314'!$T$80,'314'!$T$82:$T$84,'314'!$T$86,'314'!$T$88,'314'!$T$90</definedName>
    <definedName name="OSRRefT22x_0" localSheetId="59">'315'!$T$57:$T$64,'315'!$T$66:$T$71,'315'!$T$73,'315'!$T$75:$T$76,'315'!$T$78,'315'!$T$80:$T$81,'315'!$T$83,'315'!$T$85,'315'!$T$87,'315'!$T$89:$T$91,'315'!$T$93:$T$94,'315'!$T$96:$T$97,'315'!$T$99:$T$103,'315'!$T$105,'315'!$T$107,'315'!$T$109:$T$110</definedName>
    <definedName name="OSRRefT22x_0" localSheetId="61">'316'!$T$35:$T$42,'316'!$T$44:$T$47,'316'!$T$49,'316'!$T$51,'316'!$T$53,'316'!$T$55,'316'!$T$57,'316'!$T$59,'316'!$T$61:$T$62,'316'!$T$64,'316'!$T$66:$T$70,'316'!$T$72,'316'!$T$74</definedName>
    <definedName name="OSRRefT22x_0" localSheetId="64">'317'!$T$58:$T$66,'317'!$T$68:$T$72,'317'!$T$74,'317'!$T$76,'317'!$T$78,'317'!$T$80,'317'!$T$82,'317'!$T$84:$T$85,'317'!$T$87,'317'!$T$89,'317'!$T$91,'317'!$T$93,'317'!$T$95:$T$96,'317'!$T$98,'317'!$T$100,'317'!$T$102:$T$103</definedName>
    <definedName name="OSRRefT22x_0" localSheetId="62">'320'!$T$31:$T$38,'320'!$T$40:$T$45,'320'!$T$47,'320'!$T$49,'320'!$T$51:$T$52,'320'!$T$54,'320'!$T$56,'320'!$T$58:$T$59,'320'!$T$61</definedName>
    <definedName name="OSRRefT22x_0" localSheetId="68">'321'!$T$24:$T$30,'321'!$T$32:$T$36,'321'!$T$38,'321'!$T$40,'321'!$T$42,'321'!$T$44,'321'!$T$46,'321'!$T$48:$T$50,'321'!$T$52,'321'!$T$54:$T$56,'321'!$T$58:$T$63,'321'!$T$65,'321'!$T$67,'321'!$T$69</definedName>
    <definedName name="OSRRefT22x_0" localSheetId="69">'322'!$T$24:$T$31,'322'!$T$33:$T$37,'322'!$T$39,'322'!$T$41,'322'!$T$43,'322'!$T$45,'322'!$T$47,'322'!$T$49,'322'!$T$51,'322'!$T$53,'322'!$T$55:$T$56,'322'!$T$58:$T$60,'322'!$T$62,'322'!$T$64:$T$70,'322'!$T$72,'322'!$T$74,'322'!$T$76</definedName>
    <definedName name="OSRRefT22x_0" localSheetId="57">'324'!$T$25</definedName>
    <definedName name="OSRRefT22x_0" localSheetId="70">'325'!$T$24:$T$31,'325'!$T$33:$T$38,'325'!$T$40,'325'!$T$42,'325'!$T$44,'325'!$T$46:$T$47,'325'!$T$49,'325'!$T$51,'325'!$T$53,'325'!$T$55,'325'!$T$57,'325'!$T$59:$T$61,'325'!$T$63:$T$66,'325'!$T$68:$T$69,'325'!$T$71:$T$76,'325'!$T$78,'325'!$T$80,'325'!$T$82</definedName>
    <definedName name="OSRRefT22x_0" localSheetId="71">'326'!$T$62:$T$69,'326'!$T$71:$T$74,'326'!$T$76,'326'!$T$78,'326'!$T$80,'326'!$T$82,'326'!$T$84,'326'!$T$86,'326'!$T$88,'326'!$T$90,'326'!$T$92,'326'!$T$94,'326'!$T$96,'326'!$T$98:$T$99,'326'!$T$101:$T$103,'326'!$T$105:$T$106,'326'!$T$108:$T$112,'326'!$T$114,'326'!$T$116,'326'!$T$118,'326'!$T$120</definedName>
    <definedName name="OSRRefT22x_0" localSheetId="72">'327'!$T$22,'327'!$T$24,'327'!$T$26</definedName>
    <definedName name="OSRRefT22x_0" localSheetId="52">'330'!$T$87:$T$95,'330'!$T$97:$T$101,'330'!$T$103,'330'!$T$105,'330'!$T$107:$T$108,'330'!$T$110,'330'!$T$112,'330'!$T$114,'330'!$T$116,'330'!$T$118,'330'!$T$120,'330'!$T$122:$T$123,'330'!$T$125:$T$126,'330'!$T$128,'330'!$T$130:$T$132,'330'!$T$134,'330'!$T$136,'330'!$T$138</definedName>
    <definedName name="OSRRefT22x_0" localSheetId="58">'331'!$T$76:$T$83,'331'!$T$85:$T$90,'331'!$T$92,'331'!$T$94,'331'!$T$96,'331'!$T$98:$T$99,'331'!$T$101,'331'!$T$103,'331'!$T$105:$T$106,'331'!$T$108,'331'!$T$110,'331'!$T$112,'331'!$T$114,'331'!$T$116,'331'!$T$118:$T$120,'331'!$T$122:$T$123,'331'!$T$125:$T$127,'331'!$T$129:$T$130,'331'!$T$132:$T$137,'331'!$T$139,'331'!$T$141,'331'!$T$143:$T$144,'331'!$T$146</definedName>
    <definedName name="OSRRefT22x_0" localSheetId="60">'332'!$T$46:$T$53,'332'!$T$55:$T$60,'332'!$T$62,'332'!$T$64,'332'!$T$66,'332'!$T$68,'332'!$T$70:$T$71,'332'!$T$73,'332'!$T$75,'332'!$T$77:$T$78,'332'!$T$80,'332'!$T$82:$T$86,'332'!$T$88,'332'!$T$90</definedName>
    <definedName name="OSRRefT22x_0" localSheetId="76">'405'!$T$24:$T$31,'405'!$T$33:$T$37,'405'!$T$39,'405'!$T$41,'405'!$T$43,'405'!$T$45:$T$46,'405'!$T$48,'405'!$T$50,'405'!$T$52,'405'!$T$54,'405'!$T$56:$T$57,'405'!$T$59,'405'!$T$61:$T$63,'405'!$T$65:$T$66,'405'!$T$68:$T$74,'405'!$T$76,'405'!$T$78,'405'!$T$80,'405'!$T$82</definedName>
    <definedName name="OSRRefT22x_0" localSheetId="77">'406'!$T$24:$T$31,'406'!$T$33:$T$38,'406'!$T$40,'406'!$T$42,'406'!$T$44,'406'!$T$46,'406'!$T$48,'406'!$T$50,'406'!$T$52,'406'!$T$54:$T$56,'406'!$T$58:$T$59,'406'!$T$61:$T$66,'406'!$T$68,'406'!$T$70,'406'!$T$72:$T$73</definedName>
    <definedName name="OSRRefT22x_0" localSheetId="78">'411'!$T$20:$T$28,'411'!$T$30:$T$35,'411'!$T$37,'411'!$T$39,'411'!$T$41:$T$43,'411'!$T$45,'411'!$T$47,'411'!$T$49,'411'!$T$51,'411'!$T$53,'411'!$T$55,'411'!$T$57,'411'!$T$59:$T$62,'411'!$T$64:$T$68,'411'!$T$70:$T$71,'411'!$T$73:$T$80,'411'!$T$82,'411'!$T$84,'411'!$T$86:$T$88,'411'!$T$90</definedName>
    <definedName name="OSRRefT22x_0" localSheetId="79">'412'!$T$25:$T$32,'412'!$T$34:$T$39,'412'!$T$41,'412'!$T$43,'412'!$T$45,'412'!$T$47,'412'!$T$49,'412'!$T$51,'412'!$T$53,'412'!$T$55:$T$57,'412'!$T$59,'412'!$T$61:$T$63,'412'!$T$65:$T$72,'412'!$T$74,'412'!$T$76</definedName>
    <definedName name="OSRRefT22x_0" localSheetId="81">'413'!$T$24:$T$31,'413'!$T$33:$T$38,'413'!$T$40,'413'!$T$42,'413'!$T$44,'413'!$T$46,'413'!$T$48,'413'!$T$50:$T$52,'413'!$T$54:$T$55,'413'!$T$57:$T$62,'413'!$T$64,'413'!$T$66,'413'!$T$68</definedName>
    <definedName name="OSRRefT22x_0" localSheetId="82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3">'415'!$T$24:$T$31,'415'!$T$33:$T$38,'415'!$T$40,'415'!$T$42,'415'!$T$44,'415'!$T$46:$T$47,'415'!$T$49,'415'!$T$51,'415'!$T$53,'415'!$T$55,'415'!$T$57,'415'!$T$59:$T$62,'415'!$T$64:$T$68,'415'!$T$70:$T$71,'415'!$T$73:$T$80,'415'!$T$82,'415'!$T$84,'415'!$T$86,'415'!$T$88</definedName>
    <definedName name="OSRRefT22x_0" localSheetId="84">'418'!$T$24:$T$31,'418'!$T$33:$T$38,'418'!$T$40,'418'!$T$42,'418'!$T$44,'418'!$T$46:$T$47,'418'!$T$49,'418'!$T$51,'418'!$T$53,'418'!$T$55,'418'!$T$57:$T$58,'418'!$T$60:$T$62,'418'!$T$64:$T$66,'418'!$T$68:$T$69,'418'!$T$71:$T$78,'418'!$T$80,'418'!$T$82</definedName>
    <definedName name="OSRRefT22x_0" localSheetId="80">'420'!$T$24:$T$31,'420'!$T$33:$T$36,'420'!$T$38,'420'!$T$40,'420'!$T$42,'420'!$T$44,'420'!$T$46:$T$47,'420'!$T$49</definedName>
    <definedName name="OSRRefT22x_0" localSheetId="85">'423'!$T$21:$T$28,'423'!$T$30:$T$31,'423'!$T$33,'423'!$T$35,'423'!$T$37,'423'!$T$39,'423'!$T$41</definedName>
    <definedName name="OSRRefT22x_0" localSheetId="86">'424'!$T$26:$T$28,'424'!$T$30:$T$34,'424'!$T$36,'424'!$T$38,'424'!$T$40,'424'!$T$42,'424'!$T$44,'424'!$T$46,'424'!$T$48,'424'!$T$50:$T$51,'424'!$T$53,'424'!$T$55,'424'!$T$57:$T$62,'424'!$T$64</definedName>
    <definedName name="OSRRefT22x_0" localSheetId="87">'425'!$T$27:$T$35,'425'!$T$37:$T$42,'425'!$T$44,'425'!$T$46,'425'!$T$48,'425'!$T$50,'425'!$T$52,'425'!$T$54,'425'!$T$56,'425'!$T$58:$T$60,'425'!$T$62,'425'!$T$64:$T$66,'425'!$T$68:$T$74,'425'!$T$76,'425'!$T$78,'425'!$T$80</definedName>
    <definedName name="OSRRefT22x_0" localSheetId="90">'430'!$T$20:$T$27,'430'!$T$29,'430'!$T$31,'430'!$T$33,'430'!$T$35,'430'!$T$37,'430'!$T$39:$T$40,'430'!$T$42,'430'!$T$44,'430'!$T$46</definedName>
    <definedName name="OSRRefT22x_0" localSheetId="91">'433'!$T$26:$T$34,'433'!$T$36:$T$41,'433'!$T$43,'433'!$T$45,'433'!$T$47,'433'!$T$49,'433'!$T$51,'433'!$T$53,'433'!$T$55,'433'!$T$57,'433'!$T$59:$T$61,'433'!$T$63:$T$65,'433'!$T$67:$T$73,'433'!$T$75,'433'!$T$77,'433'!$T$79:$T$80</definedName>
    <definedName name="OSRRefT22x_0" localSheetId="92">'435'!$T$25:$T$27,'435'!$T$29:$T$31,'435'!$T$33,'435'!$T$35,'435'!$T$37,'435'!$T$39,'435'!$T$41,'435'!$T$43,'435'!$T$45:$T$48,'435'!$T$50</definedName>
    <definedName name="OSRRefT22x_0" localSheetId="93">'444'!$T$25:$T$33,'444'!$T$35:$T$40,'444'!$T$42,'444'!$T$44,'444'!$T$46,'444'!$T$48,'444'!$T$50,'444'!$T$52,'444'!$T$54,'444'!$T$56,'444'!$T$58,'444'!$T$60:$T$62,'444'!$T$64:$T$66,'444'!$T$68:$T$75,'444'!$T$77,'444'!$T$79,'444'!$T$81</definedName>
    <definedName name="OSRRefT22x_0" localSheetId="94">'445'!$T$20</definedName>
    <definedName name="OSRRefT22x_0" localSheetId="95">'450'!$T$25:$T$33,'450'!$T$35:$T$40,'450'!$T$42,'450'!$T$44,'450'!$T$46,'450'!$T$48,'450'!$T$50,'450'!$T$52,'450'!$T$54,'450'!$T$56,'450'!$T$58,'450'!$T$60,'450'!$T$62:$T$64,'450'!$T$66:$T$68,'450'!$T$70:$T$76,'450'!$T$78,'450'!$T$80,'450'!$T$82:$T$83</definedName>
    <definedName name="OSRRefT22x_0" localSheetId="88">'455'!$T$20:$T$26,'455'!$T$28:$T$29,'455'!$T$31</definedName>
    <definedName name="OSRRefT22x_0" localSheetId="75">'491'!$T$34:$T$42,'491'!$T$44:$T$50,'491'!$T$52,'491'!$T$54,'491'!$T$56,'491'!$T$58:$T$60,'491'!$T$62,'491'!$T$64,'491'!$T$66,'491'!$T$68,'491'!$T$70,'491'!$T$72:$T$73,'491'!$T$75,'491'!$T$77,'491'!$T$79,'491'!$T$81,'491'!$T$83:$T$86,'491'!$T$88:$T$89,'491'!$T$91:$T$95,'491'!$T$97:$T$98,'491'!$T$100:$T$108,'491'!$T$110,'491'!$T$112,'491'!$T$114:$T$116,'491'!$T$118</definedName>
    <definedName name="OSRRefT22x_0" localSheetId="89">'492'!$T$28:$T$36,'492'!$T$38:$T$44,'492'!$T$46,'492'!$T$48,'492'!$T$50,'492'!$T$52,'492'!$T$54,'492'!$T$56,'492'!$T$58,'492'!$T$60,'492'!$T$62,'492'!$T$64,'492'!$T$66,'492'!$T$68:$T$70,'492'!$T$72:$T$74,'492'!$T$76:$T$83,'492'!$T$85,'492'!$T$87,'492'!$T$89:$T$90</definedName>
    <definedName name="OSRRefT22x_0" localSheetId="97">'501'!$T$21:$T$28,'501'!$T$30:$T$35,'501'!$T$37,'501'!$T$39,'501'!$T$41,'501'!$T$43:$T$44,'501'!$T$46,'501'!$T$48,'501'!$T$50,'501'!$T$52,'501'!$T$54:$T$56,'501'!$T$58,'501'!$T$60:$T$63,'501'!$T$65,'501'!$T$67</definedName>
    <definedName name="OSRRefT22x_0" localSheetId="9">'Div 2'!$T$20:$T$30,'Div 2'!$T$32:$T$38,'Div 2'!$T$40,'Div 2'!$T$42,'Div 2'!$T$44,'Div 2'!$T$46:$T$47,'Div 2'!$T$49,'Div 2'!$T$51,'Div 2'!$T$53,'Div 2'!$T$55,'Div 2'!$T$57,'Div 2'!$T$59,'Div 2'!$T$61:$T$64,'Div 2'!$T$66:$T$69,'Div 2'!$T$71:$T$72,'Div 2'!$T$74:$T$75,'Div 2'!$T$77:$T$81,'Div 2'!$T$83:$T$84,'Div 2'!$T$86,'Div 2'!$T$88:$T$89</definedName>
    <definedName name="OSRRefT22x_0" localSheetId="19">'Div 3'!$T$178:$T$186,'Div 3'!$T$188:$T$194,'Div 3'!$T$196,'Div 3'!$T$198:$T$199,'Div 3'!$T$201,'Div 3'!$T$203:$T$204,'Div 3'!$T$206:$T$207,'Div 3'!$T$209,'Div 3'!$T$211,'Div 3'!$T$213,'Div 3'!$T$215:$T$216,'Div 3'!$T$218,'Div 3'!$T$220,'Div 3'!$T$222,'Div 3'!$T$224,'Div 3'!$T$226,'Div 3'!$T$228,'Div 3'!$T$230:$T$233,'Div 3'!$T$235:$T$237,'Div 3'!$T$239:$T$243,'Div 3'!$T$245:$T$246,'Div 3'!$T$248:$T$255,'Div 3'!$T$257:$T$258,'Div 3'!$T$260,'Div 3'!$T$262:$T$264,'Div 3'!$T$266</definedName>
    <definedName name="OSRRefT22x_0" localSheetId="73">'Div 4'!$T$35:$T$43,'Div 4'!$T$45:$T$51,'Div 4'!$T$53,'Div 4'!$T$55,'Div 4'!$T$57,'Div 4'!$T$59:$T$61,'Div 4'!$T$63,'Div 4'!$T$65,'Div 4'!$T$67,'Div 4'!$T$69,'Div 4'!$T$71,'Div 4'!$T$73:$T$74,'Div 4'!$T$76,'Div 4'!$T$78,'Div 4'!$T$80,'Div 4'!$T$82,'Div 4'!$T$84,'Div 4'!$T$86:$T$89,'Div 4'!$T$91:$T$92,'Div 4'!$T$94:$T$98,'Div 4'!$T$100:$T$101,'Div 4'!$T$103:$T$111,'Div 4'!$T$113,'Div 4'!$T$115,'Div 4'!$T$117:$T$119,'Div 4'!$T$121</definedName>
    <definedName name="OSRRefT22x_0" localSheetId="96">'Div 5'!$T$21:$T$28,'Div 5'!$T$30:$T$35,'Div 5'!$T$37,'Div 5'!$T$39,'Div 5'!$T$41,'Div 5'!$T$43:$T$44,'Div 5'!$T$46,'Div 5'!$T$48,'Div 5'!$T$50,'Div 5'!$T$52,'Div 5'!$T$54:$T$56,'Div 5'!$T$58,'Div 5'!$T$60:$T$63,'Div 5'!$T$65,'Div 5'!$T$67</definedName>
    <definedName name="OSRRefT22x_0" localSheetId="63">'Div 6'!$T$58:$T$66,'Div 6'!$T$68:$T$72,'Div 6'!$T$74,'Div 6'!$T$76,'Div 6'!$T$78,'Div 6'!$T$80,'Div 6'!$T$82,'Div 6'!$T$84:$T$85,'Div 6'!$T$87,'Div 6'!$T$89,'Div 6'!$T$91,'Div 6'!$T$93,'Div 6'!$T$95:$T$96,'Div 6'!$T$98,'Div 6'!$T$100,'Div 6'!$T$102:$T$103</definedName>
    <definedName name="OSRRefT22x_0" localSheetId="2">Summary!$T$213:$T$221,Summary!$T$223:$T$229,Summary!$T$231,Summary!$T$233:$T$234,Summary!$T$236,Summary!$T$238:$T$240,Summary!$T$242:$T$243,Summary!$T$245,Summary!$T$247,Summary!$T$249,Summary!$T$251:$T$252,Summary!$T$254:$T$255,Summary!$T$257,Summary!$T$259,Summary!$T$261,Summary!$T$263,Summary!$T$265,Summary!$T$267,Summary!$T$269:$T$272,Summary!$T$274:$T$276,Summary!$T$278:$T$282,Summary!$T$284:$T$285,Summary!$T$287:$T$295,Summary!$T$297:$T$298,Summary!$T$300,Summary!$T$302:$T$304,Summary!$T$306</definedName>
    <definedName name="OSRRefT25x_0" localSheetId="22">'300'!$T$260:$T$268</definedName>
    <definedName name="OSRRefT25x_0" localSheetId="25">'300 &amp; 317'!$T$285:$T$296</definedName>
    <definedName name="OSRRefT25x_0" localSheetId="50">'301'!$T$97:$T$99</definedName>
    <definedName name="OSRRefT25x_0" localSheetId="53">'307'!$T$126</definedName>
    <definedName name="OSRRefT25x_0" localSheetId="55">'308'!$T$118:$T$120</definedName>
    <definedName name="OSRRefT25x_0" localSheetId="74">'310 &amp; 491'!$T$130:$T$132</definedName>
    <definedName name="OSRRefT25x_0" localSheetId="56">'311'!$T$117:$T$119</definedName>
    <definedName name="OSRRefT25x_0" localSheetId="59">'315'!$T$113</definedName>
    <definedName name="OSRRefT25x_0" localSheetId="61">'316'!$T$77</definedName>
    <definedName name="OSRRefT25x_0" localSheetId="64">'317'!$T$106:$T$109</definedName>
    <definedName name="OSRRefT25x_0" localSheetId="62">'320'!$T$64:$T$68</definedName>
    <definedName name="OSRRefT25x_0" localSheetId="52">'330'!$T$141</definedName>
    <definedName name="OSRRefT25x_0" localSheetId="58">'331'!$T$149</definedName>
    <definedName name="OSRRefT25x_0" localSheetId="60">'332'!$T$93:$T$98</definedName>
    <definedName name="OSRRefT25x_0" localSheetId="78">'411'!$T$93:$T$94</definedName>
    <definedName name="OSRRefT25x_0" localSheetId="81">'413'!$T$71</definedName>
    <definedName name="OSRRefT25x_0" localSheetId="83">'415'!$T$91</definedName>
    <definedName name="OSRRefT25x_0" localSheetId="84">'418'!$T$85</definedName>
    <definedName name="OSRRefT25x_0" localSheetId="85">'423'!$T$44</definedName>
    <definedName name="OSRRefT25x_0" localSheetId="86">'424'!$T$67</definedName>
    <definedName name="OSRRefT25x_0" localSheetId="87">'425'!$T$83</definedName>
    <definedName name="OSRRefT25x_0" localSheetId="88">'455'!$T$34:$T$35</definedName>
    <definedName name="OSRRefT25x_0" localSheetId="75">'491'!$T$121:$T$123</definedName>
    <definedName name="OSRRefT25x_0" localSheetId="97">'501'!$T$70:$T$71</definedName>
    <definedName name="OSRRefT25x_0" localSheetId="19">'Div 3'!$T$269:$T$277</definedName>
    <definedName name="OSRRefT25x_0" localSheetId="73">'Div 4'!$T$124:$T$126</definedName>
    <definedName name="OSRRefT25x_0" localSheetId="96">'Div 5'!$T$70:$T$71</definedName>
    <definedName name="OSRRefT25x_0" localSheetId="63">'Div 6'!$T$106:$T$109</definedName>
    <definedName name="OSRRefT25x_0" localSheetId="2">Summary!$T$309:$T$321</definedName>
    <definedName name="_xlnm.Print_Area" localSheetId="8">'100'!$A$1:$Z$34</definedName>
    <definedName name="_xlnm.Print_Area" localSheetId="12">'200'!$A$1:$Z$43</definedName>
    <definedName name="_xlnm.Print_Area" localSheetId="13">'201'!$A$1:$Z$84</definedName>
    <definedName name="_xlnm.Print_Area" localSheetId="14">'202'!$A$1:$Z$82</definedName>
    <definedName name="_xlnm.Print_Area" localSheetId="15">'203'!$A$1:$Z$83</definedName>
    <definedName name="_xlnm.Print_Area" localSheetId="16">'204'!$A$1:$Z$75</definedName>
    <definedName name="_xlnm.Print_Area" localSheetId="17">'205'!$A$1:$Z$60</definedName>
    <definedName name="_xlnm.Print_Area" localSheetId="18">'206'!$A$1:$Z$63</definedName>
    <definedName name="_xlnm.Print_Area" localSheetId="22">'300'!$A$1:$Z$280</definedName>
    <definedName name="_xlnm.Print_Area" localSheetId="25">'300 &amp; 317'!$A$1:$Z$308</definedName>
    <definedName name="_xlnm.Print_Area" localSheetId="50">'301'!$A$1:$Z$111</definedName>
    <definedName name="_xlnm.Print_Area" localSheetId="51">'306'!$A$1:$Z$71</definedName>
    <definedName name="_xlnm.Print_Area" localSheetId="53">'307'!$A$1:$Z$138</definedName>
    <definedName name="_xlnm.Print_Area" localSheetId="55">'308'!$A$1:$Z$132</definedName>
    <definedName name="_xlnm.Print_Area" localSheetId="66">'309'!$A$1:$Z$84</definedName>
    <definedName name="_xlnm.Print_Area" localSheetId="65">'310'!$A$1:$Z$118</definedName>
    <definedName name="_xlnm.Print_Area" localSheetId="74">'310 &amp; 491'!$A$1:$Z$144</definedName>
    <definedName name="_xlnm.Print_Area" localSheetId="56">'311'!$A$1:$Z$131</definedName>
    <definedName name="_xlnm.Print_Area" localSheetId="67">'313'!$A$1:$Z$94</definedName>
    <definedName name="_xlnm.Print_Area" localSheetId="54">'314'!$A$1:$Z$104</definedName>
    <definedName name="_xlnm.Print_Area" localSheetId="59">'315'!$A$1:$Z$125</definedName>
    <definedName name="_xlnm.Print_Area" localSheetId="61">'316'!$A$1:$Z$89</definedName>
    <definedName name="_xlnm.Print_Area" localSheetId="64">'317'!$A$1:$Z$121</definedName>
    <definedName name="_xlnm.Print_Area" localSheetId="62">'320'!$A$1:$Z$80</definedName>
    <definedName name="_xlnm.Print_Area" localSheetId="68">'321'!$A$1:$Z$83</definedName>
    <definedName name="_xlnm.Print_Area" localSheetId="69">'322'!$A$1:$Z$90</definedName>
    <definedName name="_xlnm.Print_Area" localSheetId="57">'324'!$A$1:$Z$39</definedName>
    <definedName name="_xlnm.Print_Area" localSheetId="70">'325'!$A$1:$Z$96</definedName>
    <definedName name="_xlnm.Print_Area" localSheetId="71">'326'!$A$1:$Z$134</definedName>
    <definedName name="_xlnm.Print_Area" localSheetId="72">'327'!$A$1:$Z$40</definedName>
    <definedName name="_xlnm.Print_Area" localSheetId="52">'330'!$A$1:$Z$153</definedName>
    <definedName name="_xlnm.Print_Area" localSheetId="58">'331'!$A$1:$Z$161</definedName>
    <definedName name="_xlnm.Print_Area" localSheetId="60">'332'!$A$1:$Z$110</definedName>
    <definedName name="_xlnm.Print_Area" localSheetId="76">'405'!$A$1:$Z$96</definedName>
    <definedName name="_xlnm.Print_Area" localSheetId="77">'406'!$A$1:$Z$87</definedName>
    <definedName name="_xlnm.Print_Area" localSheetId="78">'411'!$A$1:$Z$106</definedName>
    <definedName name="_xlnm.Print_Area" localSheetId="79">'412'!$A$1:$Z$90</definedName>
    <definedName name="_xlnm.Print_Area" localSheetId="81">'413'!$A$1:$Z$83</definedName>
    <definedName name="_xlnm.Print_Area" localSheetId="82">'414'!$A$1:$Z$87</definedName>
    <definedName name="_xlnm.Print_Area" localSheetId="83">'415'!$A$1:$Z$103</definedName>
    <definedName name="_xlnm.Print_Area" localSheetId="84">'418'!$A$1:$Z$97</definedName>
    <definedName name="_xlnm.Print_Area" localSheetId="80">'420'!$A$1:$Z$63</definedName>
    <definedName name="_xlnm.Print_Area" localSheetId="85">'423'!$A$1:$Z$56</definedName>
    <definedName name="_xlnm.Print_Area" localSheetId="86">'424'!$A$1:$Z$79</definedName>
    <definedName name="_xlnm.Print_Area" localSheetId="87">'425'!$A$1:$Z$95</definedName>
    <definedName name="_xlnm.Print_Area" localSheetId="90">'430'!$A$1:$Z$60</definedName>
    <definedName name="_xlnm.Print_Area" localSheetId="91">'433'!$A$1:$Z$94</definedName>
    <definedName name="_xlnm.Print_Area" localSheetId="92">'435'!$A$1:$Z$64</definedName>
    <definedName name="_xlnm.Print_Area" localSheetId="93">'444'!$A$1:$Z$95</definedName>
    <definedName name="_xlnm.Print_Area" localSheetId="94">'445'!$A$1:$Z$34</definedName>
    <definedName name="_xlnm.Print_Area" localSheetId="95">'450'!$A$1:$Z$97</definedName>
    <definedName name="_xlnm.Print_Area" localSheetId="88">'455'!$A$1:$Z$47</definedName>
    <definedName name="_xlnm.Print_Area" localSheetId="75">'491'!$A$1:$Z$135</definedName>
    <definedName name="_xlnm.Print_Area" localSheetId="89">'492'!$A$1:$Z$104</definedName>
    <definedName name="_xlnm.Print_Area" localSheetId="97">'501'!$A$1:$Z$83</definedName>
    <definedName name="_xlnm.Print_Area" localSheetId="98">Dept!$A$1:$Z$39</definedName>
    <definedName name="_xlnm.Print_Area" localSheetId="5">'Div 1'!$A$1:$Z$34</definedName>
    <definedName name="_xlnm.Print_Area" localSheetId="9">'Div 2'!$A$1:$Z$103</definedName>
    <definedName name="_xlnm.Print_Area" localSheetId="19">'Div 3'!$A$1:$Z$289</definedName>
    <definedName name="_xlnm.Print_Area" localSheetId="73">'Div 4'!$A$1:$Z$138</definedName>
    <definedName name="_xlnm.Print_Area" localSheetId="96">'Div 5'!$A$1:$Z$83</definedName>
    <definedName name="_xlnm.Print_Area" localSheetId="63">'Div 6'!$A$1:$Z$121</definedName>
    <definedName name="_xlnm.Print_Area" localSheetId="26">'OSR_300 &amp; 317_1C00ID4'!$A$1:$Z$39</definedName>
    <definedName name="_xlnm.Print_Area" localSheetId="21">'OSR_300 (2)_7...54cb56fc_UFX0O2'!$A$1:$Z$39</definedName>
    <definedName name="_xlnm.Print_Area" localSheetId="27">'OSR_300 (2)_c...79cd3046_1TJM0H'!$A$1:$Z$39</definedName>
    <definedName name="_xlnm.Print_Area" localSheetId="29">'OSR_300 (2)_e...5d0da5bf_6BPGAO'!$A$1:$Z$39</definedName>
    <definedName name="_xlnm.Print_Area" localSheetId="23">OSR_300_IYZXI6!$A$1:$Z$39</definedName>
    <definedName name="_xlnm.Print_Area" localSheetId="35">'OSR_308 (2)_...47685838_1YQW4QY'!$A$1:$Z$39</definedName>
    <definedName name="_xlnm.Print_Area" localSheetId="32">OSR_308_UAWDAG!$A$1:$Z$39</definedName>
    <definedName name="_xlnm.Print_Area" localSheetId="40">'OSR_310 &amp; 491_1NGRCS9'!$A$1:$Z$39</definedName>
    <definedName name="_xlnm.Print_Area" localSheetId="31">'OSR_310 (2)_...6e684f08_1FLCNJG'!$A$1:$Z$39</definedName>
    <definedName name="_xlnm.Print_Area" localSheetId="39">'OSR_310 (2)_...8cac1423_1JTU33X'!$A$1:$Z$39</definedName>
    <definedName name="_xlnm.Print_Area" localSheetId="28">OSR_310_1CMTOSB!$A$1:$Z$39</definedName>
    <definedName name="_xlnm.Print_Area" localSheetId="33">'OSR_330 (2)_...8a14c83e_1NSH7XI'!$A$1:$Z$39</definedName>
    <definedName name="_xlnm.Print_Area" localSheetId="30">OSR_330_10VFP5Y!$A$1:$Z$39</definedName>
    <definedName name="_xlnm.Print_Area" localSheetId="37">'OSR_331 (2)_...7280af70_1P5SPLT'!$A$1:$Z$39</definedName>
    <definedName name="_xlnm.Print_Area" localSheetId="34">OSR_331_10VKQAJ!$A$1:$Z$39</definedName>
    <definedName name="_xlnm.Print_Area" localSheetId="36">OSR_332_6NDVBW!$A$1:$Z$39</definedName>
    <definedName name="_xlnm.Print_Area" localSheetId="41">'OSR_491 (2)_0...c51cc666_QIOT67'!$A$1:$Z$39</definedName>
    <definedName name="_xlnm.Print_Area" localSheetId="42">OSR_491_9Z9JH5!$A$1:$Z$39</definedName>
    <definedName name="_xlnm.Print_Area" localSheetId="47">'OSR_492 (2)_...cd97c6a6_13HYXEV'!$A$1:$Z$39</definedName>
    <definedName name="_xlnm.Print_Area" localSheetId="44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11">'OSR_Div 1 (2)...789fe994_2NV3KA'!$A$1:$Z$39</definedName>
    <definedName name="_xlnm.Print_Area" localSheetId="6">'OSR_Div 1_7H47HR'!$A$1:$Z$39</definedName>
    <definedName name="_xlnm.Print_Area" localSheetId="10">'OSR_Div 2_1PQ800A'!$A$1:$Z$39</definedName>
    <definedName name="_xlnm.Print_Area" localSheetId="7">'OSR_Div 3 (2)...4cb81c06_PBSMLS'!$A$1:$Z$39</definedName>
    <definedName name="_xlnm.Print_Area" localSheetId="24">'OSR_Div 3 (2)...b7db256a_40ITCB'!$A$1:$Z$39</definedName>
    <definedName name="_xlnm.Print_Area" localSheetId="20">'OSR_Div 3_18723PH'!$A$1:$Z$39</definedName>
    <definedName name="_xlnm.Print_Area" localSheetId="45">'OSR_Div 4 (2)...1a9a4454_CQFRNE'!$A$1:$Z$39</definedName>
    <definedName name="_xlnm.Print_Area" localSheetId="43">'OSR_Div 4 (2...2533da42_174R6QX'!$A$1:$Z$39</definedName>
    <definedName name="_xlnm.Print_Area" localSheetId="38">'OSR_Div 4_1740TMT'!$A$1:$Z$39</definedName>
    <definedName name="_xlnm.Print_Area" localSheetId="49">'OSR_Div 5 (2...09141158_1BG9FGV'!$A$1:$Z$39</definedName>
    <definedName name="_xlnm.Print_Area" localSheetId="46">'OSR_Div 5_16NAZO2'!$A$1:$Z$39</definedName>
    <definedName name="_xlnm.Print_Area" localSheetId="48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Summary!$A$1:$Z$335</definedName>
    <definedName name="_xlnm.Print_Titles" localSheetId="8">'100'!$A:$C,'100'!$1:$10</definedName>
    <definedName name="_xlnm.Print_Titles" localSheetId="12">'200'!$A:$C,'200'!$1:$10</definedName>
    <definedName name="_xlnm.Print_Titles" localSheetId="13">'201'!$A:$C,'201'!$1:$10</definedName>
    <definedName name="_xlnm.Print_Titles" localSheetId="14">'202'!$A:$C,'202'!$1:$10</definedName>
    <definedName name="_xlnm.Print_Titles" localSheetId="15">'203'!$A:$C,'203'!$1:$10</definedName>
    <definedName name="_xlnm.Print_Titles" localSheetId="16">'204'!$A:$C,'204'!$1:$10</definedName>
    <definedName name="_xlnm.Print_Titles" localSheetId="17">'205'!$A:$C,'205'!$1:$10</definedName>
    <definedName name="_xlnm.Print_Titles" localSheetId="18">'206'!$A:$C,'206'!$1:$10</definedName>
    <definedName name="_xlnm.Print_Titles" localSheetId="22">'300'!$A:$C,'300'!$1:$10</definedName>
    <definedName name="_xlnm.Print_Titles" localSheetId="25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6">'309'!$A:$C,'309'!$1:$10</definedName>
    <definedName name="_xlnm.Print_Titles" localSheetId="65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7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1">'316'!$A:$C,'316'!$1:$10</definedName>
    <definedName name="_xlnm.Print_Titles" localSheetId="64">'317'!$A:$C,'317'!$1:$10</definedName>
    <definedName name="_xlnm.Print_Titles" localSheetId="62">'320'!$A:$C,'320'!$1:$10</definedName>
    <definedName name="_xlnm.Print_Titles" localSheetId="68">'321'!$A:$C,'321'!$1:$10</definedName>
    <definedName name="_xlnm.Print_Titles" localSheetId="69">'322'!$A:$C,'322'!$1:$10</definedName>
    <definedName name="_xlnm.Print_Titles" localSheetId="57">'324'!$A:$C,'324'!$1:$10</definedName>
    <definedName name="_xlnm.Print_Titles" localSheetId="70">'325'!$A:$C,'325'!$1:$10</definedName>
    <definedName name="_xlnm.Print_Titles" localSheetId="71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0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0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5">'Div 1'!$A:$C,'Div 1'!$1:$10</definedName>
    <definedName name="_xlnm.Print_Titles" localSheetId="9">'Div 2'!$A:$C,'Div 2'!$1:$10</definedName>
    <definedName name="_xlnm.Print_Titles" localSheetId="19">'Div 3'!$A:$C,'Div 3'!$1:$10</definedName>
    <definedName name="_xlnm.Print_Titles" localSheetId="73">'Div 4'!$A:$C,'Div 4'!$1:$10</definedName>
    <definedName name="_xlnm.Print_Titles" localSheetId="96">'Div 5'!$A:$C,'Div 5'!$1:$10</definedName>
    <definedName name="_xlnm.Print_Titles" localSheetId="63">'Div 6'!$A:$C,'Div 6'!$1:$10</definedName>
    <definedName name="_xlnm.Print_Titles" localSheetId="26">'OSR_300 &amp; 317_1C00ID4'!$A:$C,'OSR_300 &amp; 317_1C00ID4'!$1:$10</definedName>
    <definedName name="_xlnm.Print_Titles" localSheetId="21">'OSR_300 (2)_7...54cb56fc_UFX0O2'!$A:$C,'OSR_300 (2)_7...54cb56fc_UFX0O2'!$1:$10</definedName>
    <definedName name="_xlnm.Print_Titles" localSheetId="27">'OSR_300 (2)_c...79cd3046_1TJM0H'!$A:$C,'OSR_300 (2)_c...79cd3046_1TJM0H'!$1:$10</definedName>
    <definedName name="_xlnm.Print_Titles" localSheetId="29">'OSR_300 (2)_e...5d0da5bf_6BPGAO'!$A:$C,'OSR_300 (2)_e...5d0da5bf_6BPGAO'!$1:$10</definedName>
    <definedName name="_xlnm.Print_Titles" localSheetId="23">OSR_300_IYZXI6!$A:$C,OSR_300_IYZXI6!$1:$10</definedName>
    <definedName name="_xlnm.Print_Titles" localSheetId="35">'OSR_308 (2)_...47685838_1YQW4QY'!$A:$C,'OSR_308 (2)_...47685838_1YQW4QY'!$1:$10</definedName>
    <definedName name="_xlnm.Print_Titles" localSheetId="32">OSR_308_UAWDAG!$A:$C,OSR_308_UAWDAG!$1:$10</definedName>
    <definedName name="_xlnm.Print_Titles" localSheetId="40">'OSR_310 &amp; 491_1NGRCS9'!$A:$C,'OSR_310 &amp; 491_1NGRCS9'!$1:$10</definedName>
    <definedName name="_xlnm.Print_Titles" localSheetId="31">'OSR_310 (2)_...6e684f08_1FLCNJG'!$A:$C,'OSR_310 (2)_...6e684f08_1FLCNJG'!$1:$10</definedName>
    <definedName name="_xlnm.Print_Titles" localSheetId="39">'OSR_310 (2)_...8cac1423_1JTU33X'!$A:$C,'OSR_310 (2)_...8cac1423_1JTU33X'!$1:$10</definedName>
    <definedName name="_xlnm.Print_Titles" localSheetId="28">OSR_310_1CMTOSB!$A:$C,OSR_310_1CMTOSB!$1:$10</definedName>
    <definedName name="_xlnm.Print_Titles" localSheetId="33">'OSR_330 (2)_...8a14c83e_1NSH7XI'!$A:$C,'OSR_330 (2)_...8a14c83e_1NSH7XI'!$1:$10</definedName>
    <definedName name="_xlnm.Print_Titles" localSheetId="30">OSR_330_10VFP5Y!$A:$C,OSR_330_10VFP5Y!$1:$10</definedName>
    <definedName name="_xlnm.Print_Titles" localSheetId="37">'OSR_331 (2)_...7280af70_1P5SPLT'!$A:$C,'OSR_331 (2)_...7280af70_1P5SPLT'!$1:$10</definedName>
    <definedName name="_xlnm.Print_Titles" localSheetId="34">OSR_331_10VKQAJ!$A:$C,OSR_331_10VKQAJ!$1:$10</definedName>
    <definedName name="_xlnm.Print_Titles" localSheetId="36">OSR_332_6NDVBW!$A:$C,OSR_332_6NDVBW!$1:$10</definedName>
    <definedName name="_xlnm.Print_Titles" localSheetId="41">'OSR_491 (2)_0...c51cc666_QIOT67'!$A:$C,'OSR_491 (2)_0...c51cc666_QIOT67'!$1:$10</definedName>
    <definedName name="_xlnm.Print_Titles" localSheetId="42">OSR_491_9Z9JH5!$A:$C,OSR_491_9Z9JH5!$1:$10</definedName>
    <definedName name="_xlnm.Print_Titles" localSheetId="47">'OSR_492 (2)_...cd97c6a6_13HYXEV'!$A:$C,'OSR_492 (2)_...cd97c6a6_13HYXEV'!$1:$10</definedName>
    <definedName name="_xlnm.Print_Titles" localSheetId="44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11">'OSR_Div 1 (2)...789fe994_2NV3KA'!$A:$C,'OSR_Div 1 (2)...789fe994_2NV3KA'!$1:$10</definedName>
    <definedName name="_xlnm.Print_Titles" localSheetId="6">'OSR_Div 1_7H47HR'!$A:$C,'OSR_Div 1_7H47HR'!$1:$10</definedName>
    <definedName name="_xlnm.Print_Titles" localSheetId="10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24">'OSR_Div 3 (2)...b7db256a_40ITCB'!$A:$C,'OSR_Div 3 (2)...b7db256a_40ITCB'!$1:$10</definedName>
    <definedName name="_xlnm.Print_Titles" localSheetId="20">'OSR_Div 3_18723PH'!$A:$C,'OSR_Div 3_18723PH'!$1:$10</definedName>
    <definedName name="_xlnm.Print_Titles" localSheetId="45">'OSR_Div 4 (2)...1a9a4454_CQFRNE'!$A:$C,'OSR_Div 4 (2)...1a9a4454_CQFRNE'!$1:$10</definedName>
    <definedName name="_xlnm.Print_Titles" localSheetId="43">'OSR_Div 4 (2...2533da42_174R6QX'!$A:$C,'OSR_Div 4 (2...2533da42_174R6QX'!$1:$10</definedName>
    <definedName name="_xlnm.Print_Titles" localSheetId="38">'OSR_Div 4_1740TMT'!$A:$C,'OSR_Div 4_1740TMT'!$1:$10</definedName>
    <definedName name="_xlnm.Print_Titles" localSheetId="49">'OSR_Div 5 (2...09141158_1BG9FGV'!$A:$C,'OSR_Div 5 (2...09141158_1BG9FGV'!$1:$10</definedName>
    <definedName name="_xlnm.Print_Titles" localSheetId="46">'OSR_Div 5_16NAZO2'!$A:$C,'OSR_Div 5_16NAZO2'!$1:$10</definedName>
    <definedName name="_xlnm.Print_Titles" localSheetId="48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5" i="110" l="1"/>
  <c r="Z75" i="110" s="1"/>
  <c r="N75" i="110"/>
  <c r="L75" i="110"/>
  <c r="T71" i="110"/>
  <c r="Z71" i="110" s="1"/>
  <c r="P71" i="110"/>
  <c r="X71" i="110" s="1"/>
  <c r="H71" i="110"/>
  <c r="H69" i="110" s="1"/>
  <c r="D71" i="110"/>
  <c r="L71" i="110" s="1"/>
  <c r="B71" i="110"/>
  <c r="T70" i="110"/>
  <c r="P70" i="110"/>
  <c r="L70" i="110"/>
  <c r="H70" i="110"/>
  <c r="D70" i="110"/>
  <c r="B70" i="110"/>
  <c r="T69" i="110"/>
  <c r="L69" i="110"/>
  <c r="N69" i="110" s="1"/>
  <c r="D69" i="110"/>
  <c r="X67" i="110"/>
  <c r="Z67" i="110" s="1"/>
  <c r="N67" i="110"/>
  <c r="L67" i="110"/>
  <c r="B67" i="110"/>
  <c r="Z66" i="110"/>
  <c r="X66" i="110"/>
  <c r="T66" i="110"/>
  <c r="P66" i="110"/>
  <c r="H66" i="110"/>
  <c r="D66" i="110"/>
  <c r="B66" i="110"/>
  <c r="X65" i="110"/>
  <c r="Z65" i="110" s="1"/>
  <c r="L65" i="110"/>
  <c r="N65" i="110" s="1"/>
  <c r="B65" i="110"/>
  <c r="Z64" i="110"/>
  <c r="T64" i="110"/>
  <c r="X64" i="110" s="1"/>
  <c r="P64" i="110"/>
  <c r="H64" i="110"/>
  <c r="D64" i="110"/>
  <c r="L64" i="110" s="1"/>
  <c r="B64" i="110"/>
  <c r="X63" i="110"/>
  <c r="Z63" i="110" s="1"/>
  <c r="L63" i="110"/>
  <c r="N63" i="110" s="1"/>
  <c r="B63" i="110"/>
  <c r="X62" i="110"/>
  <c r="Z62" i="110" s="1"/>
  <c r="N62" i="110"/>
  <c r="L62" i="110"/>
  <c r="B62" i="110"/>
  <c r="X61" i="110"/>
  <c r="Z61" i="110" s="1"/>
  <c r="L61" i="110"/>
  <c r="N61" i="110" s="1"/>
  <c r="B61" i="110"/>
  <c r="Z60" i="110"/>
  <c r="X60" i="110"/>
  <c r="N60" i="110"/>
  <c r="L60" i="110"/>
  <c r="B60" i="110"/>
  <c r="X59" i="110"/>
  <c r="T59" i="110"/>
  <c r="Z59" i="110" s="1"/>
  <c r="P59" i="110"/>
  <c r="H59" i="110"/>
  <c r="D59" i="110"/>
  <c r="L59" i="110" s="1"/>
  <c r="B59" i="110"/>
  <c r="Z58" i="110"/>
  <c r="X58" i="110"/>
  <c r="N58" i="110"/>
  <c r="L58" i="110"/>
  <c r="B58" i="110"/>
  <c r="Z57" i="110"/>
  <c r="X57" i="110"/>
  <c r="T57" i="110"/>
  <c r="P57" i="110"/>
  <c r="H57" i="110"/>
  <c r="N57" i="110" s="1"/>
  <c r="D57" i="110"/>
  <c r="L57" i="110" s="1"/>
  <c r="B57" i="110"/>
  <c r="Z56" i="110"/>
  <c r="X56" i="110"/>
  <c r="N56" i="110"/>
  <c r="L56" i="110"/>
  <c r="B56" i="110"/>
  <c r="Z55" i="110"/>
  <c r="X55" i="110"/>
  <c r="L55" i="110"/>
  <c r="N55" i="110" s="1"/>
  <c r="B55" i="110"/>
  <c r="Z54" i="110"/>
  <c r="X54" i="110"/>
  <c r="N54" i="110"/>
  <c r="L54" i="110"/>
  <c r="B54" i="110"/>
  <c r="T53" i="110"/>
  <c r="Z53" i="110" s="1"/>
  <c r="P53" i="110"/>
  <c r="X53" i="110" s="1"/>
  <c r="N53" i="110"/>
  <c r="H53" i="110"/>
  <c r="D53" i="110"/>
  <c r="L53" i="110" s="1"/>
  <c r="B53" i="110"/>
  <c r="Z52" i="110"/>
  <c r="X52" i="110"/>
  <c r="L52" i="110"/>
  <c r="N52" i="110" s="1"/>
  <c r="B52" i="110"/>
  <c r="X51" i="110"/>
  <c r="T51" i="110"/>
  <c r="Z51" i="110" s="1"/>
  <c r="P51" i="110"/>
  <c r="H51" i="110"/>
  <c r="D51" i="110"/>
  <c r="L51" i="110" s="1"/>
  <c r="B51" i="110"/>
  <c r="Z50" i="110"/>
  <c r="X50" i="110"/>
  <c r="N50" i="110"/>
  <c r="L50" i="110"/>
  <c r="B50" i="110"/>
  <c r="Z49" i="110"/>
  <c r="X49" i="110"/>
  <c r="T49" i="110"/>
  <c r="P49" i="110"/>
  <c r="H49" i="110"/>
  <c r="N49" i="110" s="1"/>
  <c r="D49" i="110"/>
  <c r="L49" i="110" s="1"/>
  <c r="B49" i="110"/>
  <c r="Z48" i="110"/>
  <c r="X48" i="110"/>
  <c r="N48" i="110"/>
  <c r="L48" i="110"/>
  <c r="B48" i="110"/>
  <c r="T47" i="110"/>
  <c r="P47" i="110"/>
  <c r="H47" i="110"/>
  <c r="D47" i="110"/>
  <c r="L47" i="110" s="1"/>
  <c r="N47" i="110" s="1"/>
  <c r="B47" i="110"/>
  <c r="X46" i="110"/>
  <c r="Z46" i="110" s="1"/>
  <c r="N46" i="110"/>
  <c r="L46" i="110"/>
  <c r="B46" i="110"/>
  <c r="T45" i="110"/>
  <c r="P45" i="110"/>
  <c r="X45" i="110" s="1"/>
  <c r="L45" i="110"/>
  <c r="H45" i="110"/>
  <c r="N45" i="110" s="1"/>
  <c r="D45" i="110"/>
  <c r="B45" i="110"/>
  <c r="X44" i="110"/>
  <c r="Z44" i="110" s="1"/>
  <c r="N44" i="110"/>
  <c r="L44" i="110"/>
  <c r="B44" i="110"/>
  <c r="X43" i="110"/>
  <c r="Z43" i="110" s="1"/>
  <c r="N43" i="110"/>
  <c r="L43" i="110"/>
  <c r="B43" i="110"/>
  <c r="Z42" i="110"/>
  <c r="X42" i="110"/>
  <c r="T42" i="110"/>
  <c r="P42" i="110"/>
  <c r="L42" i="110"/>
  <c r="H42" i="110"/>
  <c r="N42" i="110" s="1"/>
  <c r="D42" i="110"/>
  <c r="B42" i="110"/>
  <c r="X41" i="110"/>
  <c r="Z41" i="110" s="1"/>
  <c r="N41" i="110"/>
  <c r="L41" i="110"/>
  <c r="B41" i="110"/>
  <c r="Z40" i="110"/>
  <c r="T40" i="110"/>
  <c r="X40" i="110" s="1"/>
  <c r="P40" i="110"/>
  <c r="H40" i="110"/>
  <c r="N40" i="110" s="1"/>
  <c r="D40" i="110"/>
  <c r="L40" i="110" s="1"/>
  <c r="B40" i="110"/>
  <c r="X39" i="110"/>
  <c r="Z39" i="110" s="1"/>
  <c r="L39" i="110"/>
  <c r="N39" i="110" s="1"/>
  <c r="B39" i="110"/>
  <c r="X38" i="110"/>
  <c r="Z38" i="110" s="1"/>
  <c r="T38" i="110"/>
  <c r="P38" i="110"/>
  <c r="H38" i="110"/>
  <c r="D38" i="110"/>
  <c r="L38" i="110" s="1"/>
  <c r="N38" i="110" s="1"/>
  <c r="B38" i="110"/>
  <c r="X37" i="110"/>
  <c r="Z37" i="110" s="1"/>
  <c r="L37" i="110"/>
  <c r="N37" i="110" s="1"/>
  <c r="B37" i="110"/>
  <c r="T36" i="110"/>
  <c r="P36" i="110"/>
  <c r="N36" i="110"/>
  <c r="L36" i="110"/>
  <c r="H36" i="110"/>
  <c r="D36" i="110"/>
  <c r="B36" i="110"/>
  <c r="Z35" i="110"/>
  <c r="X35" i="110"/>
  <c r="L35" i="110"/>
  <c r="N35" i="110" s="1"/>
  <c r="B35" i="110"/>
  <c r="X34" i="110"/>
  <c r="Z34" i="110" s="1"/>
  <c r="L34" i="110"/>
  <c r="N34" i="110" s="1"/>
  <c r="J34" i="110"/>
  <c r="B34" i="110"/>
  <c r="Z33" i="110"/>
  <c r="X33" i="110"/>
  <c r="L33" i="110"/>
  <c r="N33" i="110" s="1"/>
  <c r="B33" i="110"/>
  <c r="Z32" i="110"/>
  <c r="X32" i="110"/>
  <c r="N32" i="110"/>
  <c r="L32" i="110"/>
  <c r="B32" i="110"/>
  <c r="Z31" i="110"/>
  <c r="X31" i="110"/>
  <c r="N31" i="110"/>
  <c r="L31" i="110"/>
  <c r="B31" i="110"/>
  <c r="X30" i="110"/>
  <c r="Z30" i="110" s="1"/>
  <c r="L30" i="110"/>
  <c r="N30" i="110" s="1"/>
  <c r="B30" i="110"/>
  <c r="T29" i="110"/>
  <c r="P29" i="110"/>
  <c r="X29" i="110" s="1"/>
  <c r="Z29" i="110" s="1"/>
  <c r="H29" i="110"/>
  <c r="D29" i="110"/>
  <c r="B29" i="110"/>
  <c r="Z28" i="110"/>
  <c r="X28" i="110"/>
  <c r="L28" i="110"/>
  <c r="N28" i="110" s="1"/>
  <c r="B28" i="110"/>
  <c r="X27" i="110"/>
  <c r="Z27" i="110" s="1"/>
  <c r="L27" i="110"/>
  <c r="N27" i="110" s="1"/>
  <c r="B27" i="110"/>
  <c r="X26" i="110"/>
  <c r="Z26" i="110" s="1"/>
  <c r="N26" i="110"/>
  <c r="L26" i="110"/>
  <c r="B26" i="110"/>
  <c r="X25" i="110"/>
  <c r="Z25" i="110" s="1"/>
  <c r="N25" i="110"/>
  <c r="L25" i="110"/>
  <c r="B25" i="110"/>
  <c r="Z24" i="110"/>
  <c r="X24" i="110"/>
  <c r="N24" i="110"/>
  <c r="L24" i="110"/>
  <c r="B24" i="110"/>
  <c r="X23" i="110"/>
  <c r="Z23" i="110" s="1"/>
  <c r="L23" i="110"/>
  <c r="N23" i="110" s="1"/>
  <c r="B23" i="110"/>
  <c r="X22" i="110"/>
  <c r="Z22" i="110" s="1"/>
  <c r="V22" i="110"/>
  <c r="N22" i="110"/>
  <c r="L22" i="110"/>
  <c r="B22" i="110"/>
  <c r="X21" i="110"/>
  <c r="Z21" i="110" s="1"/>
  <c r="L21" i="110"/>
  <c r="N21" i="110" s="1"/>
  <c r="B21" i="110"/>
  <c r="T20" i="110"/>
  <c r="Z20" i="110" s="1"/>
  <c r="P20" i="110"/>
  <c r="X20" i="110" s="1"/>
  <c r="L20" i="110"/>
  <c r="H20" i="110"/>
  <c r="D20" i="110"/>
  <c r="B20" i="110"/>
  <c r="T19" i="110"/>
  <c r="P19" i="110"/>
  <c r="L19" i="110"/>
  <c r="N19" i="110" s="1"/>
  <c r="H19" i="110"/>
  <c r="D19" i="110"/>
  <c r="T15" i="110"/>
  <c r="Z15" i="110" s="1"/>
  <c r="P15" i="110"/>
  <c r="X15" i="110" s="1"/>
  <c r="H15" i="110"/>
  <c r="L15" i="110" s="1"/>
  <c r="D15" i="110"/>
  <c r="T13" i="110"/>
  <c r="P13" i="110"/>
  <c r="H13" i="110"/>
  <c r="H12" i="110" s="1"/>
  <c r="D13" i="110"/>
  <c r="D12" i="110" s="1"/>
  <c r="F19" i="110" s="1"/>
  <c r="B13" i="110"/>
  <c r="T12" i="110"/>
  <c r="V26" i="110" s="1"/>
  <c r="D6" i="110"/>
  <c r="D4" i="110"/>
  <c r="V44" i="109"/>
  <c r="Z39" i="109"/>
  <c r="X39" i="109"/>
  <c r="V39" i="109"/>
  <c r="R39" i="109"/>
  <c r="N39" i="109"/>
  <c r="L39" i="109"/>
  <c r="V37" i="109"/>
  <c r="R37" i="109"/>
  <c r="V35" i="109"/>
  <c r="T35" i="109"/>
  <c r="P35" i="109"/>
  <c r="X35" i="109" s="1"/>
  <c r="Z35" i="109" s="1"/>
  <c r="H35" i="109"/>
  <c r="D35" i="109"/>
  <c r="L35" i="109" s="1"/>
  <c r="N35" i="109" s="1"/>
  <c r="B35" i="109"/>
  <c r="V34" i="109"/>
  <c r="T34" i="109"/>
  <c r="R34" i="109"/>
  <c r="P34" i="109"/>
  <c r="X34" i="109" s="1"/>
  <c r="L34" i="109"/>
  <c r="H34" i="109"/>
  <c r="N34" i="109" s="1"/>
  <c r="D34" i="109"/>
  <c r="D33" i="109" s="1"/>
  <c r="L33" i="109" s="1"/>
  <c r="N33" i="109" s="1"/>
  <c r="B34" i="109"/>
  <c r="V33" i="109"/>
  <c r="T33" i="109"/>
  <c r="R33" i="109"/>
  <c r="H33" i="109"/>
  <c r="Z31" i="109"/>
  <c r="X31" i="109"/>
  <c r="V31" i="109"/>
  <c r="R31" i="109"/>
  <c r="N31" i="109"/>
  <c r="L31" i="109"/>
  <c r="B31" i="109"/>
  <c r="X30" i="109"/>
  <c r="Z30" i="109" s="1"/>
  <c r="T30" i="109"/>
  <c r="P30" i="109"/>
  <c r="H30" i="109"/>
  <c r="D30" i="109"/>
  <c r="B30" i="109"/>
  <c r="Z29" i="109"/>
  <c r="X29" i="109"/>
  <c r="V29" i="109"/>
  <c r="N29" i="109"/>
  <c r="L29" i="109"/>
  <c r="B29" i="109"/>
  <c r="X28" i="109"/>
  <c r="Z28" i="109" s="1"/>
  <c r="V28" i="109"/>
  <c r="R28" i="109"/>
  <c r="L28" i="109"/>
  <c r="N28" i="109" s="1"/>
  <c r="B28" i="109"/>
  <c r="V27" i="109"/>
  <c r="T27" i="109"/>
  <c r="P27" i="109"/>
  <c r="X27" i="109" s="1"/>
  <c r="Z27" i="109" s="1"/>
  <c r="H27" i="109"/>
  <c r="D27" i="109"/>
  <c r="L27" i="109" s="1"/>
  <c r="N27" i="109" s="1"/>
  <c r="B27" i="109"/>
  <c r="X26" i="109"/>
  <c r="Z26" i="109" s="1"/>
  <c r="L26" i="109"/>
  <c r="N26" i="109" s="1"/>
  <c r="B26" i="109"/>
  <c r="X25" i="109"/>
  <c r="Z25" i="109" s="1"/>
  <c r="V25" i="109"/>
  <c r="N25" i="109"/>
  <c r="L25" i="109"/>
  <c r="B25" i="109"/>
  <c r="X24" i="109"/>
  <c r="Z24" i="109" s="1"/>
  <c r="V24" i="109"/>
  <c r="N24" i="109"/>
  <c r="L24" i="109"/>
  <c r="B24" i="109"/>
  <c r="X23" i="109"/>
  <c r="Z23" i="109" s="1"/>
  <c r="V23" i="109"/>
  <c r="L23" i="109"/>
  <c r="N23" i="109" s="1"/>
  <c r="B23" i="109"/>
  <c r="X22" i="109"/>
  <c r="Z22" i="109" s="1"/>
  <c r="L22" i="109"/>
  <c r="N22" i="109" s="1"/>
  <c r="B22" i="109"/>
  <c r="X21" i="109"/>
  <c r="Z21" i="109" s="1"/>
  <c r="V21" i="109"/>
  <c r="N21" i="109"/>
  <c r="L21" i="109"/>
  <c r="B21" i="109"/>
  <c r="X20" i="109"/>
  <c r="Z20" i="109" s="1"/>
  <c r="V20" i="109"/>
  <c r="N20" i="109"/>
  <c r="L20" i="109"/>
  <c r="B20" i="109"/>
  <c r="X19" i="109"/>
  <c r="Z19" i="109" s="1"/>
  <c r="V19" i="109"/>
  <c r="T19" i="109"/>
  <c r="P19" i="109"/>
  <c r="L19" i="109"/>
  <c r="N19" i="109" s="1"/>
  <c r="H19" i="109"/>
  <c r="D19" i="109"/>
  <c r="B19" i="109"/>
  <c r="Z18" i="109"/>
  <c r="X18" i="109"/>
  <c r="T18" i="109"/>
  <c r="R18" i="109"/>
  <c r="P18" i="109"/>
  <c r="H18" i="109"/>
  <c r="L18" i="109" s="1"/>
  <c r="N18" i="109" s="1"/>
  <c r="D18" i="109"/>
  <c r="R16" i="109"/>
  <c r="H16" i="109"/>
  <c r="Z14" i="109"/>
  <c r="X14" i="109"/>
  <c r="T14" i="109"/>
  <c r="T16" i="109" s="1"/>
  <c r="T37" i="109" s="1"/>
  <c r="R14" i="109"/>
  <c r="P14" i="109"/>
  <c r="H14" i="109"/>
  <c r="N14" i="109" s="1"/>
  <c r="D14" i="109"/>
  <c r="Z12" i="109"/>
  <c r="X12" i="109"/>
  <c r="T12" i="109"/>
  <c r="V41" i="109" s="1"/>
  <c r="P12" i="109"/>
  <c r="R27" i="109" s="1"/>
  <c r="H12" i="109"/>
  <c r="J35" i="109" s="1"/>
  <c r="D12" i="109"/>
  <c r="F21" i="109" s="1"/>
  <c r="D6" i="109"/>
  <c r="D4" i="109"/>
  <c r="X89" i="108"/>
  <c r="Z89" i="108" s="1"/>
  <c r="L89" i="108"/>
  <c r="N89" i="108" s="1"/>
  <c r="T85" i="108"/>
  <c r="Z85" i="108" s="1"/>
  <c r="P85" i="108"/>
  <c r="N85" i="108"/>
  <c r="L85" i="108"/>
  <c r="H85" i="108"/>
  <c r="D85" i="108"/>
  <c r="X83" i="108"/>
  <c r="Z83" i="108" s="1"/>
  <c r="N83" i="108"/>
  <c r="L83" i="108"/>
  <c r="B83" i="108"/>
  <c r="X82" i="108"/>
  <c r="Z82" i="108" s="1"/>
  <c r="N82" i="108"/>
  <c r="L82" i="108"/>
  <c r="B82" i="108"/>
  <c r="X81" i="108"/>
  <c r="Z81" i="108" s="1"/>
  <c r="T81" i="108"/>
  <c r="P81" i="108"/>
  <c r="H81" i="108"/>
  <c r="L81" i="108" s="1"/>
  <c r="N81" i="108" s="1"/>
  <c r="D81" i="108"/>
  <c r="B81" i="108"/>
  <c r="Z80" i="108"/>
  <c r="X80" i="108"/>
  <c r="N80" i="108"/>
  <c r="L80" i="108"/>
  <c r="B80" i="108"/>
  <c r="T79" i="108"/>
  <c r="P79" i="108"/>
  <c r="H79" i="108"/>
  <c r="N79" i="108" s="1"/>
  <c r="D79" i="108"/>
  <c r="B79" i="108"/>
  <c r="X78" i="108"/>
  <c r="Z78" i="108" s="1"/>
  <c r="L78" i="108"/>
  <c r="N78" i="108" s="1"/>
  <c r="B78" i="108"/>
  <c r="X77" i="108"/>
  <c r="T77" i="108"/>
  <c r="Z77" i="108" s="1"/>
  <c r="P77" i="108"/>
  <c r="H77" i="108"/>
  <c r="D77" i="108"/>
  <c r="L77" i="108" s="1"/>
  <c r="B77" i="108"/>
  <c r="Z76" i="108"/>
  <c r="X76" i="108"/>
  <c r="N76" i="108"/>
  <c r="L76" i="108"/>
  <c r="B76" i="108"/>
  <c r="Z75" i="108"/>
  <c r="X75" i="108"/>
  <c r="N75" i="108"/>
  <c r="L75" i="108"/>
  <c r="B75" i="108"/>
  <c r="X74" i="108"/>
  <c r="Z74" i="108" s="1"/>
  <c r="N74" i="108"/>
  <c r="L74" i="108"/>
  <c r="B74" i="108"/>
  <c r="Z73" i="108"/>
  <c r="X73" i="108"/>
  <c r="N73" i="108"/>
  <c r="L73" i="108"/>
  <c r="B73" i="108"/>
  <c r="Z72" i="108"/>
  <c r="X72" i="108"/>
  <c r="N72" i="108"/>
  <c r="L72" i="108"/>
  <c r="B72" i="108"/>
  <c r="X71" i="108"/>
  <c r="Z71" i="108" s="1"/>
  <c r="L71" i="108"/>
  <c r="N71" i="108" s="1"/>
  <c r="B71" i="108"/>
  <c r="X70" i="108"/>
  <c r="Z70" i="108" s="1"/>
  <c r="N70" i="108"/>
  <c r="L70" i="108"/>
  <c r="B70" i="108"/>
  <c r="Z69" i="108"/>
  <c r="X69" i="108"/>
  <c r="T69" i="108"/>
  <c r="P69" i="108"/>
  <c r="N69" i="108"/>
  <c r="L69" i="108"/>
  <c r="H69" i="108"/>
  <c r="D69" i="108"/>
  <c r="B69" i="108"/>
  <c r="Z68" i="108"/>
  <c r="X68" i="108"/>
  <c r="L68" i="108"/>
  <c r="N68" i="108" s="1"/>
  <c r="B68" i="108"/>
  <c r="X67" i="108"/>
  <c r="Z67" i="108" s="1"/>
  <c r="L67" i="108"/>
  <c r="N67" i="108" s="1"/>
  <c r="B67" i="108"/>
  <c r="Z66" i="108"/>
  <c r="X66" i="108"/>
  <c r="N66" i="108"/>
  <c r="L66" i="108"/>
  <c r="B66" i="108"/>
  <c r="T65" i="108"/>
  <c r="P65" i="108"/>
  <c r="X65" i="108" s="1"/>
  <c r="L65" i="108"/>
  <c r="H65" i="108"/>
  <c r="D65" i="108"/>
  <c r="B65" i="108"/>
  <c r="X64" i="108"/>
  <c r="Z64" i="108" s="1"/>
  <c r="N64" i="108"/>
  <c r="L64" i="108"/>
  <c r="B64" i="108"/>
  <c r="X63" i="108"/>
  <c r="Z63" i="108" s="1"/>
  <c r="N63" i="108"/>
  <c r="L63" i="108"/>
  <c r="B63" i="108"/>
  <c r="Z62" i="108"/>
  <c r="X62" i="108"/>
  <c r="N62" i="108"/>
  <c r="L62" i="108"/>
  <c r="B62" i="108"/>
  <c r="T61" i="108"/>
  <c r="P61" i="108"/>
  <c r="H61" i="108"/>
  <c r="N61" i="108" s="1"/>
  <c r="D61" i="108"/>
  <c r="L61" i="108" s="1"/>
  <c r="B61" i="108"/>
  <c r="Z60" i="108"/>
  <c r="X60" i="108"/>
  <c r="N60" i="108"/>
  <c r="L60" i="108"/>
  <c r="B60" i="108"/>
  <c r="T59" i="108"/>
  <c r="P59" i="108"/>
  <c r="N59" i="108"/>
  <c r="L59" i="108"/>
  <c r="H59" i="108"/>
  <c r="D59" i="108"/>
  <c r="B59" i="108"/>
  <c r="Z58" i="108"/>
  <c r="X58" i="108"/>
  <c r="L58" i="108"/>
  <c r="N58" i="108" s="1"/>
  <c r="B58" i="108"/>
  <c r="T57" i="108"/>
  <c r="P57" i="108"/>
  <c r="X57" i="108" s="1"/>
  <c r="H57" i="108"/>
  <c r="L57" i="108" s="1"/>
  <c r="D57" i="108"/>
  <c r="B57" i="108"/>
  <c r="X56" i="108"/>
  <c r="Z56" i="108" s="1"/>
  <c r="N56" i="108"/>
  <c r="L56" i="108"/>
  <c r="B56" i="108"/>
  <c r="T55" i="108"/>
  <c r="P55" i="108"/>
  <c r="L55" i="108"/>
  <c r="H55" i="108"/>
  <c r="D55" i="108"/>
  <c r="B55" i="108"/>
  <c r="X54" i="108"/>
  <c r="Z54" i="108" s="1"/>
  <c r="N54" i="108"/>
  <c r="L54" i="108"/>
  <c r="B54" i="108"/>
  <c r="Z53" i="108"/>
  <c r="X53" i="108"/>
  <c r="T53" i="108"/>
  <c r="P53" i="108"/>
  <c r="H53" i="108"/>
  <c r="N53" i="108" s="1"/>
  <c r="D53" i="108"/>
  <c r="B53" i="108"/>
  <c r="Z52" i="108"/>
  <c r="X52" i="108"/>
  <c r="N52" i="108"/>
  <c r="L52" i="108"/>
  <c r="B52" i="108"/>
  <c r="T51" i="108"/>
  <c r="P51" i="108"/>
  <c r="N51" i="108"/>
  <c r="L51" i="108"/>
  <c r="H51" i="108"/>
  <c r="D51" i="108"/>
  <c r="B51" i="108"/>
  <c r="Z50" i="108"/>
  <c r="X50" i="108"/>
  <c r="L50" i="108"/>
  <c r="N50" i="108" s="1"/>
  <c r="B50" i="108"/>
  <c r="X49" i="108"/>
  <c r="T49" i="108"/>
  <c r="P49" i="108"/>
  <c r="H49" i="108"/>
  <c r="D49" i="108"/>
  <c r="L49" i="108" s="1"/>
  <c r="B49" i="108"/>
  <c r="Z48" i="108"/>
  <c r="X48" i="108"/>
  <c r="N48" i="108"/>
  <c r="L48" i="108"/>
  <c r="B48" i="108"/>
  <c r="Z47" i="108"/>
  <c r="T47" i="108"/>
  <c r="P47" i="108"/>
  <c r="X47" i="108" s="1"/>
  <c r="N47" i="108"/>
  <c r="L47" i="108"/>
  <c r="H47" i="108"/>
  <c r="D47" i="108"/>
  <c r="B47" i="108"/>
  <c r="Z46" i="108"/>
  <c r="X46" i="108"/>
  <c r="N46" i="108"/>
  <c r="L46" i="108"/>
  <c r="B46" i="108"/>
  <c r="Z45" i="108"/>
  <c r="X45" i="108"/>
  <c r="T45" i="108"/>
  <c r="P45" i="108"/>
  <c r="H45" i="108"/>
  <c r="D45" i="108"/>
  <c r="L45" i="108" s="1"/>
  <c r="B45" i="108"/>
  <c r="Z44" i="108"/>
  <c r="X44" i="108"/>
  <c r="N44" i="108"/>
  <c r="L44" i="108"/>
  <c r="B44" i="108"/>
  <c r="T43" i="108"/>
  <c r="P43" i="108"/>
  <c r="X43" i="108" s="1"/>
  <c r="H43" i="108"/>
  <c r="D43" i="108"/>
  <c r="B43" i="108"/>
  <c r="Z42" i="108"/>
  <c r="X42" i="108"/>
  <c r="N42" i="108"/>
  <c r="L42" i="108"/>
  <c r="B42" i="108"/>
  <c r="Z41" i="108"/>
  <c r="X41" i="108"/>
  <c r="T41" i="108"/>
  <c r="P41" i="108"/>
  <c r="H41" i="108"/>
  <c r="D41" i="108"/>
  <c r="L41" i="108" s="1"/>
  <c r="B41" i="108"/>
  <c r="Z40" i="108"/>
  <c r="X40" i="108"/>
  <c r="N40" i="108"/>
  <c r="L40" i="108"/>
  <c r="B40" i="108"/>
  <c r="X39" i="108"/>
  <c r="Z39" i="108" s="1"/>
  <c r="L39" i="108"/>
  <c r="N39" i="108" s="1"/>
  <c r="B39" i="108"/>
  <c r="Z38" i="108"/>
  <c r="X38" i="108"/>
  <c r="N38" i="108"/>
  <c r="L38" i="108"/>
  <c r="B38" i="108"/>
  <c r="Z37" i="108"/>
  <c r="X37" i="108"/>
  <c r="L37" i="108"/>
  <c r="N37" i="108" s="1"/>
  <c r="B37" i="108"/>
  <c r="Z36" i="108"/>
  <c r="X36" i="108"/>
  <c r="L36" i="108"/>
  <c r="N36" i="108" s="1"/>
  <c r="B36" i="108"/>
  <c r="X35" i="108"/>
  <c r="Z35" i="108" s="1"/>
  <c r="L35" i="108"/>
  <c r="N35" i="108" s="1"/>
  <c r="B35" i="108"/>
  <c r="T34" i="108"/>
  <c r="P34" i="108"/>
  <c r="X34" i="108" s="1"/>
  <c r="Z34" i="108" s="1"/>
  <c r="H34" i="108"/>
  <c r="D34" i="108"/>
  <c r="B34" i="108"/>
  <c r="X33" i="108"/>
  <c r="Z33" i="108" s="1"/>
  <c r="L33" i="108"/>
  <c r="N33" i="108" s="1"/>
  <c r="B33" i="108"/>
  <c r="X32" i="108"/>
  <c r="Z32" i="108" s="1"/>
  <c r="N32" i="108"/>
  <c r="L32" i="108"/>
  <c r="B32" i="108"/>
  <c r="X31" i="108"/>
  <c r="Z31" i="108" s="1"/>
  <c r="N31" i="108"/>
  <c r="L31" i="108"/>
  <c r="B31" i="108"/>
  <c r="Z30" i="108"/>
  <c r="X30" i="108"/>
  <c r="L30" i="108"/>
  <c r="N30" i="108" s="1"/>
  <c r="B30" i="108"/>
  <c r="X29" i="108"/>
  <c r="Z29" i="108" s="1"/>
  <c r="N29" i="108"/>
  <c r="L29" i="108"/>
  <c r="B29" i="108"/>
  <c r="Z28" i="108"/>
  <c r="X28" i="108"/>
  <c r="N28" i="108"/>
  <c r="L28" i="108"/>
  <c r="B28" i="108"/>
  <c r="X27" i="108"/>
  <c r="Z27" i="108" s="1"/>
  <c r="L27" i="108"/>
  <c r="N27" i="108" s="1"/>
  <c r="B27" i="108"/>
  <c r="X26" i="108"/>
  <c r="Z26" i="108" s="1"/>
  <c r="N26" i="108"/>
  <c r="L26" i="108"/>
  <c r="B26" i="108"/>
  <c r="X25" i="108"/>
  <c r="Z25" i="108" s="1"/>
  <c r="L25" i="108"/>
  <c r="N25" i="108" s="1"/>
  <c r="B25" i="108"/>
  <c r="X24" i="108"/>
  <c r="Z24" i="108" s="1"/>
  <c r="T24" i="108"/>
  <c r="P24" i="108"/>
  <c r="H24" i="108"/>
  <c r="D24" i="108"/>
  <c r="L24" i="108" s="1"/>
  <c r="N24" i="108" s="1"/>
  <c r="B24" i="108"/>
  <c r="Z23" i="108"/>
  <c r="T23" i="108"/>
  <c r="P23" i="108"/>
  <c r="X23" i="108" s="1"/>
  <c r="H23" i="108"/>
  <c r="D23" i="108"/>
  <c r="L23" i="108" s="1"/>
  <c r="Z19" i="108"/>
  <c r="X19" i="108"/>
  <c r="L19" i="108"/>
  <c r="N19" i="108" s="1"/>
  <c r="B19" i="108"/>
  <c r="X18" i="108"/>
  <c r="Z18" i="108" s="1"/>
  <c r="N18" i="108"/>
  <c r="L18" i="108"/>
  <c r="B18" i="108"/>
  <c r="T17" i="108"/>
  <c r="P17" i="108"/>
  <c r="X17" i="108" s="1"/>
  <c r="N17" i="108"/>
  <c r="L17" i="108"/>
  <c r="H17" i="108"/>
  <c r="D17" i="108"/>
  <c r="X15" i="108"/>
  <c r="Z15" i="108" s="1"/>
  <c r="T15" i="108"/>
  <c r="P15" i="108"/>
  <c r="L15" i="108"/>
  <c r="H15" i="108"/>
  <c r="N15" i="108" s="1"/>
  <c r="D15" i="108"/>
  <c r="B15" i="108"/>
  <c r="T14" i="108"/>
  <c r="P14" i="108"/>
  <c r="X14" i="108" s="1"/>
  <c r="Z14" i="108" s="1"/>
  <c r="H14" i="108"/>
  <c r="H12" i="108" s="1"/>
  <c r="J39" i="108" s="1"/>
  <c r="D14" i="108"/>
  <c r="B14" i="108"/>
  <c r="X13" i="108"/>
  <c r="T13" i="108"/>
  <c r="T12" i="108" s="1"/>
  <c r="P13" i="108"/>
  <c r="P12" i="108" s="1"/>
  <c r="L13" i="108"/>
  <c r="H13" i="108"/>
  <c r="D13" i="108"/>
  <c r="B13" i="108"/>
  <c r="D6" i="108"/>
  <c r="D4" i="108"/>
  <c r="J31" i="107"/>
  <c r="F31" i="107"/>
  <c r="J28" i="107"/>
  <c r="F28" i="107"/>
  <c r="Z26" i="107"/>
  <c r="X26" i="107"/>
  <c r="N26" i="107"/>
  <c r="L26" i="107"/>
  <c r="J26" i="107"/>
  <c r="F26" i="107"/>
  <c r="J24" i="107"/>
  <c r="F24" i="107"/>
  <c r="Z22" i="107"/>
  <c r="T22" i="107"/>
  <c r="X22" i="107" s="1"/>
  <c r="P22" i="107"/>
  <c r="N22" i="107"/>
  <c r="J22" i="107"/>
  <c r="H22" i="107"/>
  <c r="F22" i="107"/>
  <c r="D22" i="107"/>
  <c r="L22" i="107" s="1"/>
  <c r="Z20" i="107"/>
  <c r="X20" i="107"/>
  <c r="R20" i="107"/>
  <c r="N20" i="107"/>
  <c r="L20" i="107"/>
  <c r="J20" i="107"/>
  <c r="B20" i="107"/>
  <c r="T19" i="107"/>
  <c r="P19" i="107"/>
  <c r="N19" i="107"/>
  <c r="H19" i="107"/>
  <c r="D19" i="107"/>
  <c r="L19" i="107" s="1"/>
  <c r="B19" i="107"/>
  <c r="T18" i="107"/>
  <c r="Z18" i="107" s="1"/>
  <c r="R18" i="107"/>
  <c r="P18" i="107"/>
  <c r="X18" i="107" s="1"/>
  <c r="N18" i="107"/>
  <c r="J18" i="107"/>
  <c r="H18" i="107"/>
  <c r="F18" i="107"/>
  <c r="D18" i="107"/>
  <c r="L18" i="107" s="1"/>
  <c r="R16" i="107"/>
  <c r="J16" i="107"/>
  <c r="F16" i="107"/>
  <c r="V14" i="107"/>
  <c r="T14" i="107"/>
  <c r="Z14" i="107" s="1"/>
  <c r="R14" i="107"/>
  <c r="P14" i="107"/>
  <c r="P16" i="107" s="1"/>
  <c r="N14" i="107"/>
  <c r="J14" i="107"/>
  <c r="H14" i="107"/>
  <c r="F14" i="107"/>
  <c r="D14" i="107"/>
  <c r="L14" i="107" s="1"/>
  <c r="T12" i="107"/>
  <c r="V18" i="107" s="1"/>
  <c r="P12" i="107"/>
  <c r="R19" i="107" s="1"/>
  <c r="N12" i="107"/>
  <c r="L12" i="107"/>
  <c r="H12" i="107"/>
  <c r="J19" i="107" s="1"/>
  <c r="D12" i="107"/>
  <c r="F20" i="107" s="1"/>
  <c r="D6" i="107"/>
  <c r="D4" i="107"/>
  <c r="Z87" i="106"/>
  <c r="X87" i="106"/>
  <c r="N87" i="106"/>
  <c r="L87" i="106"/>
  <c r="Z83" i="106"/>
  <c r="T83" i="106"/>
  <c r="P83" i="106"/>
  <c r="X83" i="106" s="1"/>
  <c r="H83" i="106"/>
  <c r="N83" i="106" s="1"/>
  <c r="D83" i="106"/>
  <c r="L83" i="106" s="1"/>
  <c r="Z81" i="106"/>
  <c r="X81" i="106"/>
  <c r="N81" i="106"/>
  <c r="L81" i="106"/>
  <c r="B81" i="106"/>
  <c r="Z80" i="106"/>
  <c r="X80" i="106"/>
  <c r="T80" i="106"/>
  <c r="P80" i="106"/>
  <c r="H80" i="106"/>
  <c r="N80" i="106" s="1"/>
  <c r="D80" i="106"/>
  <c r="L80" i="106" s="1"/>
  <c r="B80" i="106"/>
  <c r="Z79" i="106"/>
  <c r="X79" i="106"/>
  <c r="N79" i="106"/>
  <c r="L79" i="106"/>
  <c r="B79" i="106"/>
  <c r="X78" i="106"/>
  <c r="T78" i="106"/>
  <c r="Z78" i="106" s="1"/>
  <c r="P78" i="106"/>
  <c r="H78" i="106"/>
  <c r="D78" i="106"/>
  <c r="B78" i="106"/>
  <c r="Z77" i="106"/>
  <c r="X77" i="106"/>
  <c r="N77" i="106"/>
  <c r="L77" i="106"/>
  <c r="B77" i="106"/>
  <c r="T76" i="106"/>
  <c r="P76" i="106"/>
  <c r="H76" i="106"/>
  <c r="D76" i="106"/>
  <c r="L76" i="106" s="1"/>
  <c r="N76" i="106" s="1"/>
  <c r="B76" i="106"/>
  <c r="Z75" i="106"/>
  <c r="X75" i="106"/>
  <c r="N75" i="106"/>
  <c r="L75" i="106"/>
  <c r="B75" i="106"/>
  <c r="Z74" i="106"/>
  <c r="X74" i="106"/>
  <c r="N74" i="106"/>
  <c r="L74" i="106"/>
  <c r="B74" i="106"/>
  <c r="Z73" i="106"/>
  <c r="X73" i="106"/>
  <c r="N73" i="106"/>
  <c r="L73" i="106"/>
  <c r="B73" i="106"/>
  <c r="X72" i="106"/>
  <c r="Z72" i="106" s="1"/>
  <c r="L72" i="106"/>
  <c r="N72" i="106" s="1"/>
  <c r="B72" i="106"/>
  <c r="Z71" i="106"/>
  <c r="X71" i="106"/>
  <c r="N71" i="106"/>
  <c r="L71" i="106"/>
  <c r="B71" i="106"/>
  <c r="X70" i="106"/>
  <c r="Z70" i="106" s="1"/>
  <c r="L70" i="106"/>
  <c r="N70" i="106" s="1"/>
  <c r="B70" i="106"/>
  <c r="Z69" i="106"/>
  <c r="X69" i="106"/>
  <c r="N69" i="106"/>
  <c r="L69" i="106"/>
  <c r="B69" i="106"/>
  <c r="Z68" i="106"/>
  <c r="X68" i="106"/>
  <c r="N68" i="106"/>
  <c r="L68" i="106"/>
  <c r="B68" i="106"/>
  <c r="T67" i="106"/>
  <c r="P67" i="106"/>
  <c r="X67" i="106" s="1"/>
  <c r="H67" i="106"/>
  <c r="D67" i="106"/>
  <c r="L67" i="106" s="1"/>
  <c r="N67" i="106" s="1"/>
  <c r="B67" i="106"/>
  <c r="X66" i="106"/>
  <c r="Z66" i="106" s="1"/>
  <c r="N66" i="106"/>
  <c r="L66" i="106"/>
  <c r="B66" i="106"/>
  <c r="Z65" i="106"/>
  <c r="X65" i="106"/>
  <c r="N65" i="106"/>
  <c r="L65" i="106"/>
  <c r="B65" i="106"/>
  <c r="X64" i="106"/>
  <c r="Z64" i="106" s="1"/>
  <c r="L64" i="106"/>
  <c r="N64" i="106" s="1"/>
  <c r="B64" i="106"/>
  <c r="X63" i="106"/>
  <c r="Z63" i="106" s="1"/>
  <c r="T63" i="106"/>
  <c r="P63" i="106"/>
  <c r="H63" i="106"/>
  <c r="D63" i="106"/>
  <c r="L63" i="106" s="1"/>
  <c r="N63" i="106" s="1"/>
  <c r="B63" i="106"/>
  <c r="Z62" i="106"/>
  <c r="X62" i="106"/>
  <c r="N62" i="106"/>
  <c r="L62" i="106"/>
  <c r="B62" i="106"/>
  <c r="Z61" i="106"/>
  <c r="X61" i="106"/>
  <c r="N61" i="106"/>
  <c r="L61" i="106"/>
  <c r="B61" i="106"/>
  <c r="X60" i="106"/>
  <c r="Z60" i="106" s="1"/>
  <c r="N60" i="106"/>
  <c r="L60" i="106"/>
  <c r="B60" i="106"/>
  <c r="T59" i="106"/>
  <c r="P59" i="106"/>
  <c r="X59" i="106" s="1"/>
  <c r="Z59" i="106" s="1"/>
  <c r="N59" i="106"/>
  <c r="H59" i="106"/>
  <c r="L59" i="106" s="1"/>
  <c r="D59" i="106"/>
  <c r="B59" i="106"/>
  <c r="X58" i="106"/>
  <c r="Z58" i="106" s="1"/>
  <c r="L58" i="106"/>
  <c r="N58" i="106" s="1"/>
  <c r="B58" i="106"/>
  <c r="T57" i="106"/>
  <c r="P57" i="106"/>
  <c r="X57" i="106" s="1"/>
  <c r="Z57" i="106" s="1"/>
  <c r="H57" i="106"/>
  <c r="N57" i="106" s="1"/>
  <c r="D57" i="106"/>
  <c r="L57" i="106" s="1"/>
  <c r="B57" i="106"/>
  <c r="X56" i="106"/>
  <c r="Z56" i="106" s="1"/>
  <c r="L56" i="106"/>
  <c r="N56" i="106" s="1"/>
  <c r="B56" i="106"/>
  <c r="X55" i="106"/>
  <c r="Z55" i="106" s="1"/>
  <c r="T55" i="106"/>
  <c r="P55" i="106"/>
  <c r="H55" i="106"/>
  <c r="D55" i="106"/>
  <c r="L55" i="106" s="1"/>
  <c r="N55" i="106" s="1"/>
  <c r="B55" i="106"/>
  <c r="Z54" i="106"/>
  <c r="X54" i="106"/>
  <c r="N54" i="106"/>
  <c r="L54" i="106"/>
  <c r="B54" i="106"/>
  <c r="Z53" i="106"/>
  <c r="T53" i="106"/>
  <c r="X53" i="106" s="1"/>
  <c r="P53" i="106"/>
  <c r="N53" i="106"/>
  <c r="H53" i="106"/>
  <c r="D53" i="106"/>
  <c r="L53" i="106" s="1"/>
  <c r="B53" i="106"/>
  <c r="X52" i="106"/>
  <c r="Z52" i="106" s="1"/>
  <c r="L52" i="106"/>
  <c r="N52" i="106" s="1"/>
  <c r="B52" i="106"/>
  <c r="T51" i="106"/>
  <c r="Z51" i="106" s="1"/>
  <c r="P51" i="106"/>
  <c r="X51" i="106" s="1"/>
  <c r="H51" i="106"/>
  <c r="D51" i="106"/>
  <c r="L51" i="106" s="1"/>
  <c r="N51" i="106" s="1"/>
  <c r="B51" i="106"/>
  <c r="X50" i="106"/>
  <c r="Z50" i="106" s="1"/>
  <c r="N50" i="106"/>
  <c r="L50" i="106"/>
  <c r="B50" i="106"/>
  <c r="T49" i="106"/>
  <c r="P49" i="106"/>
  <c r="X49" i="106" s="1"/>
  <c r="Z49" i="106" s="1"/>
  <c r="N49" i="106"/>
  <c r="L49" i="106"/>
  <c r="H49" i="106"/>
  <c r="D49" i="106"/>
  <c r="B49" i="106"/>
  <c r="X48" i="106"/>
  <c r="Z48" i="106" s="1"/>
  <c r="L48" i="106"/>
  <c r="N48" i="106" s="1"/>
  <c r="B48" i="106"/>
  <c r="T47" i="106"/>
  <c r="P47" i="106"/>
  <c r="X47" i="106" s="1"/>
  <c r="Z47" i="106" s="1"/>
  <c r="H47" i="106"/>
  <c r="L47" i="106" s="1"/>
  <c r="N47" i="106" s="1"/>
  <c r="D47" i="106"/>
  <c r="B47" i="106"/>
  <c r="X46" i="106"/>
  <c r="Z46" i="106" s="1"/>
  <c r="L46" i="106"/>
  <c r="N46" i="106" s="1"/>
  <c r="B46" i="106"/>
  <c r="T45" i="106"/>
  <c r="P45" i="106"/>
  <c r="X45" i="106" s="1"/>
  <c r="Z45" i="106" s="1"/>
  <c r="H45" i="106"/>
  <c r="D45" i="106"/>
  <c r="L45" i="106" s="1"/>
  <c r="B45" i="106"/>
  <c r="X44" i="106"/>
  <c r="Z44" i="106" s="1"/>
  <c r="N44" i="106"/>
  <c r="L44" i="106"/>
  <c r="F44" i="106"/>
  <c r="B44" i="106"/>
  <c r="X43" i="106"/>
  <c r="Z43" i="106" s="1"/>
  <c r="T43" i="106"/>
  <c r="P43" i="106"/>
  <c r="N43" i="106"/>
  <c r="H43" i="106"/>
  <c r="D43" i="106"/>
  <c r="L43" i="106" s="1"/>
  <c r="B43" i="106"/>
  <c r="Z42" i="106"/>
  <c r="X42" i="106"/>
  <c r="L42" i="106"/>
  <c r="N42" i="106" s="1"/>
  <c r="B42" i="106"/>
  <c r="T41" i="106"/>
  <c r="X41" i="106" s="1"/>
  <c r="Z41" i="106" s="1"/>
  <c r="P41" i="106"/>
  <c r="H41" i="106"/>
  <c r="D41" i="106"/>
  <c r="L41" i="106" s="1"/>
  <c r="N41" i="106" s="1"/>
  <c r="B41" i="106"/>
  <c r="X40" i="106"/>
  <c r="Z40" i="106" s="1"/>
  <c r="L40" i="106"/>
  <c r="N40" i="106" s="1"/>
  <c r="B40" i="106"/>
  <c r="Z39" i="106"/>
  <c r="X39" i="106"/>
  <c r="L39" i="106"/>
  <c r="N39" i="106" s="1"/>
  <c r="B39" i="106"/>
  <c r="X38" i="106"/>
  <c r="Z38" i="106" s="1"/>
  <c r="L38" i="106"/>
  <c r="N38" i="106" s="1"/>
  <c r="B38" i="106"/>
  <c r="Z37" i="106"/>
  <c r="X37" i="106"/>
  <c r="N37" i="106"/>
  <c r="L37" i="106"/>
  <c r="B37" i="106"/>
  <c r="X36" i="106"/>
  <c r="Z36" i="106" s="1"/>
  <c r="L36" i="106"/>
  <c r="N36" i="106" s="1"/>
  <c r="B36" i="106"/>
  <c r="Z35" i="106"/>
  <c r="X35" i="106"/>
  <c r="V35" i="106"/>
  <c r="L35" i="106"/>
  <c r="N35" i="106" s="1"/>
  <c r="B35" i="106"/>
  <c r="T34" i="106"/>
  <c r="P34" i="106"/>
  <c r="X34" i="106" s="1"/>
  <c r="H34" i="106"/>
  <c r="D34" i="106"/>
  <c r="L34" i="106" s="1"/>
  <c r="N34" i="106" s="1"/>
  <c r="B34" i="106"/>
  <c r="Z33" i="106"/>
  <c r="X33" i="106"/>
  <c r="N33" i="106"/>
  <c r="L33" i="106"/>
  <c r="B33" i="106"/>
  <c r="X32" i="106"/>
  <c r="Z32" i="106" s="1"/>
  <c r="L32" i="106"/>
  <c r="N32" i="106" s="1"/>
  <c r="B32" i="106"/>
  <c r="X31" i="106"/>
  <c r="Z31" i="106" s="1"/>
  <c r="N31" i="106"/>
  <c r="L31" i="106"/>
  <c r="B31" i="106"/>
  <c r="X30" i="106"/>
  <c r="Z30" i="106" s="1"/>
  <c r="N30" i="106"/>
  <c r="L30" i="106"/>
  <c r="B30" i="106"/>
  <c r="Z29" i="106"/>
  <c r="X29" i="106"/>
  <c r="N29" i="106"/>
  <c r="L29" i="106"/>
  <c r="B29" i="106"/>
  <c r="X28" i="106"/>
  <c r="Z28" i="106" s="1"/>
  <c r="L28" i="106"/>
  <c r="N28" i="106" s="1"/>
  <c r="B28" i="106"/>
  <c r="X27" i="106"/>
  <c r="Z27" i="106" s="1"/>
  <c r="N27" i="106"/>
  <c r="L27" i="106"/>
  <c r="B27" i="106"/>
  <c r="X26" i="106"/>
  <c r="Z26" i="106" s="1"/>
  <c r="N26" i="106"/>
  <c r="L26" i="106"/>
  <c r="B26" i="106"/>
  <c r="Z25" i="106"/>
  <c r="X25" i="106"/>
  <c r="N25" i="106"/>
  <c r="L25" i="106"/>
  <c r="B25" i="106"/>
  <c r="X24" i="106"/>
  <c r="T24" i="106"/>
  <c r="Z24" i="106" s="1"/>
  <c r="P24" i="106"/>
  <c r="L24" i="106"/>
  <c r="H24" i="106"/>
  <c r="D24" i="106"/>
  <c r="B24" i="106"/>
  <c r="T23" i="106"/>
  <c r="P23" i="106"/>
  <c r="X23" i="106" s="1"/>
  <c r="Z23" i="106" s="1"/>
  <c r="H23" i="106"/>
  <c r="L23" i="106" s="1"/>
  <c r="N23" i="106" s="1"/>
  <c r="D23" i="106"/>
  <c r="Z19" i="106"/>
  <c r="X19" i="106"/>
  <c r="L19" i="106"/>
  <c r="N19" i="106" s="1"/>
  <c r="B19" i="106"/>
  <c r="Z18" i="106"/>
  <c r="X18" i="106"/>
  <c r="L18" i="106"/>
  <c r="N18" i="106" s="1"/>
  <c r="B18" i="106"/>
  <c r="Z17" i="106"/>
  <c r="T17" i="106"/>
  <c r="X17" i="106" s="1"/>
  <c r="P17" i="106"/>
  <c r="H17" i="106"/>
  <c r="D17" i="106"/>
  <c r="L17" i="106" s="1"/>
  <c r="N17" i="106" s="1"/>
  <c r="T15" i="106"/>
  <c r="P15" i="106"/>
  <c r="X15" i="106" s="1"/>
  <c r="Z15" i="106" s="1"/>
  <c r="H15" i="106"/>
  <c r="D15" i="106"/>
  <c r="B15" i="106"/>
  <c r="T14" i="106"/>
  <c r="P14" i="106"/>
  <c r="H14" i="106"/>
  <c r="D14" i="106"/>
  <c r="B14" i="106"/>
  <c r="T13" i="106"/>
  <c r="T12" i="106" s="1"/>
  <c r="V51" i="106" s="1"/>
  <c r="P13" i="106"/>
  <c r="X13" i="106" s="1"/>
  <c r="Z13" i="106" s="1"/>
  <c r="H13" i="106"/>
  <c r="D13" i="106"/>
  <c r="D12" i="106" s="1"/>
  <c r="F28" i="106" s="1"/>
  <c r="B13" i="106"/>
  <c r="D6" i="106"/>
  <c r="D4" i="106"/>
  <c r="X56" i="105"/>
  <c r="Z56" i="105" s="1"/>
  <c r="L56" i="105"/>
  <c r="N56" i="105" s="1"/>
  <c r="T52" i="105"/>
  <c r="Z52" i="105" s="1"/>
  <c r="P52" i="105"/>
  <c r="N52" i="105"/>
  <c r="H52" i="105"/>
  <c r="D52" i="105"/>
  <c r="L52" i="105" s="1"/>
  <c r="X50" i="105"/>
  <c r="Z50" i="105" s="1"/>
  <c r="L50" i="105"/>
  <c r="N50" i="105" s="1"/>
  <c r="B50" i="105"/>
  <c r="T49" i="105"/>
  <c r="P49" i="105"/>
  <c r="X49" i="105" s="1"/>
  <c r="Z49" i="105" s="1"/>
  <c r="N49" i="105"/>
  <c r="H49" i="105"/>
  <c r="L49" i="105" s="1"/>
  <c r="D49" i="105"/>
  <c r="B49" i="105"/>
  <c r="Z48" i="105"/>
  <c r="X48" i="105"/>
  <c r="N48" i="105"/>
  <c r="L48" i="105"/>
  <c r="B48" i="105"/>
  <c r="Z47" i="105"/>
  <c r="X47" i="105"/>
  <c r="N47" i="105"/>
  <c r="L47" i="105"/>
  <c r="B47" i="105"/>
  <c r="X46" i="105"/>
  <c r="Z46" i="105" s="1"/>
  <c r="N46" i="105"/>
  <c r="L46" i="105"/>
  <c r="B46" i="105"/>
  <c r="X45" i="105"/>
  <c r="Z45" i="105" s="1"/>
  <c r="N45" i="105"/>
  <c r="L45" i="105"/>
  <c r="B45" i="105"/>
  <c r="T44" i="105"/>
  <c r="Z44" i="105" s="1"/>
  <c r="P44" i="105"/>
  <c r="X44" i="105" s="1"/>
  <c r="H44" i="105"/>
  <c r="D44" i="105"/>
  <c r="L44" i="105" s="1"/>
  <c r="N44" i="105" s="1"/>
  <c r="B44" i="105"/>
  <c r="Z43" i="105"/>
  <c r="X43" i="105"/>
  <c r="N43" i="105"/>
  <c r="L43" i="105"/>
  <c r="B43" i="105"/>
  <c r="X42" i="105"/>
  <c r="T42" i="105"/>
  <c r="Z42" i="105" s="1"/>
  <c r="P42" i="105"/>
  <c r="L42" i="105"/>
  <c r="N42" i="105" s="1"/>
  <c r="H42" i="105"/>
  <c r="D42" i="105"/>
  <c r="B42" i="105"/>
  <c r="Z41" i="105"/>
  <c r="X41" i="105"/>
  <c r="L41" i="105"/>
  <c r="N41" i="105" s="1"/>
  <c r="B41" i="105"/>
  <c r="T40" i="105"/>
  <c r="P40" i="105"/>
  <c r="X40" i="105" s="1"/>
  <c r="Z40" i="105" s="1"/>
  <c r="H40" i="105"/>
  <c r="D40" i="105"/>
  <c r="B40" i="105"/>
  <c r="Z39" i="105"/>
  <c r="X39" i="105"/>
  <c r="N39" i="105"/>
  <c r="L39" i="105"/>
  <c r="B39" i="105"/>
  <c r="Z38" i="105"/>
  <c r="T38" i="105"/>
  <c r="P38" i="105"/>
  <c r="X38" i="105" s="1"/>
  <c r="H38" i="105"/>
  <c r="N38" i="105" s="1"/>
  <c r="D38" i="105"/>
  <c r="L38" i="105" s="1"/>
  <c r="B38" i="105"/>
  <c r="Z37" i="105"/>
  <c r="X37" i="105"/>
  <c r="N37" i="105"/>
  <c r="L37" i="105"/>
  <c r="B37" i="105"/>
  <c r="Z36" i="105"/>
  <c r="X36" i="105"/>
  <c r="T36" i="105"/>
  <c r="P36" i="105"/>
  <c r="L36" i="105"/>
  <c r="H36" i="105"/>
  <c r="N36" i="105" s="1"/>
  <c r="D36" i="105"/>
  <c r="B36" i="105"/>
  <c r="Z35" i="105"/>
  <c r="X35" i="105"/>
  <c r="N35" i="105"/>
  <c r="L35" i="105"/>
  <c r="B35" i="105"/>
  <c r="T34" i="105"/>
  <c r="P34" i="105"/>
  <c r="H34" i="105"/>
  <c r="D34" i="105"/>
  <c r="L34" i="105" s="1"/>
  <c r="N34" i="105" s="1"/>
  <c r="B34" i="105"/>
  <c r="X33" i="105"/>
  <c r="Z33" i="105" s="1"/>
  <c r="N33" i="105"/>
  <c r="L33" i="105"/>
  <c r="B33" i="105"/>
  <c r="X32" i="105"/>
  <c r="T32" i="105"/>
  <c r="P32" i="105"/>
  <c r="N32" i="105"/>
  <c r="L32" i="105"/>
  <c r="H32" i="105"/>
  <c r="D32" i="105"/>
  <c r="B32" i="105"/>
  <c r="Z31" i="105"/>
  <c r="X31" i="105"/>
  <c r="N31" i="105"/>
  <c r="L31" i="105"/>
  <c r="B31" i="105"/>
  <c r="X30" i="105"/>
  <c r="Z30" i="105" s="1"/>
  <c r="L30" i="105"/>
  <c r="N30" i="105" s="1"/>
  <c r="B30" i="105"/>
  <c r="X29" i="105"/>
  <c r="Z29" i="105" s="1"/>
  <c r="N29" i="105"/>
  <c r="L29" i="105"/>
  <c r="B29" i="105"/>
  <c r="T28" i="105"/>
  <c r="P28" i="105"/>
  <c r="X28" i="105" s="1"/>
  <c r="H28" i="105"/>
  <c r="D28" i="105"/>
  <c r="B28" i="105"/>
  <c r="X27" i="105"/>
  <c r="Z27" i="105" s="1"/>
  <c r="N27" i="105"/>
  <c r="L27" i="105"/>
  <c r="B27" i="105"/>
  <c r="Z26" i="105"/>
  <c r="X26" i="105"/>
  <c r="L26" i="105"/>
  <c r="N26" i="105" s="1"/>
  <c r="B26" i="105"/>
  <c r="Z25" i="105"/>
  <c r="X25" i="105"/>
  <c r="N25" i="105"/>
  <c r="L25" i="105"/>
  <c r="B25" i="105"/>
  <c r="T24" i="105"/>
  <c r="P24" i="105"/>
  <c r="X24" i="105" s="1"/>
  <c r="Z24" i="105" s="1"/>
  <c r="L24" i="105"/>
  <c r="N24" i="105" s="1"/>
  <c r="H24" i="105"/>
  <c r="D24" i="105"/>
  <c r="B24" i="105"/>
  <c r="T23" i="105"/>
  <c r="P23" i="105"/>
  <c r="X23" i="105" s="1"/>
  <c r="Z23" i="105" s="1"/>
  <c r="H23" i="105"/>
  <c r="D23" i="105"/>
  <c r="L23" i="105" s="1"/>
  <c r="N23" i="105" s="1"/>
  <c r="X19" i="105"/>
  <c r="Z19" i="105" s="1"/>
  <c r="L19" i="105"/>
  <c r="N19" i="105" s="1"/>
  <c r="B19" i="105"/>
  <c r="Z18" i="105"/>
  <c r="X18" i="105"/>
  <c r="L18" i="105"/>
  <c r="N18" i="105" s="1"/>
  <c r="B18" i="105"/>
  <c r="T17" i="105"/>
  <c r="P17" i="105"/>
  <c r="X17" i="105" s="1"/>
  <c r="Z17" i="105" s="1"/>
  <c r="H17" i="105"/>
  <c r="D17" i="105"/>
  <c r="D21" i="105" s="1"/>
  <c r="T15" i="105"/>
  <c r="P15" i="105"/>
  <c r="X15" i="105" s="1"/>
  <c r="Z15" i="105" s="1"/>
  <c r="L15" i="105"/>
  <c r="H15" i="105"/>
  <c r="N15" i="105" s="1"/>
  <c r="D15" i="105"/>
  <c r="B15" i="105"/>
  <c r="T14" i="105"/>
  <c r="P14" i="105"/>
  <c r="X14" i="105" s="1"/>
  <c r="H14" i="105"/>
  <c r="N14" i="105" s="1"/>
  <c r="D14" i="105"/>
  <c r="L14" i="105" s="1"/>
  <c r="B14" i="105"/>
  <c r="T13" i="105"/>
  <c r="P13" i="105"/>
  <c r="H13" i="105"/>
  <c r="D13" i="105"/>
  <c r="B13" i="105"/>
  <c r="D12" i="105"/>
  <c r="F47" i="105" s="1"/>
  <c r="D6" i="105"/>
  <c r="D4" i="105"/>
  <c r="Z86" i="104"/>
  <c r="X86" i="104"/>
  <c r="N86" i="104"/>
  <c r="L86" i="104"/>
  <c r="T82" i="104"/>
  <c r="P82" i="104"/>
  <c r="N82" i="104"/>
  <c r="H82" i="104"/>
  <c r="D82" i="104"/>
  <c r="L82" i="104" s="1"/>
  <c r="X80" i="104"/>
  <c r="Z80" i="104" s="1"/>
  <c r="N80" i="104"/>
  <c r="L80" i="104"/>
  <c r="B80" i="104"/>
  <c r="Z79" i="104"/>
  <c r="X79" i="104"/>
  <c r="N79" i="104"/>
  <c r="L79" i="104"/>
  <c r="B79" i="104"/>
  <c r="T78" i="104"/>
  <c r="P78" i="104"/>
  <c r="X78" i="104" s="1"/>
  <c r="Z78" i="104" s="1"/>
  <c r="H78" i="104"/>
  <c r="D78" i="104"/>
  <c r="B78" i="104"/>
  <c r="X77" i="104"/>
  <c r="Z77" i="104" s="1"/>
  <c r="N77" i="104"/>
  <c r="L77" i="104"/>
  <c r="B77" i="104"/>
  <c r="T76" i="104"/>
  <c r="P76" i="104"/>
  <c r="X76" i="104" s="1"/>
  <c r="Z76" i="104" s="1"/>
  <c r="L76" i="104"/>
  <c r="H76" i="104"/>
  <c r="N76" i="104" s="1"/>
  <c r="D76" i="104"/>
  <c r="B76" i="104"/>
  <c r="X75" i="104"/>
  <c r="Z75" i="104" s="1"/>
  <c r="L75" i="104"/>
  <c r="N75" i="104" s="1"/>
  <c r="B75" i="104"/>
  <c r="X74" i="104"/>
  <c r="Z74" i="104" s="1"/>
  <c r="T74" i="104"/>
  <c r="P74" i="104"/>
  <c r="H74" i="104"/>
  <c r="D74" i="104"/>
  <c r="B74" i="104"/>
  <c r="Z73" i="104"/>
  <c r="X73" i="104"/>
  <c r="N73" i="104"/>
  <c r="L73" i="104"/>
  <c r="B73" i="104"/>
  <c r="Z72" i="104"/>
  <c r="X72" i="104"/>
  <c r="N72" i="104"/>
  <c r="L72" i="104"/>
  <c r="B72" i="104"/>
  <c r="X71" i="104"/>
  <c r="Z71" i="104" s="1"/>
  <c r="N71" i="104"/>
  <c r="L71" i="104"/>
  <c r="B71" i="104"/>
  <c r="Z70" i="104"/>
  <c r="X70" i="104"/>
  <c r="L70" i="104"/>
  <c r="N70" i="104" s="1"/>
  <c r="B70" i="104"/>
  <c r="Z69" i="104"/>
  <c r="X69" i="104"/>
  <c r="L69" i="104"/>
  <c r="N69" i="104" s="1"/>
  <c r="B69" i="104"/>
  <c r="X68" i="104"/>
  <c r="Z68" i="104" s="1"/>
  <c r="N68" i="104"/>
  <c r="L68" i="104"/>
  <c r="B68" i="104"/>
  <c r="X67" i="104"/>
  <c r="Z67" i="104" s="1"/>
  <c r="L67" i="104"/>
  <c r="N67" i="104" s="1"/>
  <c r="B67" i="104"/>
  <c r="T66" i="104"/>
  <c r="P66" i="104"/>
  <c r="X66" i="104" s="1"/>
  <c r="Z66" i="104" s="1"/>
  <c r="H66" i="104"/>
  <c r="D66" i="104"/>
  <c r="B66" i="104"/>
  <c r="X65" i="104"/>
  <c r="Z65" i="104" s="1"/>
  <c r="N65" i="104"/>
  <c r="L65" i="104"/>
  <c r="B65" i="104"/>
  <c r="Z64" i="104"/>
  <c r="X64" i="104"/>
  <c r="N64" i="104"/>
  <c r="L64" i="104"/>
  <c r="B64" i="104"/>
  <c r="X63" i="104"/>
  <c r="Z63" i="104" s="1"/>
  <c r="L63" i="104"/>
  <c r="N63" i="104" s="1"/>
  <c r="B63" i="104"/>
  <c r="T62" i="104"/>
  <c r="P62" i="104"/>
  <c r="X62" i="104" s="1"/>
  <c r="H62" i="104"/>
  <c r="D62" i="104"/>
  <c r="L62" i="104" s="1"/>
  <c r="N62" i="104" s="1"/>
  <c r="B62" i="104"/>
  <c r="Z61" i="104"/>
  <c r="X61" i="104"/>
  <c r="N61" i="104"/>
  <c r="L61" i="104"/>
  <c r="B61" i="104"/>
  <c r="Z60" i="104"/>
  <c r="X60" i="104"/>
  <c r="N60" i="104"/>
  <c r="L60" i="104"/>
  <c r="B60" i="104"/>
  <c r="X59" i="104"/>
  <c r="Z59" i="104" s="1"/>
  <c r="N59" i="104"/>
  <c r="L59" i="104"/>
  <c r="B59" i="104"/>
  <c r="X58" i="104"/>
  <c r="Z58" i="104" s="1"/>
  <c r="T58" i="104"/>
  <c r="P58" i="104"/>
  <c r="H58" i="104"/>
  <c r="D58" i="104"/>
  <c r="L58" i="104" s="1"/>
  <c r="B58" i="104"/>
  <c r="Z57" i="104"/>
  <c r="X57" i="104"/>
  <c r="L57" i="104"/>
  <c r="N57" i="104" s="1"/>
  <c r="B57" i="104"/>
  <c r="T56" i="104"/>
  <c r="P56" i="104"/>
  <c r="H56" i="104"/>
  <c r="D56" i="104"/>
  <c r="L56" i="104" s="1"/>
  <c r="N56" i="104" s="1"/>
  <c r="B56" i="104"/>
  <c r="X55" i="104"/>
  <c r="Z55" i="104" s="1"/>
  <c r="L55" i="104"/>
  <c r="N55" i="104" s="1"/>
  <c r="B55" i="104"/>
  <c r="T54" i="104"/>
  <c r="P54" i="104"/>
  <c r="X54" i="104" s="1"/>
  <c r="H54" i="104"/>
  <c r="D54" i="104"/>
  <c r="L54" i="104" s="1"/>
  <c r="B54" i="104"/>
  <c r="Z53" i="104"/>
  <c r="X53" i="104"/>
  <c r="N53" i="104"/>
  <c r="L53" i="104"/>
  <c r="B53" i="104"/>
  <c r="T52" i="104"/>
  <c r="P52" i="104"/>
  <c r="L52" i="104"/>
  <c r="N52" i="104" s="1"/>
  <c r="H52" i="104"/>
  <c r="D52" i="104"/>
  <c r="B52" i="104"/>
  <c r="Z51" i="104"/>
  <c r="X51" i="104"/>
  <c r="L51" i="104"/>
  <c r="N51" i="104" s="1"/>
  <c r="B51" i="104"/>
  <c r="T50" i="104"/>
  <c r="P50" i="104"/>
  <c r="X50" i="104" s="1"/>
  <c r="Z50" i="104" s="1"/>
  <c r="H50" i="104"/>
  <c r="D50" i="104"/>
  <c r="B50" i="104"/>
  <c r="X49" i="104"/>
  <c r="Z49" i="104" s="1"/>
  <c r="N49" i="104"/>
  <c r="L49" i="104"/>
  <c r="B49" i="104"/>
  <c r="T48" i="104"/>
  <c r="P48" i="104"/>
  <c r="X48" i="104" s="1"/>
  <c r="H48" i="104"/>
  <c r="D48" i="104"/>
  <c r="L48" i="104" s="1"/>
  <c r="B48" i="104"/>
  <c r="X47" i="104"/>
  <c r="Z47" i="104" s="1"/>
  <c r="N47" i="104"/>
  <c r="L47" i="104"/>
  <c r="B47" i="104"/>
  <c r="Z46" i="104"/>
  <c r="X46" i="104"/>
  <c r="T46" i="104"/>
  <c r="P46" i="104"/>
  <c r="H46" i="104"/>
  <c r="D46" i="104"/>
  <c r="B46" i="104"/>
  <c r="Z45" i="104"/>
  <c r="X45" i="104"/>
  <c r="L45" i="104"/>
  <c r="N45" i="104" s="1"/>
  <c r="B45" i="104"/>
  <c r="T44" i="104"/>
  <c r="P44" i="104"/>
  <c r="H44" i="104"/>
  <c r="D44" i="104"/>
  <c r="L44" i="104" s="1"/>
  <c r="N44" i="104" s="1"/>
  <c r="B44" i="104"/>
  <c r="X43" i="104"/>
  <c r="Z43" i="104" s="1"/>
  <c r="L43" i="104"/>
  <c r="N43" i="104" s="1"/>
  <c r="B43" i="104"/>
  <c r="X42" i="104"/>
  <c r="T42" i="104"/>
  <c r="P42" i="104"/>
  <c r="H42" i="104"/>
  <c r="N42" i="104" s="1"/>
  <c r="D42" i="104"/>
  <c r="L42" i="104" s="1"/>
  <c r="B42" i="104"/>
  <c r="Z41" i="104"/>
  <c r="X41" i="104"/>
  <c r="N41" i="104"/>
  <c r="L41" i="104"/>
  <c r="B41" i="104"/>
  <c r="Z40" i="104"/>
  <c r="X40" i="104"/>
  <c r="L40" i="104"/>
  <c r="N40" i="104" s="1"/>
  <c r="B40" i="104"/>
  <c r="Z39" i="104"/>
  <c r="X39" i="104"/>
  <c r="R39" i="104"/>
  <c r="N39" i="104"/>
  <c r="L39" i="104"/>
  <c r="B39" i="104"/>
  <c r="Z38" i="104"/>
  <c r="X38" i="104"/>
  <c r="N38" i="104"/>
  <c r="L38" i="104"/>
  <c r="B38" i="104"/>
  <c r="Z37" i="104"/>
  <c r="X37" i="104"/>
  <c r="N37" i="104"/>
  <c r="L37" i="104"/>
  <c r="B37" i="104"/>
  <c r="Z36" i="104"/>
  <c r="X36" i="104"/>
  <c r="L36" i="104"/>
  <c r="N36" i="104" s="1"/>
  <c r="B36" i="104"/>
  <c r="T35" i="104"/>
  <c r="P35" i="104"/>
  <c r="H35" i="104"/>
  <c r="D35" i="104"/>
  <c r="B35" i="104"/>
  <c r="X34" i="104"/>
  <c r="Z34" i="104" s="1"/>
  <c r="L34" i="104"/>
  <c r="N34" i="104" s="1"/>
  <c r="B34" i="104"/>
  <c r="Z33" i="104"/>
  <c r="X33" i="104"/>
  <c r="L33" i="104"/>
  <c r="N33" i="104" s="1"/>
  <c r="B33" i="104"/>
  <c r="X32" i="104"/>
  <c r="Z32" i="104" s="1"/>
  <c r="N32" i="104"/>
  <c r="L32" i="104"/>
  <c r="B32" i="104"/>
  <c r="Z31" i="104"/>
  <c r="X31" i="104"/>
  <c r="L31" i="104"/>
  <c r="N31" i="104" s="1"/>
  <c r="B31" i="104"/>
  <c r="Z30" i="104"/>
  <c r="X30" i="104"/>
  <c r="L30" i="104"/>
  <c r="N30" i="104" s="1"/>
  <c r="B30" i="104"/>
  <c r="Z29" i="104"/>
  <c r="X29" i="104"/>
  <c r="N29" i="104"/>
  <c r="L29" i="104"/>
  <c r="B29" i="104"/>
  <c r="X28" i="104"/>
  <c r="Z28" i="104" s="1"/>
  <c r="N28" i="104"/>
  <c r="L28" i="104"/>
  <c r="B28" i="104"/>
  <c r="Z27" i="104"/>
  <c r="X27" i="104"/>
  <c r="N27" i="104"/>
  <c r="L27" i="104"/>
  <c r="B27" i="104"/>
  <c r="X26" i="104"/>
  <c r="Z26" i="104" s="1"/>
  <c r="L26" i="104"/>
  <c r="N26" i="104" s="1"/>
  <c r="B26" i="104"/>
  <c r="T25" i="104"/>
  <c r="P25" i="104"/>
  <c r="X25" i="104" s="1"/>
  <c r="Z25" i="104" s="1"/>
  <c r="H25" i="104"/>
  <c r="D25" i="104"/>
  <c r="L25" i="104" s="1"/>
  <c r="N25" i="104" s="1"/>
  <c r="B25" i="104"/>
  <c r="T24" i="104"/>
  <c r="Z24" i="104" s="1"/>
  <c r="P24" i="104"/>
  <c r="X24" i="104" s="1"/>
  <c r="L24" i="104"/>
  <c r="H24" i="104"/>
  <c r="D24" i="104"/>
  <c r="Z20" i="104"/>
  <c r="X20" i="104"/>
  <c r="N20" i="104"/>
  <c r="L20" i="104"/>
  <c r="B20" i="104"/>
  <c r="Z19" i="104"/>
  <c r="X19" i="104"/>
  <c r="R19" i="104"/>
  <c r="L19" i="104"/>
  <c r="N19" i="104" s="1"/>
  <c r="B19" i="104"/>
  <c r="X18" i="104"/>
  <c r="T18" i="104"/>
  <c r="P18" i="104"/>
  <c r="H18" i="104"/>
  <c r="D18" i="104"/>
  <c r="T16" i="104"/>
  <c r="P16" i="104"/>
  <c r="X16" i="104" s="1"/>
  <c r="Z16" i="104" s="1"/>
  <c r="N16" i="104"/>
  <c r="L16" i="104"/>
  <c r="H16" i="104"/>
  <c r="D16" i="104"/>
  <c r="B16" i="104"/>
  <c r="T15" i="104"/>
  <c r="P15" i="104"/>
  <c r="H15" i="104"/>
  <c r="D15" i="104"/>
  <c r="B15" i="104"/>
  <c r="T14" i="104"/>
  <c r="P14" i="104"/>
  <c r="X14" i="104" s="1"/>
  <c r="Z14" i="104" s="1"/>
  <c r="H14" i="104"/>
  <c r="H12" i="104" s="1"/>
  <c r="D14" i="104"/>
  <c r="L14" i="104" s="1"/>
  <c r="N14" i="104" s="1"/>
  <c r="B14" i="104"/>
  <c r="T13" i="104"/>
  <c r="P13" i="104"/>
  <c r="X13" i="104" s="1"/>
  <c r="H13" i="104"/>
  <c r="D13" i="104"/>
  <c r="B13" i="104"/>
  <c r="P12" i="104"/>
  <c r="D6" i="104"/>
  <c r="D4" i="104"/>
  <c r="F54" i="103"/>
  <c r="Z52" i="103"/>
  <c r="X52" i="103"/>
  <c r="R52" i="103"/>
  <c r="N52" i="103"/>
  <c r="L52" i="103"/>
  <c r="Z48" i="103"/>
  <c r="T48" i="103"/>
  <c r="R48" i="103"/>
  <c r="P48" i="103"/>
  <c r="X48" i="103" s="1"/>
  <c r="H48" i="103"/>
  <c r="N48" i="103" s="1"/>
  <c r="D48" i="103"/>
  <c r="L48" i="103" s="1"/>
  <c r="Z46" i="103"/>
  <c r="X46" i="103"/>
  <c r="R46" i="103"/>
  <c r="L46" i="103"/>
  <c r="N46" i="103" s="1"/>
  <c r="J46" i="103"/>
  <c r="B46" i="103"/>
  <c r="Z45" i="103"/>
  <c r="X45" i="103"/>
  <c r="T45" i="103"/>
  <c r="P45" i="103"/>
  <c r="L45" i="103"/>
  <c r="H45" i="103"/>
  <c r="N45" i="103" s="1"/>
  <c r="F45" i="103"/>
  <c r="D45" i="103"/>
  <c r="B45" i="103"/>
  <c r="Z44" i="103"/>
  <c r="X44" i="103"/>
  <c r="N44" i="103"/>
  <c r="L44" i="103"/>
  <c r="B44" i="103"/>
  <c r="Z43" i="103"/>
  <c r="V43" i="103"/>
  <c r="T43" i="103"/>
  <c r="R43" i="103"/>
  <c r="P43" i="103"/>
  <c r="X43" i="103" s="1"/>
  <c r="H43" i="103"/>
  <c r="D43" i="103"/>
  <c r="L43" i="103" s="1"/>
  <c r="B43" i="103"/>
  <c r="X42" i="103"/>
  <c r="Z42" i="103" s="1"/>
  <c r="R42" i="103"/>
  <c r="N42" i="103"/>
  <c r="L42" i="103"/>
  <c r="B42" i="103"/>
  <c r="T41" i="103"/>
  <c r="R41" i="103"/>
  <c r="P41" i="103"/>
  <c r="X41" i="103" s="1"/>
  <c r="Z41" i="103" s="1"/>
  <c r="N41" i="103"/>
  <c r="H41" i="103"/>
  <c r="D41" i="103"/>
  <c r="L41" i="103" s="1"/>
  <c r="B41" i="103"/>
  <c r="Z40" i="103"/>
  <c r="X40" i="103"/>
  <c r="R40" i="103"/>
  <c r="N40" i="103"/>
  <c r="L40" i="103"/>
  <c r="B40" i="103"/>
  <c r="X39" i="103"/>
  <c r="Z39" i="103" s="1"/>
  <c r="R39" i="103"/>
  <c r="N39" i="103"/>
  <c r="L39" i="103"/>
  <c r="B39" i="103"/>
  <c r="T38" i="103"/>
  <c r="R38" i="103"/>
  <c r="P38" i="103"/>
  <c r="H38" i="103"/>
  <c r="D38" i="103"/>
  <c r="B38" i="103"/>
  <c r="Z37" i="103"/>
  <c r="X37" i="103"/>
  <c r="R37" i="103"/>
  <c r="N37" i="103"/>
  <c r="L37" i="103"/>
  <c r="B37" i="103"/>
  <c r="Z36" i="103"/>
  <c r="T36" i="103"/>
  <c r="R36" i="103"/>
  <c r="P36" i="103"/>
  <c r="X36" i="103" s="1"/>
  <c r="N36" i="103"/>
  <c r="L36" i="103"/>
  <c r="H36" i="103"/>
  <c r="D36" i="103"/>
  <c r="B36" i="103"/>
  <c r="Z35" i="103"/>
  <c r="X35" i="103"/>
  <c r="N35" i="103"/>
  <c r="L35" i="103"/>
  <c r="B35" i="103"/>
  <c r="T34" i="103"/>
  <c r="X34" i="103" s="1"/>
  <c r="R34" i="103"/>
  <c r="P34" i="103"/>
  <c r="H34" i="103"/>
  <c r="N34" i="103" s="1"/>
  <c r="D34" i="103"/>
  <c r="L34" i="103" s="1"/>
  <c r="B34" i="103"/>
  <c r="X33" i="103"/>
  <c r="Z33" i="103" s="1"/>
  <c r="R33" i="103"/>
  <c r="L33" i="103"/>
  <c r="N33" i="103" s="1"/>
  <c r="B33" i="103"/>
  <c r="T32" i="103"/>
  <c r="X32" i="103" s="1"/>
  <c r="Z32" i="103" s="1"/>
  <c r="R32" i="103"/>
  <c r="P32" i="103"/>
  <c r="H32" i="103"/>
  <c r="D32" i="103"/>
  <c r="B32" i="103"/>
  <c r="Z31" i="103"/>
  <c r="X31" i="103"/>
  <c r="R31" i="103"/>
  <c r="N31" i="103"/>
  <c r="L31" i="103"/>
  <c r="B31" i="103"/>
  <c r="X30" i="103"/>
  <c r="Z30" i="103" s="1"/>
  <c r="T30" i="103"/>
  <c r="P30" i="103"/>
  <c r="N30" i="103"/>
  <c r="L30" i="103"/>
  <c r="H30" i="103"/>
  <c r="D30" i="103"/>
  <c r="B30" i="103"/>
  <c r="X29" i="103"/>
  <c r="Z29" i="103" s="1"/>
  <c r="L29" i="103"/>
  <c r="N29" i="103" s="1"/>
  <c r="B29" i="103"/>
  <c r="T28" i="103"/>
  <c r="R28" i="103"/>
  <c r="P28" i="103"/>
  <c r="X28" i="103" s="1"/>
  <c r="Z28" i="103" s="1"/>
  <c r="H28" i="103"/>
  <c r="D28" i="103"/>
  <c r="B28" i="103"/>
  <c r="Z27" i="103"/>
  <c r="X27" i="103"/>
  <c r="R27" i="103"/>
  <c r="N27" i="103"/>
  <c r="L27" i="103"/>
  <c r="B27" i="103"/>
  <c r="Z26" i="103"/>
  <c r="X26" i="103"/>
  <c r="R26" i="103"/>
  <c r="L26" i="103"/>
  <c r="N26" i="103" s="1"/>
  <c r="B26" i="103"/>
  <c r="Z25" i="103"/>
  <c r="X25" i="103"/>
  <c r="R25" i="103"/>
  <c r="L25" i="103"/>
  <c r="N25" i="103" s="1"/>
  <c r="F25" i="103"/>
  <c r="B25" i="103"/>
  <c r="X24" i="103"/>
  <c r="Z24" i="103" s="1"/>
  <c r="R24" i="103"/>
  <c r="N24" i="103"/>
  <c r="L24" i="103"/>
  <c r="B24" i="103"/>
  <c r="Z23" i="103"/>
  <c r="X23" i="103"/>
  <c r="R23" i="103"/>
  <c r="N23" i="103"/>
  <c r="L23" i="103"/>
  <c r="B23" i="103"/>
  <c r="Z22" i="103"/>
  <c r="X22" i="103"/>
  <c r="R22" i="103"/>
  <c r="L22" i="103"/>
  <c r="N22" i="103" s="1"/>
  <c r="J22" i="103"/>
  <c r="B22" i="103"/>
  <c r="Z21" i="103"/>
  <c r="X21" i="103"/>
  <c r="L21" i="103"/>
  <c r="N21" i="103" s="1"/>
  <c r="B21" i="103"/>
  <c r="X20" i="103"/>
  <c r="Z20" i="103" s="1"/>
  <c r="R20" i="103"/>
  <c r="L20" i="103"/>
  <c r="N20" i="103" s="1"/>
  <c r="B20" i="103"/>
  <c r="T19" i="103"/>
  <c r="R19" i="103"/>
  <c r="P19" i="103"/>
  <c r="H19" i="103"/>
  <c r="D19" i="103"/>
  <c r="L19" i="103" s="1"/>
  <c r="N19" i="103" s="1"/>
  <c r="B19" i="103"/>
  <c r="T18" i="103"/>
  <c r="P18" i="103"/>
  <c r="X18" i="103" s="1"/>
  <c r="L18" i="103"/>
  <c r="N18" i="103" s="1"/>
  <c r="H18" i="103"/>
  <c r="D18" i="103"/>
  <c r="P16" i="103"/>
  <c r="J16" i="103"/>
  <c r="Z14" i="103"/>
  <c r="X14" i="103"/>
  <c r="T14" i="103"/>
  <c r="P14" i="103"/>
  <c r="H14" i="103"/>
  <c r="D14" i="103"/>
  <c r="T12" i="103"/>
  <c r="V54" i="103" s="1"/>
  <c r="P12" i="103"/>
  <c r="R35" i="103" s="1"/>
  <c r="H12" i="103"/>
  <c r="J29" i="103" s="1"/>
  <c r="D12" i="103"/>
  <c r="F34" i="103" s="1"/>
  <c r="D6" i="103"/>
  <c r="D4" i="103"/>
  <c r="Z87" i="102"/>
  <c r="X87" i="102"/>
  <c r="L87" i="102"/>
  <c r="N87" i="102" s="1"/>
  <c r="X83" i="102"/>
  <c r="T83" i="102"/>
  <c r="Z83" i="102" s="1"/>
  <c r="P83" i="102"/>
  <c r="H83" i="102"/>
  <c r="D83" i="102"/>
  <c r="B83" i="102"/>
  <c r="T82" i="102"/>
  <c r="P82" i="102"/>
  <c r="D82" i="102"/>
  <c r="Z80" i="102"/>
  <c r="X80" i="102"/>
  <c r="N80" i="102"/>
  <c r="L80" i="102"/>
  <c r="B80" i="102"/>
  <c r="T79" i="102"/>
  <c r="P79" i="102"/>
  <c r="X79" i="102" s="1"/>
  <c r="N79" i="102"/>
  <c r="H79" i="102"/>
  <c r="D79" i="102"/>
  <c r="L79" i="102" s="1"/>
  <c r="B79" i="102"/>
  <c r="X78" i="102"/>
  <c r="Z78" i="102" s="1"/>
  <c r="N78" i="102"/>
  <c r="L78" i="102"/>
  <c r="B78" i="102"/>
  <c r="X77" i="102"/>
  <c r="Z77" i="102" s="1"/>
  <c r="T77" i="102"/>
  <c r="P77" i="102"/>
  <c r="N77" i="102"/>
  <c r="L77" i="102"/>
  <c r="H77" i="102"/>
  <c r="D77" i="102"/>
  <c r="B77" i="102"/>
  <c r="Z76" i="102"/>
  <c r="X76" i="102"/>
  <c r="N76" i="102"/>
  <c r="L76" i="102"/>
  <c r="B76" i="102"/>
  <c r="T75" i="102"/>
  <c r="P75" i="102"/>
  <c r="L75" i="102"/>
  <c r="H75" i="102"/>
  <c r="N75" i="102" s="1"/>
  <c r="D75" i="102"/>
  <c r="B75" i="102"/>
  <c r="X74" i="102"/>
  <c r="Z74" i="102" s="1"/>
  <c r="L74" i="102"/>
  <c r="N74" i="102" s="1"/>
  <c r="B74" i="102"/>
  <c r="Z73" i="102"/>
  <c r="X73" i="102"/>
  <c r="N73" i="102"/>
  <c r="L73" i="102"/>
  <c r="B73" i="102"/>
  <c r="Z72" i="102"/>
  <c r="X72" i="102"/>
  <c r="L72" i="102"/>
  <c r="N72" i="102" s="1"/>
  <c r="B72" i="102"/>
  <c r="X71" i="102"/>
  <c r="Z71" i="102" s="1"/>
  <c r="L71" i="102"/>
  <c r="N71" i="102" s="1"/>
  <c r="B71" i="102"/>
  <c r="X70" i="102"/>
  <c r="Z70" i="102" s="1"/>
  <c r="N70" i="102"/>
  <c r="L70" i="102"/>
  <c r="B70" i="102"/>
  <c r="Z69" i="102"/>
  <c r="X69" i="102"/>
  <c r="N69" i="102"/>
  <c r="L69" i="102"/>
  <c r="B69" i="102"/>
  <c r="Z68" i="102"/>
  <c r="X68" i="102"/>
  <c r="N68" i="102"/>
  <c r="L68" i="102"/>
  <c r="B68" i="102"/>
  <c r="T67" i="102"/>
  <c r="P67" i="102"/>
  <c r="X67" i="102" s="1"/>
  <c r="H67" i="102"/>
  <c r="D67" i="102"/>
  <c r="L67" i="102" s="1"/>
  <c r="N67" i="102" s="1"/>
  <c r="B67" i="102"/>
  <c r="X66" i="102"/>
  <c r="Z66" i="102" s="1"/>
  <c r="N66" i="102"/>
  <c r="L66" i="102"/>
  <c r="B66" i="102"/>
  <c r="Z65" i="102"/>
  <c r="X65" i="102"/>
  <c r="N65" i="102"/>
  <c r="L65" i="102"/>
  <c r="B65" i="102"/>
  <c r="X64" i="102"/>
  <c r="Z64" i="102" s="1"/>
  <c r="N64" i="102"/>
  <c r="L64" i="102"/>
  <c r="B64" i="102"/>
  <c r="X63" i="102"/>
  <c r="Z63" i="102" s="1"/>
  <c r="T63" i="102"/>
  <c r="P63" i="102"/>
  <c r="L63" i="102"/>
  <c r="N63" i="102" s="1"/>
  <c r="H63" i="102"/>
  <c r="D63" i="102"/>
  <c r="B63" i="102"/>
  <c r="X62" i="102"/>
  <c r="Z62" i="102" s="1"/>
  <c r="L62" i="102"/>
  <c r="N62" i="102" s="1"/>
  <c r="B62" i="102"/>
  <c r="X61" i="102"/>
  <c r="T61" i="102"/>
  <c r="Z61" i="102" s="1"/>
  <c r="P61" i="102"/>
  <c r="H61" i="102"/>
  <c r="D61" i="102"/>
  <c r="B61" i="102"/>
  <c r="Z60" i="102"/>
  <c r="X60" i="102"/>
  <c r="L60" i="102"/>
  <c r="N60" i="102" s="1"/>
  <c r="B60" i="102"/>
  <c r="X59" i="102"/>
  <c r="Z59" i="102" s="1"/>
  <c r="L59" i="102"/>
  <c r="N59" i="102" s="1"/>
  <c r="B59" i="102"/>
  <c r="Z58" i="102"/>
  <c r="X58" i="102"/>
  <c r="N58" i="102"/>
  <c r="L58" i="102"/>
  <c r="B58" i="102"/>
  <c r="Z57" i="102"/>
  <c r="T57" i="102"/>
  <c r="P57" i="102"/>
  <c r="X57" i="102" s="1"/>
  <c r="H57" i="102"/>
  <c r="D57" i="102"/>
  <c r="L57" i="102" s="1"/>
  <c r="B57" i="102"/>
  <c r="X56" i="102"/>
  <c r="Z56" i="102" s="1"/>
  <c r="N56" i="102"/>
  <c r="L56" i="102"/>
  <c r="B56" i="102"/>
  <c r="X55" i="102"/>
  <c r="Z55" i="102" s="1"/>
  <c r="T55" i="102"/>
  <c r="P55" i="102"/>
  <c r="H55" i="102"/>
  <c r="D55" i="102"/>
  <c r="L55" i="102" s="1"/>
  <c r="N55" i="102" s="1"/>
  <c r="B55" i="102"/>
  <c r="Z54" i="102"/>
  <c r="X54" i="102"/>
  <c r="L54" i="102"/>
  <c r="N54" i="102" s="1"/>
  <c r="B54" i="102"/>
  <c r="T53" i="102"/>
  <c r="P53" i="102"/>
  <c r="H53" i="102"/>
  <c r="D53" i="102"/>
  <c r="B53" i="102"/>
  <c r="Z52" i="102"/>
  <c r="X52" i="102"/>
  <c r="N52" i="102"/>
  <c r="L52" i="102"/>
  <c r="B52" i="102"/>
  <c r="T51" i="102"/>
  <c r="P51" i="102"/>
  <c r="X51" i="102" s="1"/>
  <c r="N51" i="102"/>
  <c r="H51" i="102"/>
  <c r="D51" i="102"/>
  <c r="L51" i="102" s="1"/>
  <c r="B51" i="102"/>
  <c r="X50" i="102"/>
  <c r="Z50" i="102" s="1"/>
  <c r="N50" i="102"/>
  <c r="L50" i="102"/>
  <c r="B50" i="102"/>
  <c r="X49" i="102"/>
  <c r="Z49" i="102" s="1"/>
  <c r="T49" i="102"/>
  <c r="P49" i="102"/>
  <c r="L49" i="102"/>
  <c r="N49" i="102" s="1"/>
  <c r="H49" i="102"/>
  <c r="D49" i="102"/>
  <c r="B49" i="102"/>
  <c r="Z48" i="102"/>
  <c r="X48" i="102"/>
  <c r="N48" i="102"/>
  <c r="L48" i="102"/>
  <c r="B48" i="102"/>
  <c r="T47" i="102"/>
  <c r="P47" i="102"/>
  <c r="L47" i="102"/>
  <c r="H47" i="102"/>
  <c r="D47" i="102"/>
  <c r="B47" i="102"/>
  <c r="X46" i="102"/>
  <c r="Z46" i="102" s="1"/>
  <c r="V46" i="102"/>
  <c r="L46" i="102"/>
  <c r="N46" i="102" s="1"/>
  <c r="B46" i="102"/>
  <c r="T45" i="102"/>
  <c r="P45" i="102"/>
  <c r="H45" i="102"/>
  <c r="D45" i="102"/>
  <c r="B45" i="102"/>
  <c r="X44" i="102"/>
  <c r="Z44" i="102" s="1"/>
  <c r="N44" i="102"/>
  <c r="L44" i="102"/>
  <c r="B44" i="102"/>
  <c r="T43" i="102"/>
  <c r="P43" i="102"/>
  <c r="X43" i="102" s="1"/>
  <c r="Z43" i="102" s="1"/>
  <c r="L43" i="102"/>
  <c r="N43" i="102" s="1"/>
  <c r="H43" i="102"/>
  <c r="D43" i="102"/>
  <c r="B43" i="102"/>
  <c r="Z42" i="102"/>
  <c r="X42" i="102"/>
  <c r="L42" i="102"/>
  <c r="N42" i="102" s="1"/>
  <c r="B42" i="102"/>
  <c r="X41" i="102"/>
  <c r="Z41" i="102" s="1"/>
  <c r="N41" i="102"/>
  <c r="L41" i="102"/>
  <c r="B41" i="102"/>
  <c r="Z40" i="102"/>
  <c r="X40" i="102"/>
  <c r="N40" i="102"/>
  <c r="L40" i="102"/>
  <c r="B40" i="102"/>
  <c r="X39" i="102"/>
  <c r="Z39" i="102" s="1"/>
  <c r="L39" i="102"/>
  <c r="N39" i="102" s="1"/>
  <c r="B39" i="102"/>
  <c r="Z38" i="102"/>
  <c r="X38" i="102"/>
  <c r="N38" i="102"/>
  <c r="L38" i="102"/>
  <c r="B38" i="102"/>
  <c r="X37" i="102"/>
  <c r="Z37" i="102" s="1"/>
  <c r="N37" i="102"/>
  <c r="L37" i="102"/>
  <c r="B37" i="102"/>
  <c r="T36" i="102"/>
  <c r="P36" i="102"/>
  <c r="L36" i="102"/>
  <c r="N36" i="102" s="1"/>
  <c r="H36" i="102"/>
  <c r="D36" i="102"/>
  <c r="B36" i="102"/>
  <c r="X35" i="102"/>
  <c r="Z35" i="102" s="1"/>
  <c r="N35" i="102"/>
  <c r="L35" i="102"/>
  <c r="B35" i="102"/>
  <c r="X34" i="102"/>
  <c r="Z34" i="102" s="1"/>
  <c r="L34" i="102"/>
  <c r="N34" i="102" s="1"/>
  <c r="B34" i="102"/>
  <c r="Z33" i="102"/>
  <c r="X33" i="102"/>
  <c r="N33" i="102"/>
  <c r="L33" i="102"/>
  <c r="B33" i="102"/>
  <c r="Z32" i="102"/>
  <c r="X32" i="102"/>
  <c r="N32" i="102"/>
  <c r="L32" i="102"/>
  <c r="B32" i="102"/>
  <c r="X31" i="102"/>
  <c r="Z31" i="102" s="1"/>
  <c r="N31" i="102"/>
  <c r="L31" i="102"/>
  <c r="B31" i="102"/>
  <c r="Z30" i="102"/>
  <c r="X30" i="102"/>
  <c r="L30" i="102"/>
  <c r="N30" i="102" s="1"/>
  <c r="B30" i="102"/>
  <c r="Z29" i="102"/>
  <c r="X29" i="102"/>
  <c r="L29" i="102"/>
  <c r="N29" i="102" s="1"/>
  <c r="B29" i="102"/>
  <c r="X28" i="102"/>
  <c r="Z28" i="102" s="1"/>
  <c r="V28" i="102"/>
  <c r="L28" i="102"/>
  <c r="N28" i="102" s="1"/>
  <c r="B28" i="102"/>
  <c r="X27" i="102"/>
  <c r="Z27" i="102" s="1"/>
  <c r="N27" i="102"/>
  <c r="L27" i="102"/>
  <c r="B27" i="102"/>
  <c r="T26" i="102"/>
  <c r="P26" i="102"/>
  <c r="X26" i="102" s="1"/>
  <c r="Z26" i="102" s="1"/>
  <c r="H26" i="102"/>
  <c r="D26" i="102"/>
  <c r="B26" i="102"/>
  <c r="T25" i="102"/>
  <c r="P25" i="102"/>
  <c r="X25" i="102" s="1"/>
  <c r="Z25" i="102" s="1"/>
  <c r="H25" i="102"/>
  <c r="D25" i="102"/>
  <c r="L25" i="102" s="1"/>
  <c r="N25" i="102" s="1"/>
  <c r="Z21" i="102"/>
  <c r="X21" i="102"/>
  <c r="L21" i="102"/>
  <c r="N21" i="102" s="1"/>
  <c r="B21" i="102"/>
  <c r="X20" i="102"/>
  <c r="Z20" i="102" s="1"/>
  <c r="N20" i="102"/>
  <c r="L20" i="102"/>
  <c r="B20" i="102"/>
  <c r="T19" i="102"/>
  <c r="P19" i="102"/>
  <c r="X19" i="102" s="1"/>
  <c r="Z19" i="102" s="1"/>
  <c r="H19" i="102"/>
  <c r="D19" i="102"/>
  <c r="L19" i="102" s="1"/>
  <c r="N19" i="102" s="1"/>
  <c r="T17" i="102"/>
  <c r="P17" i="102"/>
  <c r="H17" i="102"/>
  <c r="N17" i="102" s="1"/>
  <c r="D17" i="102"/>
  <c r="L17" i="102" s="1"/>
  <c r="B17" i="102"/>
  <c r="T16" i="102"/>
  <c r="P16" i="102"/>
  <c r="X16" i="102" s="1"/>
  <c r="N16" i="102"/>
  <c r="L16" i="102"/>
  <c r="H16" i="102"/>
  <c r="D16" i="102"/>
  <c r="B16" i="102"/>
  <c r="X15" i="102"/>
  <c r="Z15" i="102" s="1"/>
  <c r="T15" i="102"/>
  <c r="P15" i="102"/>
  <c r="H15" i="102"/>
  <c r="D15" i="102"/>
  <c r="L15" i="102" s="1"/>
  <c r="B15" i="102"/>
  <c r="T14" i="102"/>
  <c r="P14" i="102"/>
  <c r="X14" i="102" s="1"/>
  <c r="N14" i="102"/>
  <c r="H14" i="102"/>
  <c r="D14" i="102"/>
  <c r="L14" i="102" s="1"/>
  <c r="B14" i="102"/>
  <c r="X13" i="102"/>
  <c r="T13" i="102"/>
  <c r="Z13" i="102" s="1"/>
  <c r="P13" i="102"/>
  <c r="L13" i="102"/>
  <c r="H13" i="102"/>
  <c r="D13" i="102"/>
  <c r="B13" i="102"/>
  <c r="T12" i="102"/>
  <c r="V55" i="102" s="1"/>
  <c r="D6" i="102"/>
  <c r="D4" i="102"/>
  <c r="Z71" i="101"/>
  <c r="X71" i="101"/>
  <c r="N71" i="101"/>
  <c r="L71" i="101"/>
  <c r="X67" i="101"/>
  <c r="T67" i="101"/>
  <c r="Z67" i="101" s="1"/>
  <c r="P67" i="101"/>
  <c r="H67" i="101"/>
  <c r="D67" i="101"/>
  <c r="B67" i="101"/>
  <c r="T66" i="101"/>
  <c r="P66" i="101"/>
  <c r="H66" i="101"/>
  <c r="D66" i="101"/>
  <c r="X64" i="101"/>
  <c r="Z64" i="101" s="1"/>
  <c r="L64" i="101"/>
  <c r="N64" i="101" s="1"/>
  <c r="B64" i="101"/>
  <c r="T63" i="101"/>
  <c r="P63" i="101"/>
  <c r="X63" i="101" s="1"/>
  <c r="Z63" i="101" s="1"/>
  <c r="H63" i="101"/>
  <c r="D63" i="101"/>
  <c r="B63" i="101"/>
  <c r="Z62" i="101"/>
  <c r="X62" i="101"/>
  <c r="N62" i="101"/>
  <c r="L62" i="101"/>
  <c r="B62" i="101"/>
  <c r="Z61" i="101"/>
  <c r="X61" i="101"/>
  <c r="N61" i="101"/>
  <c r="L61" i="101"/>
  <c r="B61" i="101"/>
  <c r="X60" i="101"/>
  <c r="Z60" i="101" s="1"/>
  <c r="N60" i="101"/>
  <c r="L60" i="101"/>
  <c r="B60" i="101"/>
  <c r="Z59" i="101"/>
  <c r="X59" i="101"/>
  <c r="L59" i="101"/>
  <c r="N59" i="101" s="1"/>
  <c r="B59" i="101"/>
  <c r="X58" i="101"/>
  <c r="Z58" i="101" s="1"/>
  <c r="N58" i="101"/>
  <c r="L58" i="101"/>
  <c r="B58" i="101"/>
  <c r="Z57" i="101"/>
  <c r="X57" i="101"/>
  <c r="N57" i="101"/>
  <c r="L57" i="101"/>
  <c r="B57" i="101"/>
  <c r="T56" i="101"/>
  <c r="Z56" i="101" s="1"/>
  <c r="P56" i="101"/>
  <c r="X56" i="101" s="1"/>
  <c r="H56" i="101"/>
  <c r="D56" i="101"/>
  <c r="L56" i="101" s="1"/>
  <c r="N56" i="101" s="1"/>
  <c r="B56" i="101"/>
  <c r="X55" i="101"/>
  <c r="Z55" i="101" s="1"/>
  <c r="N55" i="101"/>
  <c r="L55" i="101"/>
  <c r="B55" i="101"/>
  <c r="T54" i="101"/>
  <c r="P54" i="101"/>
  <c r="X54" i="101" s="1"/>
  <c r="Z54" i="101" s="1"/>
  <c r="N54" i="101"/>
  <c r="L54" i="101"/>
  <c r="H54" i="101"/>
  <c r="D54" i="101"/>
  <c r="B54" i="101"/>
  <c r="Z53" i="101"/>
  <c r="X53" i="101"/>
  <c r="N53" i="101"/>
  <c r="L53" i="101"/>
  <c r="F53" i="101"/>
  <c r="B53" i="101"/>
  <c r="T52" i="101"/>
  <c r="P52" i="101"/>
  <c r="L52" i="101"/>
  <c r="H52" i="101"/>
  <c r="N52" i="101" s="1"/>
  <c r="F52" i="101"/>
  <c r="D52" i="101"/>
  <c r="B52" i="101"/>
  <c r="X51" i="101"/>
  <c r="Z51" i="101" s="1"/>
  <c r="N51" i="101"/>
  <c r="L51" i="101"/>
  <c r="B51" i="101"/>
  <c r="Z50" i="101"/>
  <c r="X50" i="101"/>
  <c r="N50" i="101"/>
  <c r="L50" i="101"/>
  <c r="B50" i="101"/>
  <c r="T49" i="101"/>
  <c r="Z49" i="101" s="1"/>
  <c r="P49" i="101"/>
  <c r="X49" i="101" s="1"/>
  <c r="N49" i="101"/>
  <c r="L49" i="101"/>
  <c r="H49" i="101"/>
  <c r="D49" i="101"/>
  <c r="B49" i="101"/>
  <c r="X48" i="101"/>
  <c r="Z48" i="101" s="1"/>
  <c r="N48" i="101"/>
  <c r="L48" i="101"/>
  <c r="B48" i="101"/>
  <c r="T47" i="101"/>
  <c r="P47" i="101"/>
  <c r="X47" i="101" s="1"/>
  <c r="H47" i="101"/>
  <c r="L47" i="101" s="1"/>
  <c r="D47" i="101"/>
  <c r="B47" i="101"/>
  <c r="X46" i="101"/>
  <c r="Z46" i="101" s="1"/>
  <c r="N46" i="101"/>
  <c r="L46" i="101"/>
  <c r="B46" i="101"/>
  <c r="T45" i="101"/>
  <c r="P45" i="101"/>
  <c r="X45" i="101" s="1"/>
  <c r="Z45" i="101" s="1"/>
  <c r="L45" i="101"/>
  <c r="N45" i="101" s="1"/>
  <c r="H45" i="101"/>
  <c r="D45" i="101"/>
  <c r="B45" i="101"/>
  <c r="Z44" i="101"/>
  <c r="X44" i="101"/>
  <c r="L44" i="101"/>
  <c r="N44" i="101" s="1"/>
  <c r="B44" i="101"/>
  <c r="X43" i="101"/>
  <c r="Z43" i="101" s="1"/>
  <c r="T43" i="101"/>
  <c r="P43" i="101"/>
  <c r="H43" i="101"/>
  <c r="D43" i="101"/>
  <c r="L43" i="101" s="1"/>
  <c r="B43" i="101"/>
  <c r="Z42" i="101"/>
  <c r="X42" i="101"/>
  <c r="N42" i="101"/>
  <c r="L42" i="101"/>
  <c r="B42" i="101"/>
  <c r="T41" i="101"/>
  <c r="X41" i="101" s="1"/>
  <c r="P41" i="101"/>
  <c r="H41" i="101"/>
  <c r="N41" i="101" s="1"/>
  <c r="D41" i="101"/>
  <c r="L41" i="101" s="1"/>
  <c r="B41" i="101"/>
  <c r="Z40" i="101"/>
  <c r="X40" i="101"/>
  <c r="N40" i="101"/>
  <c r="L40" i="101"/>
  <c r="B40" i="101"/>
  <c r="X39" i="101"/>
  <c r="Z39" i="101" s="1"/>
  <c r="T39" i="101"/>
  <c r="P39" i="101"/>
  <c r="H39" i="101"/>
  <c r="D39" i="101"/>
  <c r="L39" i="101" s="1"/>
  <c r="N39" i="101" s="1"/>
  <c r="B39" i="101"/>
  <c r="Z38" i="101"/>
  <c r="X38" i="101"/>
  <c r="N38" i="101"/>
  <c r="L38" i="101"/>
  <c r="B38" i="101"/>
  <c r="T37" i="101"/>
  <c r="P37" i="101"/>
  <c r="X37" i="101" s="1"/>
  <c r="L37" i="101"/>
  <c r="N37" i="101" s="1"/>
  <c r="H37" i="101"/>
  <c r="D37" i="101"/>
  <c r="B37" i="101"/>
  <c r="X36" i="101"/>
  <c r="Z36" i="101" s="1"/>
  <c r="N36" i="101"/>
  <c r="L36" i="101"/>
  <c r="B36" i="101"/>
  <c r="T35" i="101"/>
  <c r="Z35" i="101" s="1"/>
  <c r="P35" i="101"/>
  <c r="X35" i="101" s="1"/>
  <c r="H35" i="101"/>
  <c r="L35" i="101" s="1"/>
  <c r="D35" i="101"/>
  <c r="B35" i="101"/>
  <c r="X34" i="101"/>
  <c r="Z34" i="101" s="1"/>
  <c r="N34" i="101"/>
  <c r="L34" i="101"/>
  <c r="B34" i="101"/>
  <c r="Z33" i="101"/>
  <c r="X33" i="101"/>
  <c r="N33" i="101"/>
  <c r="L33" i="101"/>
  <c r="F33" i="101"/>
  <c r="B33" i="101"/>
  <c r="Z32" i="101"/>
  <c r="X32" i="101"/>
  <c r="N32" i="101"/>
  <c r="L32" i="101"/>
  <c r="F32" i="101"/>
  <c r="B32" i="101"/>
  <c r="X31" i="101"/>
  <c r="Z31" i="101" s="1"/>
  <c r="L31" i="101"/>
  <c r="N31" i="101" s="1"/>
  <c r="B31" i="101"/>
  <c r="Z30" i="101"/>
  <c r="X30" i="101"/>
  <c r="N30" i="101"/>
  <c r="L30" i="101"/>
  <c r="B30" i="101"/>
  <c r="T29" i="101"/>
  <c r="P29" i="101"/>
  <c r="X29" i="101" s="1"/>
  <c r="Z29" i="101" s="1"/>
  <c r="L29" i="101"/>
  <c r="N29" i="101" s="1"/>
  <c r="H29" i="101"/>
  <c r="D29" i="101"/>
  <c r="B29" i="101"/>
  <c r="Z28" i="101"/>
  <c r="X28" i="101"/>
  <c r="N28" i="101"/>
  <c r="L28" i="101"/>
  <c r="B28" i="101"/>
  <c r="X27" i="101"/>
  <c r="Z27" i="101" s="1"/>
  <c r="N27" i="101"/>
  <c r="L27" i="101"/>
  <c r="B27" i="101"/>
  <c r="Z26" i="101"/>
  <c r="X26" i="101"/>
  <c r="N26" i="101"/>
  <c r="L26" i="101"/>
  <c r="B26" i="101"/>
  <c r="T25" i="101"/>
  <c r="Z25" i="101" s="1"/>
  <c r="P25" i="101"/>
  <c r="X25" i="101" s="1"/>
  <c r="L25" i="101"/>
  <c r="N25" i="101" s="1"/>
  <c r="H25" i="101"/>
  <c r="D25" i="101"/>
  <c r="B25" i="101"/>
  <c r="X24" i="101"/>
  <c r="Z24" i="101" s="1"/>
  <c r="T24" i="101"/>
  <c r="P24" i="101"/>
  <c r="H24" i="101"/>
  <c r="D24" i="101"/>
  <c r="L24" i="101" s="1"/>
  <c r="N24" i="101" s="1"/>
  <c r="D22" i="101"/>
  <c r="X20" i="101"/>
  <c r="Z20" i="101" s="1"/>
  <c r="N20" i="101"/>
  <c r="L20" i="101"/>
  <c r="B20" i="101"/>
  <c r="X19" i="101"/>
  <c r="Z19" i="101" s="1"/>
  <c r="L19" i="101"/>
  <c r="N19" i="101" s="1"/>
  <c r="B19" i="101"/>
  <c r="T18" i="101"/>
  <c r="P18" i="101"/>
  <c r="X18" i="101" s="1"/>
  <c r="Z18" i="101" s="1"/>
  <c r="L18" i="101"/>
  <c r="N18" i="101" s="1"/>
  <c r="H18" i="101"/>
  <c r="D18" i="101"/>
  <c r="Z16" i="101"/>
  <c r="X16" i="101"/>
  <c r="T16" i="101"/>
  <c r="P16" i="101"/>
  <c r="L16" i="101"/>
  <c r="H16" i="101"/>
  <c r="N16" i="101" s="1"/>
  <c r="D16" i="101"/>
  <c r="B16" i="101"/>
  <c r="T15" i="101"/>
  <c r="Z15" i="101" s="1"/>
  <c r="P15" i="101"/>
  <c r="X15" i="101" s="1"/>
  <c r="N15" i="101"/>
  <c r="H15" i="101"/>
  <c r="D15" i="101"/>
  <c r="L15" i="101" s="1"/>
  <c r="B15" i="101"/>
  <c r="T14" i="101"/>
  <c r="P14" i="101"/>
  <c r="H14" i="101"/>
  <c r="N14" i="101" s="1"/>
  <c r="D14" i="101"/>
  <c r="L14" i="101" s="1"/>
  <c r="B14" i="101"/>
  <c r="T13" i="101"/>
  <c r="T12" i="101" s="1"/>
  <c r="P13" i="101"/>
  <c r="P12" i="101" s="1"/>
  <c r="L13" i="101"/>
  <c r="N13" i="101" s="1"/>
  <c r="H13" i="101"/>
  <c r="D13" i="101"/>
  <c r="B13" i="101"/>
  <c r="D12" i="101"/>
  <c r="F64" i="101" s="1"/>
  <c r="D6" i="101"/>
  <c r="D4" i="101"/>
  <c r="V53" i="100"/>
  <c r="F53" i="100"/>
  <c r="V50" i="100"/>
  <c r="F50" i="100"/>
  <c r="Z48" i="100"/>
  <c r="X48" i="100"/>
  <c r="V48" i="100"/>
  <c r="N48" i="100"/>
  <c r="L48" i="100"/>
  <c r="F48" i="100"/>
  <c r="V46" i="100"/>
  <c r="F46" i="100"/>
  <c r="X44" i="100"/>
  <c r="Z44" i="100" s="1"/>
  <c r="V44" i="100"/>
  <c r="T44" i="100"/>
  <c r="P44" i="100"/>
  <c r="H44" i="100"/>
  <c r="F44" i="100"/>
  <c r="D44" i="100"/>
  <c r="L44" i="100" s="1"/>
  <c r="N44" i="100" s="1"/>
  <c r="B44" i="100"/>
  <c r="X43" i="100"/>
  <c r="Z43" i="100" s="1"/>
  <c r="T43" i="100"/>
  <c r="P43" i="100"/>
  <c r="H43" i="100"/>
  <c r="F43" i="100"/>
  <c r="Z41" i="100"/>
  <c r="X41" i="100"/>
  <c r="N41" i="100"/>
  <c r="L41" i="100"/>
  <c r="B41" i="100"/>
  <c r="X40" i="100"/>
  <c r="T40" i="100"/>
  <c r="Z40" i="100" s="1"/>
  <c r="R40" i="100"/>
  <c r="P40" i="100"/>
  <c r="H40" i="100"/>
  <c r="N40" i="100" s="1"/>
  <c r="D40" i="100"/>
  <c r="B40" i="100"/>
  <c r="Z39" i="100"/>
  <c r="X39" i="100"/>
  <c r="R39" i="100"/>
  <c r="L39" i="100"/>
  <c r="N39" i="100" s="1"/>
  <c r="F39" i="100"/>
  <c r="B39" i="100"/>
  <c r="T38" i="100"/>
  <c r="Z38" i="100" s="1"/>
  <c r="P38" i="100"/>
  <c r="X38" i="100" s="1"/>
  <c r="H38" i="100"/>
  <c r="F38" i="100"/>
  <c r="D38" i="100"/>
  <c r="L38" i="100" s="1"/>
  <c r="N38" i="100" s="1"/>
  <c r="B38" i="100"/>
  <c r="X37" i="100"/>
  <c r="Z37" i="100" s="1"/>
  <c r="V37" i="100"/>
  <c r="N37" i="100"/>
  <c r="L37" i="100"/>
  <c r="F37" i="100"/>
  <c r="B37" i="100"/>
  <c r="T36" i="100"/>
  <c r="P36" i="100"/>
  <c r="X36" i="100" s="1"/>
  <c r="Z36" i="100" s="1"/>
  <c r="N36" i="100"/>
  <c r="L36" i="100"/>
  <c r="H36" i="100"/>
  <c r="F36" i="100"/>
  <c r="D36" i="100"/>
  <c r="B36" i="100"/>
  <c r="Z35" i="100"/>
  <c r="X35" i="100"/>
  <c r="N35" i="100"/>
  <c r="L35" i="100"/>
  <c r="F35" i="100"/>
  <c r="B35" i="100"/>
  <c r="V34" i="100"/>
  <c r="T34" i="100"/>
  <c r="P34" i="100"/>
  <c r="L34" i="100"/>
  <c r="H34" i="100"/>
  <c r="N34" i="100" s="1"/>
  <c r="F34" i="100"/>
  <c r="D34" i="100"/>
  <c r="B34" i="100"/>
  <c r="X33" i="100"/>
  <c r="Z33" i="100" s="1"/>
  <c r="N33" i="100"/>
  <c r="L33" i="100"/>
  <c r="F33" i="100"/>
  <c r="B33" i="100"/>
  <c r="T32" i="100"/>
  <c r="P32" i="100"/>
  <c r="X32" i="100" s="1"/>
  <c r="Z32" i="100" s="1"/>
  <c r="H32" i="100"/>
  <c r="N32" i="100" s="1"/>
  <c r="F32" i="100"/>
  <c r="D32" i="100"/>
  <c r="L32" i="100" s="1"/>
  <c r="B32" i="100"/>
  <c r="Z31" i="100"/>
  <c r="X31" i="100"/>
  <c r="N31" i="100"/>
  <c r="L31" i="100"/>
  <c r="F31" i="100"/>
  <c r="B31" i="100"/>
  <c r="X30" i="100"/>
  <c r="Z30" i="100" s="1"/>
  <c r="V30" i="100"/>
  <c r="L30" i="100"/>
  <c r="N30" i="100" s="1"/>
  <c r="F30" i="100"/>
  <c r="B30" i="100"/>
  <c r="V29" i="100"/>
  <c r="T29" i="100"/>
  <c r="P29" i="100"/>
  <c r="X29" i="100" s="1"/>
  <c r="H29" i="100"/>
  <c r="L29" i="100" s="1"/>
  <c r="F29" i="100"/>
  <c r="D29" i="100"/>
  <c r="B29" i="100"/>
  <c r="X28" i="100"/>
  <c r="Z28" i="100" s="1"/>
  <c r="N28" i="100"/>
  <c r="L28" i="100"/>
  <c r="F28" i="100"/>
  <c r="B28" i="100"/>
  <c r="Z27" i="100"/>
  <c r="X27" i="100"/>
  <c r="N27" i="100"/>
  <c r="L27" i="100"/>
  <c r="F27" i="100"/>
  <c r="B27" i="100"/>
  <c r="X26" i="100"/>
  <c r="Z26" i="100" s="1"/>
  <c r="V26" i="100"/>
  <c r="N26" i="100"/>
  <c r="L26" i="100"/>
  <c r="F26" i="100"/>
  <c r="B26" i="100"/>
  <c r="X25" i="100"/>
  <c r="Z25" i="100" s="1"/>
  <c r="L25" i="100"/>
  <c r="N25" i="100" s="1"/>
  <c r="B25" i="100"/>
  <c r="X24" i="100"/>
  <c r="Z24" i="100" s="1"/>
  <c r="N24" i="100"/>
  <c r="L24" i="100"/>
  <c r="F24" i="100"/>
  <c r="B24" i="100"/>
  <c r="Z23" i="100"/>
  <c r="X23" i="100"/>
  <c r="N23" i="100"/>
  <c r="L23" i="100"/>
  <c r="F23" i="100"/>
  <c r="B23" i="100"/>
  <c r="X22" i="100"/>
  <c r="Z22" i="100" s="1"/>
  <c r="V22" i="100"/>
  <c r="N22" i="100"/>
  <c r="L22" i="100"/>
  <c r="F22" i="100"/>
  <c r="B22" i="100"/>
  <c r="X21" i="100"/>
  <c r="Z21" i="100" s="1"/>
  <c r="L21" i="100"/>
  <c r="N21" i="100" s="1"/>
  <c r="F21" i="100"/>
  <c r="B21" i="100"/>
  <c r="X20" i="100"/>
  <c r="V20" i="100"/>
  <c r="T20" i="100"/>
  <c r="Z20" i="100" s="1"/>
  <c r="R20" i="100"/>
  <c r="P20" i="100"/>
  <c r="H20" i="100"/>
  <c r="F20" i="100"/>
  <c r="D20" i="100"/>
  <c r="B20" i="100"/>
  <c r="V19" i="100"/>
  <c r="T19" i="100"/>
  <c r="P19" i="100"/>
  <c r="X19" i="100" s="1"/>
  <c r="L19" i="100"/>
  <c r="N19" i="100" s="1"/>
  <c r="H19" i="100"/>
  <c r="D19" i="100"/>
  <c r="V17" i="100"/>
  <c r="T17" i="100"/>
  <c r="Z15" i="100"/>
  <c r="X15" i="100"/>
  <c r="V15" i="100"/>
  <c r="R15" i="100"/>
  <c r="N15" i="100"/>
  <c r="L15" i="100"/>
  <c r="F15" i="100"/>
  <c r="B15" i="100"/>
  <c r="T14" i="100"/>
  <c r="Z14" i="100" s="1"/>
  <c r="P14" i="100"/>
  <c r="X14" i="100" s="1"/>
  <c r="N14" i="100"/>
  <c r="H14" i="100"/>
  <c r="F14" i="100"/>
  <c r="D14" i="100"/>
  <c r="D17" i="100" s="1"/>
  <c r="T12" i="100"/>
  <c r="V32" i="100" s="1"/>
  <c r="P12" i="100"/>
  <c r="R46" i="100" s="1"/>
  <c r="H12" i="100"/>
  <c r="D12" i="100"/>
  <c r="F41" i="100" s="1"/>
  <c r="D6" i="100"/>
  <c r="D4" i="100"/>
  <c r="Z55" i="99"/>
  <c r="X55" i="99"/>
  <c r="N55" i="99"/>
  <c r="L55" i="99"/>
  <c r="Z51" i="99"/>
  <c r="T51" i="99"/>
  <c r="P51" i="99"/>
  <c r="X51" i="99" s="1"/>
  <c r="H51" i="99"/>
  <c r="N51" i="99" s="1"/>
  <c r="D51" i="99"/>
  <c r="L51" i="99" s="1"/>
  <c r="Z49" i="99"/>
  <c r="X49" i="99"/>
  <c r="N49" i="99"/>
  <c r="L49" i="99"/>
  <c r="B49" i="99"/>
  <c r="T48" i="99"/>
  <c r="Z48" i="99" s="1"/>
  <c r="P48" i="99"/>
  <c r="X48" i="99" s="1"/>
  <c r="N48" i="99"/>
  <c r="L48" i="99"/>
  <c r="H48" i="99"/>
  <c r="D48" i="99"/>
  <c r="B48" i="99"/>
  <c r="Z47" i="99"/>
  <c r="X47" i="99"/>
  <c r="N47" i="99"/>
  <c r="L47" i="99"/>
  <c r="B47" i="99"/>
  <c r="Z46" i="99"/>
  <c r="X46" i="99"/>
  <c r="N46" i="99"/>
  <c r="L46" i="99"/>
  <c r="B46" i="99"/>
  <c r="Z45" i="99"/>
  <c r="T45" i="99"/>
  <c r="P45" i="99"/>
  <c r="X45" i="99" s="1"/>
  <c r="N45" i="99"/>
  <c r="H45" i="99"/>
  <c r="D45" i="99"/>
  <c r="L45" i="99" s="1"/>
  <c r="B45" i="99"/>
  <c r="Z44" i="99"/>
  <c r="X44" i="99"/>
  <c r="N44" i="99"/>
  <c r="L44" i="99"/>
  <c r="B44" i="99"/>
  <c r="X43" i="99"/>
  <c r="T43" i="99"/>
  <c r="Z43" i="99" s="1"/>
  <c r="P43" i="99"/>
  <c r="L43" i="99"/>
  <c r="H43" i="99"/>
  <c r="N43" i="99" s="1"/>
  <c r="D43" i="99"/>
  <c r="B43" i="99"/>
  <c r="Z42" i="99"/>
  <c r="X42" i="99"/>
  <c r="N42" i="99"/>
  <c r="L42" i="99"/>
  <c r="B42" i="99"/>
  <c r="Z41" i="99"/>
  <c r="T41" i="99"/>
  <c r="P41" i="99"/>
  <c r="X41" i="99" s="1"/>
  <c r="H41" i="99"/>
  <c r="N41" i="99" s="1"/>
  <c r="D41" i="99"/>
  <c r="L41" i="99" s="1"/>
  <c r="B41" i="99"/>
  <c r="Z40" i="99"/>
  <c r="X40" i="99"/>
  <c r="N40" i="99"/>
  <c r="L40" i="99"/>
  <c r="B40" i="99"/>
  <c r="T39" i="99"/>
  <c r="Z39" i="99" s="1"/>
  <c r="P39" i="99"/>
  <c r="X39" i="99" s="1"/>
  <c r="N39" i="99"/>
  <c r="H39" i="99"/>
  <c r="D39" i="99"/>
  <c r="L39" i="99" s="1"/>
  <c r="B39" i="99"/>
  <c r="Z38" i="99"/>
  <c r="X38" i="99"/>
  <c r="N38" i="99"/>
  <c r="L38" i="99"/>
  <c r="B38" i="99"/>
  <c r="X37" i="99"/>
  <c r="T37" i="99"/>
  <c r="Z37" i="99" s="1"/>
  <c r="P37" i="99"/>
  <c r="N37" i="99"/>
  <c r="L37" i="99"/>
  <c r="H37" i="99"/>
  <c r="D37" i="99"/>
  <c r="B37" i="99"/>
  <c r="Z36" i="99"/>
  <c r="X36" i="99"/>
  <c r="N36" i="99"/>
  <c r="L36" i="99"/>
  <c r="B36" i="99"/>
  <c r="Z35" i="99"/>
  <c r="X35" i="99"/>
  <c r="N35" i="99"/>
  <c r="L35" i="99"/>
  <c r="B35" i="99"/>
  <c r="Z34" i="99"/>
  <c r="X34" i="99"/>
  <c r="N34" i="99"/>
  <c r="L34" i="99"/>
  <c r="B34" i="99"/>
  <c r="Z33" i="99"/>
  <c r="X33" i="99"/>
  <c r="N33" i="99"/>
  <c r="L33" i="99"/>
  <c r="B33" i="99"/>
  <c r="Z32" i="99"/>
  <c r="T32" i="99"/>
  <c r="P32" i="99"/>
  <c r="X32" i="99" s="1"/>
  <c r="L32" i="99"/>
  <c r="H32" i="99"/>
  <c r="N32" i="99" s="1"/>
  <c r="D32" i="99"/>
  <c r="B32" i="99"/>
  <c r="Z31" i="99"/>
  <c r="X31" i="99"/>
  <c r="N31" i="99"/>
  <c r="L31" i="99"/>
  <c r="B31" i="99"/>
  <c r="Z30" i="99"/>
  <c r="X30" i="99"/>
  <c r="V30" i="99"/>
  <c r="N30" i="99"/>
  <c r="L30" i="99"/>
  <c r="B30" i="99"/>
  <c r="Z29" i="99"/>
  <c r="X29" i="99"/>
  <c r="N29" i="99"/>
  <c r="L29" i="99"/>
  <c r="B29" i="99"/>
  <c r="Z28" i="99"/>
  <c r="X28" i="99"/>
  <c r="N28" i="99"/>
  <c r="L28" i="99"/>
  <c r="B28" i="99"/>
  <c r="Z27" i="99"/>
  <c r="X27" i="99"/>
  <c r="N27" i="99"/>
  <c r="L27" i="99"/>
  <c r="B27" i="99"/>
  <c r="Z26" i="99"/>
  <c r="X26" i="99"/>
  <c r="V26" i="99"/>
  <c r="N26" i="99"/>
  <c r="L26" i="99"/>
  <c r="B26" i="99"/>
  <c r="Z25" i="99"/>
  <c r="X25" i="99"/>
  <c r="N25" i="99"/>
  <c r="L25" i="99"/>
  <c r="B25" i="99"/>
  <c r="Z24" i="99"/>
  <c r="X24" i="99"/>
  <c r="N24" i="99"/>
  <c r="L24" i="99"/>
  <c r="B24" i="99"/>
  <c r="Z23" i="99"/>
  <c r="T23" i="99"/>
  <c r="P23" i="99"/>
  <c r="X23" i="99" s="1"/>
  <c r="N23" i="99"/>
  <c r="H23" i="99"/>
  <c r="D23" i="99"/>
  <c r="L23" i="99" s="1"/>
  <c r="B23" i="99"/>
  <c r="X22" i="99"/>
  <c r="T22" i="99"/>
  <c r="Z22" i="99" s="1"/>
  <c r="P22" i="99"/>
  <c r="H22" i="99"/>
  <c r="N22" i="99" s="1"/>
  <c r="D22" i="99"/>
  <c r="L22" i="99" s="1"/>
  <c r="Z18" i="99"/>
  <c r="X18" i="99"/>
  <c r="N18" i="99"/>
  <c r="L18" i="99"/>
  <c r="B18" i="99"/>
  <c r="Z17" i="99"/>
  <c r="X17" i="99"/>
  <c r="N17" i="99"/>
  <c r="L17" i="99"/>
  <c r="B17" i="99"/>
  <c r="T16" i="99"/>
  <c r="Z16" i="99" s="1"/>
  <c r="P16" i="99"/>
  <c r="H16" i="99"/>
  <c r="N16" i="99" s="1"/>
  <c r="D16" i="99"/>
  <c r="L16" i="99" s="1"/>
  <c r="T14" i="99"/>
  <c r="Z14" i="99" s="1"/>
  <c r="P14" i="99"/>
  <c r="X14" i="99" s="1"/>
  <c r="N14" i="99"/>
  <c r="H14" i="99"/>
  <c r="D14" i="99"/>
  <c r="L14" i="99" s="1"/>
  <c r="B14" i="99"/>
  <c r="T13" i="99"/>
  <c r="T12" i="99" s="1"/>
  <c r="V23" i="99" s="1"/>
  <c r="P13" i="99"/>
  <c r="H13" i="99"/>
  <c r="D13" i="99"/>
  <c r="B13" i="99"/>
  <c r="D6" i="99"/>
  <c r="D4" i="99"/>
  <c r="Z89" i="98"/>
  <c r="X89" i="98"/>
  <c r="L89" i="98"/>
  <c r="N89" i="98" s="1"/>
  <c r="T85" i="98"/>
  <c r="P85" i="98"/>
  <c r="H85" i="98"/>
  <c r="H84" i="98" s="1"/>
  <c r="D85" i="98"/>
  <c r="L85" i="98" s="1"/>
  <c r="N85" i="98" s="1"/>
  <c r="B85" i="98"/>
  <c r="T84" i="98"/>
  <c r="P84" i="98"/>
  <c r="X82" i="98"/>
  <c r="Z82" i="98" s="1"/>
  <c r="N82" i="98"/>
  <c r="L82" i="98"/>
  <c r="B82" i="98"/>
  <c r="T81" i="98"/>
  <c r="Z81" i="98" s="1"/>
  <c r="P81" i="98"/>
  <c r="X81" i="98" s="1"/>
  <c r="N81" i="98"/>
  <c r="H81" i="98"/>
  <c r="D81" i="98"/>
  <c r="L81" i="98" s="1"/>
  <c r="B81" i="98"/>
  <c r="Z80" i="98"/>
  <c r="X80" i="98"/>
  <c r="L80" i="98"/>
  <c r="N80" i="98" s="1"/>
  <c r="B80" i="98"/>
  <c r="X79" i="98"/>
  <c r="Z79" i="98" s="1"/>
  <c r="T79" i="98"/>
  <c r="P79" i="98"/>
  <c r="L79" i="98"/>
  <c r="N79" i="98" s="1"/>
  <c r="H79" i="98"/>
  <c r="D79" i="98"/>
  <c r="B79" i="98"/>
  <c r="Z78" i="98"/>
  <c r="X78" i="98"/>
  <c r="N78" i="98"/>
  <c r="L78" i="98"/>
  <c r="F78" i="98"/>
  <c r="B78" i="98"/>
  <c r="Z77" i="98"/>
  <c r="X77" i="98"/>
  <c r="N77" i="98"/>
  <c r="L77" i="98"/>
  <c r="B77" i="98"/>
  <c r="Z76" i="98"/>
  <c r="X76" i="98"/>
  <c r="N76" i="98"/>
  <c r="L76" i="98"/>
  <c r="B76" i="98"/>
  <c r="Z75" i="98"/>
  <c r="X75" i="98"/>
  <c r="N75" i="98"/>
  <c r="L75" i="98"/>
  <c r="B75" i="98"/>
  <c r="Z74" i="98"/>
  <c r="X74" i="98"/>
  <c r="L74" i="98"/>
  <c r="N74" i="98" s="1"/>
  <c r="B74" i="98"/>
  <c r="Z73" i="98"/>
  <c r="X73" i="98"/>
  <c r="L73" i="98"/>
  <c r="N73" i="98" s="1"/>
  <c r="B73" i="98"/>
  <c r="X72" i="98"/>
  <c r="Z72" i="98" s="1"/>
  <c r="N72" i="98"/>
  <c r="L72" i="98"/>
  <c r="B72" i="98"/>
  <c r="Z71" i="98"/>
  <c r="X71" i="98"/>
  <c r="N71" i="98"/>
  <c r="L71" i="98"/>
  <c r="B71" i="98"/>
  <c r="T70" i="98"/>
  <c r="P70" i="98"/>
  <c r="X70" i="98" s="1"/>
  <c r="Z70" i="98" s="1"/>
  <c r="L70" i="98"/>
  <c r="N70" i="98" s="1"/>
  <c r="H70" i="98"/>
  <c r="D70" i="98"/>
  <c r="B70" i="98"/>
  <c r="X69" i="98"/>
  <c r="Z69" i="98" s="1"/>
  <c r="L69" i="98"/>
  <c r="N69" i="98" s="1"/>
  <c r="B69" i="98"/>
  <c r="Z68" i="98"/>
  <c r="X68" i="98"/>
  <c r="N68" i="98"/>
  <c r="L68" i="98"/>
  <c r="B68" i="98"/>
  <c r="Z67" i="98"/>
  <c r="T67" i="98"/>
  <c r="P67" i="98"/>
  <c r="X67" i="98" s="1"/>
  <c r="H67" i="98"/>
  <c r="N67" i="98" s="1"/>
  <c r="D67" i="98"/>
  <c r="L67" i="98" s="1"/>
  <c r="B67" i="98"/>
  <c r="X66" i="98"/>
  <c r="Z66" i="98" s="1"/>
  <c r="N66" i="98"/>
  <c r="L66" i="98"/>
  <c r="B66" i="98"/>
  <c r="X65" i="98"/>
  <c r="Z65" i="98" s="1"/>
  <c r="N65" i="98"/>
  <c r="L65" i="98"/>
  <c r="B65" i="98"/>
  <c r="Z64" i="98"/>
  <c r="X64" i="98"/>
  <c r="L64" i="98"/>
  <c r="N64" i="98" s="1"/>
  <c r="B64" i="98"/>
  <c r="X63" i="98"/>
  <c r="Z63" i="98" s="1"/>
  <c r="T63" i="98"/>
  <c r="P63" i="98"/>
  <c r="L63" i="98"/>
  <c r="N63" i="98" s="1"/>
  <c r="H63" i="98"/>
  <c r="D63" i="98"/>
  <c r="B63" i="98"/>
  <c r="Z62" i="98"/>
  <c r="X62" i="98"/>
  <c r="L62" i="98"/>
  <c r="N62" i="98" s="1"/>
  <c r="B62" i="98"/>
  <c r="Z61" i="98"/>
  <c r="X61" i="98"/>
  <c r="N61" i="98"/>
  <c r="L61" i="98"/>
  <c r="B61" i="98"/>
  <c r="X60" i="98"/>
  <c r="Z60" i="98" s="1"/>
  <c r="N60" i="98"/>
  <c r="L60" i="98"/>
  <c r="B60" i="98"/>
  <c r="T59" i="98"/>
  <c r="P59" i="98"/>
  <c r="H59" i="98"/>
  <c r="N59" i="98" s="1"/>
  <c r="D59" i="98"/>
  <c r="L59" i="98" s="1"/>
  <c r="B59" i="98"/>
  <c r="X58" i="98"/>
  <c r="Z58" i="98" s="1"/>
  <c r="N58" i="98"/>
  <c r="L58" i="98"/>
  <c r="B58" i="98"/>
  <c r="X57" i="98"/>
  <c r="Z57" i="98" s="1"/>
  <c r="L57" i="98"/>
  <c r="N57" i="98" s="1"/>
  <c r="B57" i="98"/>
  <c r="X56" i="98"/>
  <c r="Z56" i="98" s="1"/>
  <c r="T56" i="98"/>
  <c r="P56" i="98"/>
  <c r="H56" i="98"/>
  <c r="D56" i="98"/>
  <c r="L56" i="98" s="1"/>
  <c r="B56" i="98"/>
  <c r="Z55" i="98"/>
  <c r="X55" i="98"/>
  <c r="N55" i="98"/>
  <c r="L55" i="98"/>
  <c r="B55" i="98"/>
  <c r="T54" i="98"/>
  <c r="X54" i="98" s="1"/>
  <c r="P54" i="98"/>
  <c r="H54" i="98"/>
  <c r="N54" i="98" s="1"/>
  <c r="D54" i="98"/>
  <c r="L54" i="98" s="1"/>
  <c r="B54" i="98"/>
  <c r="Z53" i="98"/>
  <c r="X53" i="98"/>
  <c r="N53" i="98"/>
  <c r="L53" i="98"/>
  <c r="B53" i="98"/>
  <c r="X52" i="98"/>
  <c r="Z52" i="98" s="1"/>
  <c r="T52" i="98"/>
  <c r="P52" i="98"/>
  <c r="N52" i="98"/>
  <c r="H52" i="98"/>
  <c r="D52" i="98"/>
  <c r="L52" i="98" s="1"/>
  <c r="B52" i="98"/>
  <c r="Z51" i="98"/>
  <c r="X51" i="98"/>
  <c r="N51" i="98"/>
  <c r="L51" i="98"/>
  <c r="B51" i="98"/>
  <c r="T50" i="98"/>
  <c r="P50" i="98"/>
  <c r="N50" i="98"/>
  <c r="L50" i="98"/>
  <c r="H50" i="98"/>
  <c r="D50" i="98"/>
  <c r="B50" i="98"/>
  <c r="Z49" i="98"/>
  <c r="X49" i="98"/>
  <c r="V49" i="98"/>
  <c r="N49" i="98"/>
  <c r="L49" i="98"/>
  <c r="B49" i="98"/>
  <c r="T48" i="98"/>
  <c r="Z48" i="98" s="1"/>
  <c r="P48" i="98"/>
  <c r="X48" i="98" s="1"/>
  <c r="H48" i="98"/>
  <c r="L48" i="98" s="1"/>
  <c r="D48" i="98"/>
  <c r="B48" i="98"/>
  <c r="Z47" i="98"/>
  <c r="X47" i="98"/>
  <c r="N47" i="98"/>
  <c r="L47" i="98"/>
  <c r="B47" i="98"/>
  <c r="Z46" i="98"/>
  <c r="X46" i="98"/>
  <c r="L46" i="98"/>
  <c r="N46" i="98" s="1"/>
  <c r="F46" i="98"/>
  <c r="B46" i="98"/>
  <c r="T45" i="98"/>
  <c r="P45" i="98"/>
  <c r="X45" i="98" s="1"/>
  <c r="H45" i="98"/>
  <c r="F45" i="98"/>
  <c r="D45" i="98"/>
  <c r="B45" i="98"/>
  <c r="X44" i="98"/>
  <c r="Z44" i="98" s="1"/>
  <c r="N44" i="98"/>
  <c r="L44" i="98"/>
  <c r="B44" i="98"/>
  <c r="T43" i="98"/>
  <c r="P43" i="98"/>
  <c r="X43" i="98" s="1"/>
  <c r="Z43" i="98" s="1"/>
  <c r="H43" i="98"/>
  <c r="N43" i="98" s="1"/>
  <c r="D43" i="98"/>
  <c r="L43" i="98" s="1"/>
  <c r="B43" i="98"/>
  <c r="X42" i="98"/>
  <c r="Z42" i="98" s="1"/>
  <c r="N42" i="98"/>
  <c r="L42" i="98"/>
  <c r="B42" i="98"/>
  <c r="X41" i="98"/>
  <c r="Z41" i="98" s="1"/>
  <c r="T41" i="98"/>
  <c r="P41" i="98"/>
  <c r="N41" i="98"/>
  <c r="L41" i="98"/>
  <c r="H41" i="98"/>
  <c r="D41" i="98"/>
  <c r="B41" i="98"/>
  <c r="X40" i="98"/>
  <c r="Z40" i="98" s="1"/>
  <c r="L40" i="98"/>
  <c r="N40" i="98" s="1"/>
  <c r="B40" i="98"/>
  <c r="T39" i="98"/>
  <c r="P39" i="98"/>
  <c r="H39" i="98"/>
  <c r="N39" i="98" s="1"/>
  <c r="D39" i="98"/>
  <c r="L39" i="98" s="1"/>
  <c r="B39" i="98"/>
  <c r="X38" i="98"/>
  <c r="Z38" i="98" s="1"/>
  <c r="L38" i="98"/>
  <c r="N38" i="98" s="1"/>
  <c r="B38" i="98"/>
  <c r="X37" i="98"/>
  <c r="Z37" i="98" s="1"/>
  <c r="L37" i="98"/>
  <c r="N37" i="98" s="1"/>
  <c r="B37" i="98"/>
  <c r="Z36" i="98"/>
  <c r="X36" i="98"/>
  <c r="N36" i="98"/>
  <c r="L36" i="98"/>
  <c r="B36" i="98"/>
  <c r="Z35" i="98"/>
  <c r="X35" i="98"/>
  <c r="N35" i="98"/>
  <c r="L35" i="98"/>
  <c r="B35" i="98"/>
  <c r="X34" i="98"/>
  <c r="Z34" i="98" s="1"/>
  <c r="L34" i="98"/>
  <c r="N34" i="98" s="1"/>
  <c r="B34" i="98"/>
  <c r="X33" i="98"/>
  <c r="Z33" i="98" s="1"/>
  <c r="L33" i="98"/>
  <c r="N33" i="98" s="1"/>
  <c r="B33" i="98"/>
  <c r="X32" i="98"/>
  <c r="Z32" i="98" s="1"/>
  <c r="T32" i="98"/>
  <c r="P32" i="98"/>
  <c r="H32" i="98"/>
  <c r="D32" i="98"/>
  <c r="L32" i="98" s="1"/>
  <c r="B32" i="98"/>
  <c r="X31" i="98"/>
  <c r="Z31" i="98" s="1"/>
  <c r="N31" i="98"/>
  <c r="L31" i="98"/>
  <c r="B31" i="98"/>
  <c r="X30" i="98"/>
  <c r="Z30" i="98" s="1"/>
  <c r="N30" i="98"/>
  <c r="L30" i="98"/>
  <c r="B30" i="98"/>
  <c r="X29" i="98"/>
  <c r="Z29" i="98" s="1"/>
  <c r="N29" i="98"/>
  <c r="L29" i="98"/>
  <c r="B29" i="98"/>
  <c r="X28" i="98"/>
  <c r="Z28" i="98" s="1"/>
  <c r="L28" i="98"/>
  <c r="N28" i="98" s="1"/>
  <c r="B28" i="98"/>
  <c r="X27" i="98"/>
  <c r="Z27" i="98" s="1"/>
  <c r="N27" i="98"/>
  <c r="L27" i="98"/>
  <c r="B27" i="98"/>
  <c r="X26" i="98"/>
  <c r="Z26" i="98" s="1"/>
  <c r="N26" i="98"/>
  <c r="L26" i="98"/>
  <c r="B26" i="98"/>
  <c r="X25" i="98"/>
  <c r="Z25" i="98" s="1"/>
  <c r="V25" i="98"/>
  <c r="N25" i="98"/>
  <c r="L25" i="98"/>
  <c r="B25" i="98"/>
  <c r="X24" i="98"/>
  <c r="Z24" i="98" s="1"/>
  <c r="L24" i="98"/>
  <c r="N24" i="98" s="1"/>
  <c r="B24" i="98"/>
  <c r="X23" i="98"/>
  <c r="Z23" i="98" s="1"/>
  <c r="T23" i="98"/>
  <c r="P23" i="98"/>
  <c r="L23" i="98"/>
  <c r="N23" i="98" s="1"/>
  <c r="H23" i="98"/>
  <c r="D23" i="98"/>
  <c r="B23" i="98"/>
  <c r="T22" i="98"/>
  <c r="P22" i="98"/>
  <c r="X22" i="98" s="1"/>
  <c r="L22" i="98"/>
  <c r="N22" i="98" s="1"/>
  <c r="H22" i="98"/>
  <c r="D22" i="98"/>
  <c r="Z18" i="98"/>
  <c r="X18" i="98"/>
  <c r="L18" i="98"/>
  <c r="N18" i="98" s="1"/>
  <c r="F18" i="98"/>
  <c r="B18" i="98"/>
  <c r="Z17" i="98"/>
  <c r="X17" i="98"/>
  <c r="V17" i="98"/>
  <c r="L17" i="98"/>
  <c r="N17" i="98" s="1"/>
  <c r="B17" i="98"/>
  <c r="T16" i="98"/>
  <c r="P16" i="98"/>
  <c r="X16" i="98" s="1"/>
  <c r="Z16" i="98" s="1"/>
  <c r="H16" i="98"/>
  <c r="D16" i="98"/>
  <c r="L16" i="98" s="1"/>
  <c r="N16" i="98" s="1"/>
  <c r="X14" i="98"/>
  <c r="Z14" i="98" s="1"/>
  <c r="T14" i="98"/>
  <c r="P14" i="98"/>
  <c r="P12" i="98" s="1"/>
  <c r="H14" i="98"/>
  <c r="H12" i="98" s="1"/>
  <c r="D14" i="98"/>
  <c r="B14" i="98"/>
  <c r="T13" i="98"/>
  <c r="T12" i="98" s="1"/>
  <c r="V65" i="98" s="1"/>
  <c r="P13" i="98"/>
  <c r="H13" i="98"/>
  <c r="D13" i="98"/>
  <c r="L13" i="98" s="1"/>
  <c r="N13" i="98" s="1"/>
  <c r="B13" i="98"/>
  <c r="D12" i="98"/>
  <c r="F91" i="98" s="1"/>
  <c r="D6" i="98"/>
  <c r="D4" i="98"/>
  <c r="X95" i="96"/>
  <c r="Z95" i="96" s="1"/>
  <c r="L95" i="96"/>
  <c r="N95" i="96" s="1"/>
  <c r="Z91" i="96"/>
  <c r="V91" i="96"/>
  <c r="T91" i="96"/>
  <c r="T90" i="96" s="1"/>
  <c r="Z90" i="96" s="1"/>
  <c r="P91" i="96"/>
  <c r="X91" i="96" s="1"/>
  <c r="H91" i="96"/>
  <c r="H90" i="96" s="1"/>
  <c r="D91" i="96"/>
  <c r="B91" i="96"/>
  <c r="N90" i="96"/>
  <c r="D90" i="96"/>
  <c r="X88" i="96"/>
  <c r="Z88" i="96" s="1"/>
  <c r="L88" i="96"/>
  <c r="N88" i="96" s="1"/>
  <c r="B88" i="96"/>
  <c r="T87" i="96"/>
  <c r="P87" i="96"/>
  <c r="X87" i="96" s="1"/>
  <c r="Z87" i="96" s="1"/>
  <c r="H87" i="96"/>
  <c r="D87" i="96"/>
  <c r="B87" i="96"/>
  <c r="Z86" i="96"/>
  <c r="X86" i="96"/>
  <c r="N86" i="96"/>
  <c r="L86" i="96"/>
  <c r="B86" i="96"/>
  <c r="T85" i="96"/>
  <c r="P85" i="96"/>
  <c r="H85" i="96"/>
  <c r="D85" i="96"/>
  <c r="L85" i="96" s="1"/>
  <c r="B85" i="96"/>
  <c r="Z84" i="96"/>
  <c r="X84" i="96"/>
  <c r="N84" i="96"/>
  <c r="L84" i="96"/>
  <c r="B84" i="96"/>
  <c r="T83" i="96"/>
  <c r="P83" i="96"/>
  <c r="H83" i="96"/>
  <c r="N83" i="96" s="1"/>
  <c r="D83" i="96"/>
  <c r="L83" i="96" s="1"/>
  <c r="B83" i="96"/>
  <c r="Z82" i="96"/>
  <c r="X82" i="96"/>
  <c r="N82" i="96"/>
  <c r="L82" i="96"/>
  <c r="B82" i="96"/>
  <c r="T81" i="96"/>
  <c r="P81" i="96"/>
  <c r="X81" i="96" s="1"/>
  <c r="H81" i="96"/>
  <c r="D81" i="96"/>
  <c r="L81" i="96" s="1"/>
  <c r="N81" i="96" s="1"/>
  <c r="B81" i="96"/>
  <c r="Z80" i="96"/>
  <c r="X80" i="96"/>
  <c r="N80" i="96"/>
  <c r="L80" i="96"/>
  <c r="B80" i="96"/>
  <c r="Z79" i="96"/>
  <c r="X79" i="96"/>
  <c r="N79" i="96"/>
  <c r="L79" i="96"/>
  <c r="B79" i="96"/>
  <c r="Z78" i="96"/>
  <c r="X78" i="96"/>
  <c r="N78" i="96"/>
  <c r="L78" i="96"/>
  <c r="B78" i="96"/>
  <c r="X77" i="96"/>
  <c r="Z77" i="96" s="1"/>
  <c r="N77" i="96"/>
  <c r="L77" i="96"/>
  <c r="B77" i="96"/>
  <c r="X76" i="96"/>
  <c r="Z76" i="96" s="1"/>
  <c r="N76" i="96"/>
  <c r="L76" i="96"/>
  <c r="B76" i="96"/>
  <c r="Z75" i="96"/>
  <c r="X75" i="96"/>
  <c r="N75" i="96"/>
  <c r="L75" i="96"/>
  <c r="B75" i="96"/>
  <c r="X74" i="96"/>
  <c r="Z74" i="96" s="1"/>
  <c r="N74" i="96"/>
  <c r="L74" i="96"/>
  <c r="B74" i="96"/>
  <c r="X73" i="96"/>
  <c r="Z73" i="96" s="1"/>
  <c r="N73" i="96"/>
  <c r="L73" i="96"/>
  <c r="B73" i="96"/>
  <c r="Z72" i="96"/>
  <c r="X72" i="96"/>
  <c r="T72" i="96"/>
  <c r="P72" i="96"/>
  <c r="L72" i="96"/>
  <c r="H72" i="96"/>
  <c r="N72" i="96" s="1"/>
  <c r="D72" i="96"/>
  <c r="B72" i="96"/>
  <c r="Z71" i="96"/>
  <c r="X71" i="96"/>
  <c r="L71" i="96"/>
  <c r="N71" i="96" s="1"/>
  <c r="B71" i="96"/>
  <c r="Z70" i="96"/>
  <c r="X70" i="96"/>
  <c r="N70" i="96"/>
  <c r="L70" i="96"/>
  <c r="J70" i="96"/>
  <c r="B70" i="96"/>
  <c r="T69" i="96"/>
  <c r="Z69" i="96" s="1"/>
  <c r="P69" i="96"/>
  <c r="X69" i="96" s="1"/>
  <c r="L69" i="96"/>
  <c r="H69" i="96"/>
  <c r="N69" i="96" s="1"/>
  <c r="D69" i="96"/>
  <c r="B69" i="96"/>
  <c r="X68" i="96"/>
  <c r="Z68" i="96" s="1"/>
  <c r="V68" i="96"/>
  <c r="L68" i="96"/>
  <c r="N68" i="96" s="1"/>
  <c r="B68" i="96"/>
  <c r="X67" i="96"/>
  <c r="Z67" i="96" s="1"/>
  <c r="N67" i="96"/>
  <c r="L67" i="96"/>
  <c r="B67" i="96"/>
  <c r="Z66" i="96"/>
  <c r="X66" i="96"/>
  <c r="N66" i="96"/>
  <c r="L66" i="96"/>
  <c r="B66" i="96"/>
  <c r="X65" i="96"/>
  <c r="Z65" i="96" s="1"/>
  <c r="L65" i="96"/>
  <c r="N65" i="96" s="1"/>
  <c r="B65" i="96"/>
  <c r="X64" i="96"/>
  <c r="Z64" i="96" s="1"/>
  <c r="N64" i="96"/>
  <c r="L64" i="96"/>
  <c r="B64" i="96"/>
  <c r="T63" i="96"/>
  <c r="P63" i="96"/>
  <c r="X63" i="96" s="1"/>
  <c r="Z63" i="96" s="1"/>
  <c r="H63" i="96"/>
  <c r="D63" i="96"/>
  <c r="L63" i="96" s="1"/>
  <c r="B63" i="96"/>
  <c r="X62" i="96"/>
  <c r="Z62" i="96" s="1"/>
  <c r="N62" i="96"/>
  <c r="L62" i="96"/>
  <c r="B62" i="96"/>
  <c r="X61" i="96"/>
  <c r="Z61" i="96" s="1"/>
  <c r="N61" i="96"/>
  <c r="L61" i="96"/>
  <c r="B61" i="96"/>
  <c r="Z60" i="96"/>
  <c r="X60" i="96"/>
  <c r="N60" i="96"/>
  <c r="L60" i="96"/>
  <c r="J60" i="96"/>
  <c r="B60" i="96"/>
  <c r="X59" i="96"/>
  <c r="Z59" i="96" s="1"/>
  <c r="N59" i="96"/>
  <c r="L59" i="96"/>
  <c r="B59" i="96"/>
  <c r="T58" i="96"/>
  <c r="P58" i="96"/>
  <c r="L58" i="96"/>
  <c r="N58" i="96" s="1"/>
  <c r="H58" i="96"/>
  <c r="D58" i="96"/>
  <c r="B58" i="96"/>
  <c r="Z57" i="96"/>
  <c r="X57" i="96"/>
  <c r="V57" i="96"/>
  <c r="L57" i="96"/>
  <c r="N57" i="96" s="1"/>
  <c r="B57" i="96"/>
  <c r="T56" i="96"/>
  <c r="P56" i="96"/>
  <c r="H56" i="96"/>
  <c r="D56" i="96"/>
  <c r="B56" i="96"/>
  <c r="X55" i="96"/>
  <c r="Z55" i="96" s="1"/>
  <c r="L55" i="96"/>
  <c r="N55" i="96" s="1"/>
  <c r="B55" i="96"/>
  <c r="Z54" i="96"/>
  <c r="T54" i="96"/>
  <c r="P54" i="96"/>
  <c r="X54" i="96" s="1"/>
  <c r="H54" i="96"/>
  <c r="D54" i="96"/>
  <c r="L54" i="96" s="1"/>
  <c r="B54" i="96"/>
  <c r="X53" i="96"/>
  <c r="Z53" i="96" s="1"/>
  <c r="N53" i="96"/>
  <c r="L53" i="96"/>
  <c r="B53" i="96"/>
  <c r="X52" i="96"/>
  <c r="Z52" i="96" s="1"/>
  <c r="T52" i="96"/>
  <c r="P52" i="96"/>
  <c r="H52" i="96"/>
  <c r="D52" i="96"/>
  <c r="B52" i="96"/>
  <c r="X51" i="96"/>
  <c r="Z51" i="96" s="1"/>
  <c r="L51" i="96"/>
  <c r="N51" i="96" s="1"/>
  <c r="B51" i="96"/>
  <c r="T50" i="96"/>
  <c r="P50" i="96"/>
  <c r="H50" i="96"/>
  <c r="D50" i="96"/>
  <c r="B50" i="96"/>
  <c r="X49" i="96"/>
  <c r="Z49" i="96" s="1"/>
  <c r="L49" i="96"/>
  <c r="N49" i="96" s="1"/>
  <c r="B49" i="96"/>
  <c r="X48" i="96"/>
  <c r="T48" i="96"/>
  <c r="Z48" i="96" s="1"/>
  <c r="P48" i="96"/>
  <c r="N48" i="96"/>
  <c r="H48" i="96"/>
  <c r="D48" i="96"/>
  <c r="L48" i="96" s="1"/>
  <c r="B48" i="96"/>
  <c r="X47" i="96"/>
  <c r="Z47" i="96" s="1"/>
  <c r="L47" i="96"/>
  <c r="N47" i="96" s="1"/>
  <c r="B47" i="96"/>
  <c r="Z46" i="96"/>
  <c r="X46" i="96"/>
  <c r="N46" i="96"/>
  <c r="L46" i="96"/>
  <c r="B46" i="96"/>
  <c r="T45" i="96"/>
  <c r="P45" i="96"/>
  <c r="H45" i="96"/>
  <c r="D45" i="96"/>
  <c r="L45" i="96" s="1"/>
  <c r="B45" i="96"/>
  <c r="Z44" i="96"/>
  <c r="X44" i="96"/>
  <c r="L44" i="96"/>
  <c r="N44" i="96" s="1"/>
  <c r="B44" i="96"/>
  <c r="T43" i="96"/>
  <c r="Z43" i="96" s="1"/>
  <c r="P43" i="96"/>
  <c r="X43" i="96" s="1"/>
  <c r="H43" i="96"/>
  <c r="N43" i="96" s="1"/>
  <c r="D43" i="96"/>
  <c r="L43" i="96" s="1"/>
  <c r="B43" i="96"/>
  <c r="Z42" i="96"/>
  <c r="X42" i="96"/>
  <c r="L42" i="96"/>
  <c r="N42" i="96" s="1"/>
  <c r="B42" i="96"/>
  <c r="T41" i="96"/>
  <c r="P41" i="96"/>
  <c r="X41" i="96" s="1"/>
  <c r="L41" i="96"/>
  <c r="N41" i="96" s="1"/>
  <c r="H41" i="96"/>
  <c r="D41" i="96"/>
  <c r="B41" i="96"/>
  <c r="X40" i="96"/>
  <c r="Z40" i="96" s="1"/>
  <c r="N40" i="96"/>
  <c r="L40" i="96"/>
  <c r="B40" i="96"/>
  <c r="T39" i="96"/>
  <c r="Z39" i="96" s="1"/>
  <c r="P39" i="96"/>
  <c r="X39" i="96" s="1"/>
  <c r="H39" i="96"/>
  <c r="L39" i="96" s="1"/>
  <c r="D39" i="96"/>
  <c r="B39" i="96"/>
  <c r="X38" i="96"/>
  <c r="Z38" i="96" s="1"/>
  <c r="N38" i="96"/>
  <c r="L38" i="96"/>
  <c r="B38" i="96"/>
  <c r="Z37" i="96"/>
  <c r="X37" i="96"/>
  <c r="N37" i="96"/>
  <c r="L37" i="96"/>
  <c r="B37" i="96"/>
  <c r="X36" i="96"/>
  <c r="Z36" i="96" s="1"/>
  <c r="L36" i="96"/>
  <c r="N36" i="96" s="1"/>
  <c r="B36" i="96"/>
  <c r="X35" i="96"/>
  <c r="Z35" i="96" s="1"/>
  <c r="N35" i="96"/>
  <c r="L35" i="96"/>
  <c r="B35" i="96"/>
  <c r="X34" i="96"/>
  <c r="Z34" i="96" s="1"/>
  <c r="N34" i="96"/>
  <c r="L34" i="96"/>
  <c r="B34" i="96"/>
  <c r="Z33" i="96"/>
  <c r="X33" i="96"/>
  <c r="N33" i="96"/>
  <c r="L33" i="96"/>
  <c r="B33" i="96"/>
  <c r="Z32" i="96"/>
  <c r="X32" i="96"/>
  <c r="T32" i="96"/>
  <c r="P32" i="96"/>
  <c r="L32" i="96"/>
  <c r="N32" i="96" s="1"/>
  <c r="H32" i="96"/>
  <c r="D32" i="96"/>
  <c r="B32" i="96"/>
  <c r="Z31" i="96"/>
  <c r="X31" i="96"/>
  <c r="V31" i="96"/>
  <c r="L31" i="96"/>
  <c r="N31" i="96" s="1"/>
  <c r="B31" i="96"/>
  <c r="Z30" i="96"/>
  <c r="X30" i="96"/>
  <c r="N30" i="96"/>
  <c r="L30" i="96"/>
  <c r="B30" i="96"/>
  <c r="Z29" i="96"/>
  <c r="X29" i="96"/>
  <c r="L29" i="96"/>
  <c r="N29" i="96" s="1"/>
  <c r="B29" i="96"/>
  <c r="X28" i="96"/>
  <c r="Z28" i="96" s="1"/>
  <c r="V28" i="96"/>
  <c r="N28" i="96"/>
  <c r="L28" i="96"/>
  <c r="B28" i="96"/>
  <c r="X27" i="96"/>
  <c r="Z27" i="96" s="1"/>
  <c r="N27" i="96"/>
  <c r="L27" i="96"/>
  <c r="J27" i="96"/>
  <c r="B27" i="96"/>
  <c r="X26" i="96"/>
  <c r="Z26" i="96" s="1"/>
  <c r="L26" i="96"/>
  <c r="N26" i="96" s="1"/>
  <c r="B26" i="96"/>
  <c r="X25" i="96"/>
  <c r="Z25" i="96" s="1"/>
  <c r="L25" i="96"/>
  <c r="N25" i="96" s="1"/>
  <c r="B25" i="96"/>
  <c r="Z24" i="96"/>
  <c r="X24" i="96"/>
  <c r="N24" i="96"/>
  <c r="L24" i="96"/>
  <c r="B24" i="96"/>
  <c r="T23" i="96"/>
  <c r="P23" i="96"/>
  <c r="X23" i="96" s="1"/>
  <c r="Z23" i="96" s="1"/>
  <c r="L23" i="96"/>
  <c r="H23" i="96"/>
  <c r="D23" i="96"/>
  <c r="B23" i="96"/>
  <c r="T22" i="96"/>
  <c r="Z22" i="96" s="1"/>
  <c r="P22" i="96"/>
  <c r="X22" i="96" s="1"/>
  <c r="N22" i="96"/>
  <c r="H22" i="96"/>
  <c r="D22" i="96"/>
  <c r="L22" i="96" s="1"/>
  <c r="X18" i="96"/>
  <c r="Z18" i="96" s="1"/>
  <c r="L18" i="96"/>
  <c r="N18" i="96" s="1"/>
  <c r="J18" i="96"/>
  <c r="B18" i="96"/>
  <c r="X17" i="96"/>
  <c r="Z17" i="96" s="1"/>
  <c r="L17" i="96"/>
  <c r="N17" i="96" s="1"/>
  <c r="B17" i="96"/>
  <c r="T16" i="96"/>
  <c r="P16" i="96"/>
  <c r="X16" i="96" s="1"/>
  <c r="Z16" i="96" s="1"/>
  <c r="H16" i="96"/>
  <c r="D16" i="96"/>
  <c r="L16" i="96" s="1"/>
  <c r="T14" i="96"/>
  <c r="P14" i="96"/>
  <c r="X14" i="96" s="1"/>
  <c r="Z14" i="96" s="1"/>
  <c r="L14" i="96"/>
  <c r="N14" i="96" s="1"/>
  <c r="H14" i="96"/>
  <c r="D14" i="96"/>
  <c r="B14" i="96"/>
  <c r="T13" i="96"/>
  <c r="T12" i="96" s="1"/>
  <c r="P13" i="96"/>
  <c r="H13" i="96"/>
  <c r="N13" i="96" s="1"/>
  <c r="D13" i="96"/>
  <c r="L13" i="96" s="1"/>
  <c r="B13" i="96"/>
  <c r="H12" i="96"/>
  <c r="D6" i="96"/>
  <c r="D4" i="96"/>
  <c r="X79" i="95"/>
  <c r="Z79" i="95" s="1"/>
  <c r="N79" i="95"/>
  <c r="L79" i="95"/>
  <c r="Z75" i="95"/>
  <c r="T75" i="95"/>
  <c r="P75" i="95"/>
  <c r="X75" i="95" s="1"/>
  <c r="H75" i="95"/>
  <c r="N75" i="95" s="1"/>
  <c r="D75" i="95"/>
  <c r="L75" i="95" s="1"/>
  <c r="Z73" i="95"/>
  <c r="X73" i="95"/>
  <c r="N73" i="95"/>
  <c r="L73" i="95"/>
  <c r="B73" i="95"/>
  <c r="T72" i="95"/>
  <c r="P72" i="95"/>
  <c r="N72" i="95"/>
  <c r="H72" i="95"/>
  <c r="D72" i="95"/>
  <c r="L72" i="95" s="1"/>
  <c r="B72" i="95"/>
  <c r="X71" i="95"/>
  <c r="Z71" i="95" s="1"/>
  <c r="N71" i="95"/>
  <c r="L71" i="95"/>
  <c r="B71" i="95"/>
  <c r="T70" i="95"/>
  <c r="Z70" i="95" s="1"/>
  <c r="P70" i="95"/>
  <c r="X70" i="95" s="1"/>
  <c r="H70" i="95"/>
  <c r="L70" i="95" s="1"/>
  <c r="D70" i="95"/>
  <c r="B70" i="95"/>
  <c r="Z69" i="95"/>
  <c r="X69" i="95"/>
  <c r="N69" i="95"/>
  <c r="L69" i="95"/>
  <c r="B69" i="95"/>
  <c r="Z68" i="95"/>
  <c r="X68" i="95"/>
  <c r="L68" i="95"/>
  <c r="N68" i="95" s="1"/>
  <c r="B68" i="95"/>
  <c r="Z67" i="95"/>
  <c r="X67" i="95"/>
  <c r="N67" i="95"/>
  <c r="L67" i="95"/>
  <c r="B67" i="95"/>
  <c r="X66" i="95"/>
  <c r="Z66" i="95" s="1"/>
  <c r="L66" i="95"/>
  <c r="N66" i="95" s="1"/>
  <c r="B66" i="95"/>
  <c r="Z65" i="95"/>
  <c r="X65" i="95"/>
  <c r="N65" i="95"/>
  <c r="L65" i="95"/>
  <c r="B65" i="95"/>
  <c r="Z64" i="95"/>
  <c r="X64" i="95"/>
  <c r="L64" i="95"/>
  <c r="N64" i="95" s="1"/>
  <c r="B64" i="95"/>
  <c r="Z63" i="95"/>
  <c r="X63" i="95"/>
  <c r="N63" i="95"/>
  <c r="L63" i="95"/>
  <c r="B63" i="95"/>
  <c r="X62" i="95"/>
  <c r="Z62" i="95" s="1"/>
  <c r="T62" i="95"/>
  <c r="P62" i="95"/>
  <c r="H62" i="95"/>
  <c r="D62" i="95"/>
  <c r="L62" i="95" s="1"/>
  <c r="N62" i="95" s="1"/>
  <c r="B62" i="95"/>
  <c r="Z61" i="95"/>
  <c r="X61" i="95"/>
  <c r="N61" i="95"/>
  <c r="L61" i="95"/>
  <c r="B61" i="95"/>
  <c r="T60" i="95"/>
  <c r="P60" i="95"/>
  <c r="N60" i="95"/>
  <c r="H60" i="95"/>
  <c r="D60" i="95"/>
  <c r="L60" i="95" s="1"/>
  <c r="B60" i="95"/>
  <c r="X59" i="95"/>
  <c r="Z59" i="95" s="1"/>
  <c r="N59" i="95"/>
  <c r="L59" i="95"/>
  <c r="B59" i="95"/>
  <c r="T58" i="95"/>
  <c r="Z58" i="95" s="1"/>
  <c r="P58" i="95"/>
  <c r="X58" i="95" s="1"/>
  <c r="H58" i="95"/>
  <c r="L58" i="95" s="1"/>
  <c r="D58" i="95"/>
  <c r="B58" i="95"/>
  <c r="Z57" i="95"/>
  <c r="X57" i="95"/>
  <c r="N57" i="95"/>
  <c r="L57" i="95"/>
  <c r="B57" i="95"/>
  <c r="T56" i="95"/>
  <c r="P56" i="95"/>
  <c r="X56" i="95" s="1"/>
  <c r="Z56" i="95" s="1"/>
  <c r="L56" i="95"/>
  <c r="N56" i="95" s="1"/>
  <c r="H56" i="95"/>
  <c r="D56" i="95"/>
  <c r="B56" i="95"/>
  <c r="X55" i="95"/>
  <c r="Z55" i="95" s="1"/>
  <c r="L55" i="95"/>
  <c r="N55" i="95" s="1"/>
  <c r="B55" i="95"/>
  <c r="X54" i="95"/>
  <c r="Z54" i="95" s="1"/>
  <c r="N54" i="95"/>
  <c r="L54" i="95"/>
  <c r="B54" i="95"/>
  <c r="T53" i="95"/>
  <c r="P53" i="95"/>
  <c r="X53" i="95" s="1"/>
  <c r="Z53" i="95" s="1"/>
  <c r="H53" i="95"/>
  <c r="N53" i="95" s="1"/>
  <c r="D53" i="95"/>
  <c r="L53" i="95" s="1"/>
  <c r="B53" i="95"/>
  <c r="X52" i="95"/>
  <c r="Z52" i="95" s="1"/>
  <c r="N52" i="95"/>
  <c r="L52" i="95"/>
  <c r="B52" i="95"/>
  <c r="X51" i="95"/>
  <c r="Z51" i="95" s="1"/>
  <c r="T51" i="95"/>
  <c r="P51" i="95"/>
  <c r="L51" i="95"/>
  <c r="N51" i="95" s="1"/>
  <c r="H51" i="95"/>
  <c r="D51" i="95"/>
  <c r="B51" i="95"/>
  <c r="X50" i="95"/>
  <c r="Z50" i="95" s="1"/>
  <c r="L50" i="95"/>
  <c r="N50" i="95" s="1"/>
  <c r="B50" i="95"/>
  <c r="T49" i="95"/>
  <c r="X49" i="95" s="1"/>
  <c r="Z49" i="95" s="1"/>
  <c r="R49" i="95"/>
  <c r="P49" i="95"/>
  <c r="H49" i="95"/>
  <c r="N49" i="95" s="1"/>
  <c r="D49" i="95"/>
  <c r="L49" i="95" s="1"/>
  <c r="B49" i="95"/>
  <c r="X48" i="95"/>
  <c r="Z48" i="95" s="1"/>
  <c r="N48" i="95"/>
  <c r="L48" i="95"/>
  <c r="B48" i="95"/>
  <c r="T47" i="95"/>
  <c r="Z47" i="95" s="1"/>
  <c r="P47" i="95"/>
  <c r="X47" i="95" s="1"/>
  <c r="N47" i="95"/>
  <c r="H47" i="95"/>
  <c r="D47" i="95"/>
  <c r="L47" i="95" s="1"/>
  <c r="B47" i="95"/>
  <c r="X46" i="95"/>
  <c r="Z46" i="95" s="1"/>
  <c r="L46" i="95"/>
  <c r="N46" i="95" s="1"/>
  <c r="B46" i="95"/>
  <c r="X45" i="95"/>
  <c r="Z45" i="95" s="1"/>
  <c r="T45" i="95"/>
  <c r="P45" i="95"/>
  <c r="L45" i="95"/>
  <c r="N45" i="95" s="1"/>
  <c r="H45" i="95"/>
  <c r="D45" i="95"/>
  <c r="B45" i="95"/>
  <c r="Z44" i="95"/>
  <c r="X44" i="95"/>
  <c r="L44" i="95"/>
  <c r="N44" i="95" s="1"/>
  <c r="B44" i="95"/>
  <c r="T43" i="95"/>
  <c r="P43" i="95"/>
  <c r="X43" i="95" s="1"/>
  <c r="H43" i="95"/>
  <c r="L43" i="95" s="1"/>
  <c r="N43" i="95" s="1"/>
  <c r="D43" i="95"/>
  <c r="B43" i="95"/>
  <c r="X42" i="95"/>
  <c r="Z42" i="95" s="1"/>
  <c r="L42" i="95"/>
  <c r="N42" i="95" s="1"/>
  <c r="B42" i="95"/>
  <c r="Z41" i="95"/>
  <c r="T41" i="95"/>
  <c r="P41" i="95"/>
  <c r="X41" i="95" s="1"/>
  <c r="H41" i="95"/>
  <c r="N41" i="95" s="1"/>
  <c r="D41" i="95"/>
  <c r="L41" i="95" s="1"/>
  <c r="B41" i="95"/>
  <c r="X40" i="95"/>
  <c r="Z40" i="95" s="1"/>
  <c r="N40" i="95"/>
  <c r="L40" i="95"/>
  <c r="B40" i="95"/>
  <c r="X39" i="95"/>
  <c r="Z39" i="95" s="1"/>
  <c r="T39" i="95"/>
  <c r="P39" i="95"/>
  <c r="L39" i="95"/>
  <c r="N39" i="95" s="1"/>
  <c r="H39" i="95"/>
  <c r="D39" i="95"/>
  <c r="B39" i="95"/>
  <c r="X38" i="95"/>
  <c r="Z38" i="95" s="1"/>
  <c r="L38" i="95"/>
  <c r="N38" i="95" s="1"/>
  <c r="B38" i="95"/>
  <c r="Z37" i="95"/>
  <c r="X37" i="95"/>
  <c r="N37" i="95"/>
  <c r="L37" i="95"/>
  <c r="B37" i="95"/>
  <c r="Z36" i="95"/>
  <c r="X36" i="95"/>
  <c r="N36" i="95"/>
  <c r="L36" i="95"/>
  <c r="B36" i="95"/>
  <c r="Z35" i="95"/>
  <c r="X35" i="95"/>
  <c r="R35" i="95"/>
  <c r="L35" i="95"/>
  <c r="N35" i="95" s="1"/>
  <c r="B35" i="95"/>
  <c r="Z34" i="95"/>
  <c r="X34" i="95"/>
  <c r="N34" i="95"/>
  <c r="L34" i="95"/>
  <c r="B34" i="95"/>
  <c r="Z33" i="95"/>
  <c r="X33" i="95"/>
  <c r="N33" i="95"/>
  <c r="L33" i="95"/>
  <c r="B33" i="95"/>
  <c r="Z32" i="95"/>
  <c r="T32" i="95"/>
  <c r="P32" i="95"/>
  <c r="X32" i="95" s="1"/>
  <c r="L32" i="95"/>
  <c r="N32" i="95" s="1"/>
  <c r="H32" i="95"/>
  <c r="D32" i="95"/>
  <c r="B32" i="95"/>
  <c r="X31" i="95"/>
  <c r="Z31" i="95" s="1"/>
  <c r="L31" i="95"/>
  <c r="N31" i="95" s="1"/>
  <c r="B31" i="95"/>
  <c r="X30" i="95"/>
  <c r="Z30" i="95" s="1"/>
  <c r="L30" i="95"/>
  <c r="N30" i="95" s="1"/>
  <c r="B30" i="95"/>
  <c r="Z29" i="95"/>
  <c r="X29" i="95"/>
  <c r="N29" i="95"/>
  <c r="L29" i="95"/>
  <c r="B29" i="95"/>
  <c r="X28" i="95"/>
  <c r="Z28" i="95" s="1"/>
  <c r="R28" i="95"/>
  <c r="L28" i="95"/>
  <c r="N28" i="95" s="1"/>
  <c r="B28" i="95"/>
  <c r="X27" i="95"/>
  <c r="Z27" i="95" s="1"/>
  <c r="L27" i="95"/>
  <c r="N27" i="95" s="1"/>
  <c r="B27" i="95"/>
  <c r="X26" i="95"/>
  <c r="Z26" i="95" s="1"/>
  <c r="L26" i="95"/>
  <c r="N26" i="95" s="1"/>
  <c r="B26" i="95"/>
  <c r="Z25" i="95"/>
  <c r="X25" i="95"/>
  <c r="L25" i="95"/>
  <c r="N25" i="95" s="1"/>
  <c r="B25" i="95"/>
  <c r="X24" i="95"/>
  <c r="Z24" i="95" s="1"/>
  <c r="R24" i="95"/>
  <c r="L24" i="95"/>
  <c r="N24" i="95" s="1"/>
  <c r="B24" i="95"/>
  <c r="T23" i="95"/>
  <c r="P23" i="95"/>
  <c r="X23" i="95" s="1"/>
  <c r="H23" i="95"/>
  <c r="D23" i="95"/>
  <c r="L23" i="95" s="1"/>
  <c r="N23" i="95" s="1"/>
  <c r="B23" i="95"/>
  <c r="X22" i="95"/>
  <c r="T22" i="95"/>
  <c r="P22" i="95"/>
  <c r="H22" i="95"/>
  <c r="L22" i="95" s="1"/>
  <c r="D22" i="95"/>
  <c r="X18" i="95"/>
  <c r="Z18" i="95" s="1"/>
  <c r="R18" i="95"/>
  <c r="L18" i="95"/>
  <c r="N18" i="95" s="1"/>
  <c r="B18" i="95"/>
  <c r="Z17" i="95"/>
  <c r="X17" i="95"/>
  <c r="N17" i="95"/>
  <c r="L17" i="95"/>
  <c r="B17" i="95"/>
  <c r="T16" i="95"/>
  <c r="R16" i="95"/>
  <c r="P16" i="95"/>
  <c r="L16" i="95"/>
  <c r="H16" i="95"/>
  <c r="D16" i="95"/>
  <c r="T14" i="95"/>
  <c r="Z14" i="95" s="1"/>
  <c r="P14" i="95"/>
  <c r="X14" i="95" s="1"/>
  <c r="H14" i="95"/>
  <c r="D14" i="95"/>
  <c r="L14" i="95" s="1"/>
  <c r="N14" i="95" s="1"/>
  <c r="B14" i="95"/>
  <c r="T13" i="95"/>
  <c r="P13" i="95"/>
  <c r="H13" i="95"/>
  <c r="D13" i="95"/>
  <c r="B13" i="95"/>
  <c r="P12" i="95"/>
  <c r="P20" i="95" s="1"/>
  <c r="D6" i="95"/>
  <c r="D4" i="95"/>
  <c r="Z75" i="94"/>
  <c r="X75" i="94"/>
  <c r="L75" i="94"/>
  <c r="N75" i="94" s="1"/>
  <c r="T71" i="94"/>
  <c r="P71" i="94"/>
  <c r="L71" i="94"/>
  <c r="H71" i="94"/>
  <c r="D71" i="94"/>
  <c r="D70" i="94" s="1"/>
  <c r="B71" i="94"/>
  <c r="P70" i="94"/>
  <c r="H70" i="94"/>
  <c r="Z68" i="94"/>
  <c r="X68" i="94"/>
  <c r="L68" i="94"/>
  <c r="N68" i="94" s="1"/>
  <c r="B68" i="94"/>
  <c r="T67" i="94"/>
  <c r="P67" i="94"/>
  <c r="X67" i="94" s="1"/>
  <c r="Z67" i="94" s="1"/>
  <c r="H67" i="94"/>
  <c r="D67" i="94"/>
  <c r="B67" i="94"/>
  <c r="Z66" i="94"/>
  <c r="X66" i="94"/>
  <c r="N66" i="94"/>
  <c r="L66" i="94"/>
  <c r="B66" i="94"/>
  <c r="T65" i="94"/>
  <c r="Z65" i="94" s="1"/>
  <c r="P65" i="94"/>
  <c r="N65" i="94"/>
  <c r="H65" i="94"/>
  <c r="D65" i="94"/>
  <c r="L65" i="94" s="1"/>
  <c r="B65" i="94"/>
  <c r="X64" i="94"/>
  <c r="Z64" i="94" s="1"/>
  <c r="N64" i="94"/>
  <c r="L64" i="94"/>
  <c r="F64" i="94"/>
  <c r="B64" i="94"/>
  <c r="X63" i="94"/>
  <c r="T63" i="94"/>
  <c r="P63" i="94"/>
  <c r="H63" i="94"/>
  <c r="D63" i="94"/>
  <c r="B63" i="94"/>
  <c r="Z62" i="94"/>
  <c r="X62" i="94"/>
  <c r="N62" i="94"/>
  <c r="L62" i="94"/>
  <c r="B62" i="94"/>
  <c r="Z61" i="94"/>
  <c r="X61" i="94"/>
  <c r="N61" i="94"/>
  <c r="L61" i="94"/>
  <c r="B61" i="94"/>
  <c r="Z60" i="94"/>
  <c r="X60" i="94"/>
  <c r="N60" i="94"/>
  <c r="L60" i="94"/>
  <c r="B60" i="94"/>
  <c r="X59" i="94"/>
  <c r="Z59" i="94" s="1"/>
  <c r="L59" i="94"/>
  <c r="N59" i="94" s="1"/>
  <c r="J59" i="94"/>
  <c r="B59" i="94"/>
  <c r="Z58" i="94"/>
  <c r="X58" i="94"/>
  <c r="N58" i="94"/>
  <c r="L58" i="94"/>
  <c r="B58" i="94"/>
  <c r="Z57" i="94"/>
  <c r="X57" i="94"/>
  <c r="L57" i="94"/>
  <c r="N57" i="94" s="1"/>
  <c r="B57" i="94"/>
  <c r="T56" i="94"/>
  <c r="P56" i="94"/>
  <c r="H56" i="94"/>
  <c r="L56" i="94" s="1"/>
  <c r="D56" i="94"/>
  <c r="B56" i="94"/>
  <c r="X55" i="94"/>
  <c r="Z55" i="94" s="1"/>
  <c r="N55" i="94"/>
  <c r="L55" i="94"/>
  <c r="B55" i="94"/>
  <c r="Z54" i="94"/>
  <c r="X54" i="94"/>
  <c r="N54" i="94"/>
  <c r="L54" i="94"/>
  <c r="B54" i="94"/>
  <c r="X53" i="94"/>
  <c r="T53" i="94"/>
  <c r="P53" i="94"/>
  <c r="N53" i="94"/>
  <c r="H53" i="94"/>
  <c r="D53" i="94"/>
  <c r="L53" i="94" s="1"/>
  <c r="B53" i="94"/>
  <c r="Z52" i="94"/>
  <c r="X52" i="94"/>
  <c r="V52" i="94"/>
  <c r="N52" i="94"/>
  <c r="L52" i="94"/>
  <c r="B52" i="94"/>
  <c r="X51" i="94"/>
  <c r="Z51" i="94" s="1"/>
  <c r="N51" i="94"/>
  <c r="L51" i="94"/>
  <c r="B51" i="94"/>
  <c r="Z50" i="94"/>
  <c r="X50" i="94"/>
  <c r="N50" i="94"/>
  <c r="L50" i="94"/>
  <c r="B50" i="94"/>
  <c r="T49" i="94"/>
  <c r="P49" i="94"/>
  <c r="N49" i="94"/>
  <c r="L49" i="94"/>
  <c r="H49" i="94"/>
  <c r="D49" i="94"/>
  <c r="B49" i="94"/>
  <c r="Z48" i="94"/>
  <c r="X48" i="94"/>
  <c r="N48" i="94"/>
  <c r="L48" i="94"/>
  <c r="B48" i="94"/>
  <c r="X47" i="94"/>
  <c r="Z47" i="94" s="1"/>
  <c r="T47" i="94"/>
  <c r="P47" i="94"/>
  <c r="H47" i="94"/>
  <c r="N47" i="94" s="1"/>
  <c r="D47" i="94"/>
  <c r="B47" i="94"/>
  <c r="Z46" i="94"/>
  <c r="X46" i="94"/>
  <c r="N46" i="94"/>
  <c r="L46" i="94"/>
  <c r="B46" i="94"/>
  <c r="X45" i="94"/>
  <c r="T45" i="94"/>
  <c r="P45" i="94"/>
  <c r="H45" i="94"/>
  <c r="D45" i="94"/>
  <c r="L45" i="94" s="1"/>
  <c r="N45" i="94" s="1"/>
  <c r="B45" i="94"/>
  <c r="Z44" i="94"/>
  <c r="X44" i="94"/>
  <c r="N44" i="94"/>
  <c r="L44" i="94"/>
  <c r="B44" i="94"/>
  <c r="T43" i="94"/>
  <c r="P43" i="94"/>
  <c r="X43" i="94" s="1"/>
  <c r="L43" i="94"/>
  <c r="H43" i="94"/>
  <c r="D43" i="94"/>
  <c r="B43" i="94"/>
  <c r="Z42" i="94"/>
  <c r="X42" i="94"/>
  <c r="N42" i="94"/>
  <c r="L42" i="94"/>
  <c r="J42" i="94"/>
  <c r="B42" i="94"/>
  <c r="T41" i="94"/>
  <c r="P41" i="94"/>
  <c r="X41" i="94" s="1"/>
  <c r="Z41" i="94" s="1"/>
  <c r="L41" i="94"/>
  <c r="H41" i="94"/>
  <c r="N41" i="94" s="1"/>
  <c r="D41" i="94"/>
  <c r="B41" i="94"/>
  <c r="X40" i="94"/>
  <c r="Z40" i="94" s="1"/>
  <c r="N40" i="94"/>
  <c r="L40" i="94"/>
  <c r="B40" i="94"/>
  <c r="X39" i="94"/>
  <c r="Z39" i="94" s="1"/>
  <c r="T39" i="94"/>
  <c r="P39" i="94"/>
  <c r="L39" i="94"/>
  <c r="H39" i="94"/>
  <c r="D39" i="94"/>
  <c r="B39" i="94"/>
  <c r="Z38" i="94"/>
  <c r="X38" i="94"/>
  <c r="N38" i="94"/>
  <c r="L38" i="94"/>
  <c r="B38" i="94"/>
  <c r="X37" i="94"/>
  <c r="Z37" i="94" s="1"/>
  <c r="N37" i="94"/>
  <c r="L37" i="94"/>
  <c r="B37" i="94"/>
  <c r="X36" i="94"/>
  <c r="Z36" i="94" s="1"/>
  <c r="N36" i="94"/>
  <c r="L36" i="94"/>
  <c r="B36" i="94"/>
  <c r="X35" i="94"/>
  <c r="Z35" i="94" s="1"/>
  <c r="N35" i="94"/>
  <c r="L35" i="94"/>
  <c r="B35" i="94"/>
  <c r="Z34" i="94"/>
  <c r="X34" i="94"/>
  <c r="N34" i="94"/>
  <c r="L34" i="94"/>
  <c r="B34" i="94"/>
  <c r="X33" i="94"/>
  <c r="Z33" i="94" s="1"/>
  <c r="N33" i="94"/>
  <c r="L33" i="94"/>
  <c r="J33" i="94"/>
  <c r="B33" i="94"/>
  <c r="T32" i="94"/>
  <c r="P32" i="94"/>
  <c r="X32" i="94" s="1"/>
  <c r="Z32" i="94" s="1"/>
  <c r="N32" i="94"/>
  <c r="L32" i="94"/>
  <c r="H32" i="94"/>
  <c r="F32" i="94"/>
  <c r="D32" i="94"/>
  <c r="B32" i="94"/>
  <c r="Z31" i="94"/>
  <c r="X31" i="94"/>
  <c r="L31" i="94"/>
  <c r="N31" i="94" s="1"/>
  <c r="B31" i="94"/>
  <c r="Z30" i="94"/>
  <c r="X30" i="94"/>
  <c r="V30" i="94"/>
  <c r="N30" i="94"/>
  <c r="L30" i="94"/>
  <c r="B30" i="94"/>
  <c r="Z29" i="94"/>
  <c r="X29" i="94"/>
  <c r="L29" i="94"/>
  <c r="N29" i="94" s="1"/>
  <c r="B29" i="94"/>
  <c r="X28" i="94"/>
  <c r="Z28" i="94" s="1"/>
  <c r="L28" i="94"/>
  <c r="N28" i="94" s="1"/>
  <c r="B28" i="94"/>
  <c r="Z27" i="94"/>
  <c r="X27" i="94"/>
  <c r="N27" i="94"/>
  <c r="L27" i="94"/>
  <c r="B27" i="94"/>
  <c r="X26" i="94"/>
  <c r="Z26" i="94" s="1"/>
  <c r="N26" i="94"/>
  <c r="L26" i="94"/>
  <c r="B26" i="94"/>
  <c r="Z25" i="94"/>
  <c r="X25" i="94"/>
  <c r="L25" i="94"/>
  <c r="N25" i="94" s="1"/>
  <c r="B25" i="94"/>
  <c r="X24" i="94"/>
  <c r="Z24" i="94" s="1"/>
  <c r="L24" i="94"/>
  <c r="N24" i="94" s="1"/>
  <c r="B24" i="94"/>
  <c r="Z23" i="94"/>
  <c r="X23" i="94"/>
  <c r="T23" i="94"/>
  <c r="P23" i="94"/>
  <c r="J23" i="94"/>
  <c r="H23" i="94"/>
  <c r="D23" i="94"/>
  <c r="B23" i="94"/>
  <c r="T22" i="94"/>
  <c r="Z22" i="94" s="1"/>
  <c r="P22" i="94"/>
  <c r="X22" i="94" s="1"/>
  <c r="J22" i="94"/>
  <c r="H22" i="94"/>
  <c r="D22" i="94"/>
  <c r="L22" i="94" s="1"/>
  <c r="Z18" i="94"/>
  <c r="X18" i="94"/>
  <c r="L18" i="94"/>
  <c r="N18" i="94" s="1"/>
  <c r="B18" i="94"/>
  <c r="Z17" i="94"/>
  <c r="X17" i="94"/>
  <c r="L17" i="94"/>
  <c r="N17" i="94" s="1"/>
  <c r="B17" i="94"/>
  <c r="T16" i="94"/>
  <c r="P16" i="94"/>
  <c r="X16" i="94" s="1"/>
  <c r="J16" i="94"/>
  <c r="H16" i="94"/>
  <c r="D16" i="94"/>
  <c r="T14" i="94"/>
  <c r="P14" i="94"/>
  <c r="X14" i="94" s="1"/>
  <c r="L14" i="94"/>
  <c r="N14" i="94" s="1"/>
  <c r="H14" i="94"/>
  <c r="D14" i="94"/>
  <c r="B14" i="94"/>
  <c r="Z13" i="94"/>
  <c r="X13" i="94"/>
  <c r="T13" i="94"/>
  <c r="P13" i="94"/>
  <c r="H13" i="94"/>
  <c r="H12" i="94" s="1"/>
  <c r="J70" i="94" s="1"/>
  <c r="D13" i="94"/>
  <c r="D12" i="94" s="1"/>
  <c r="B13" i="94"/>
  <c r="T12" i="94"/>
  <c r="V62" i="94" s="1"/>
  <c r="D6" i="94"/>
  <c r="D4" i="94"/>
  <c r="Z82" i="93"/>
  <c r="X82" i="93"/>
  <c r="L82" i="93"/>
  <c r="N82" i="93" s="1"/>
  <c r="T78" i="93"/>
  <c r="Z78" i="93" s="1"/>
  <c r="P78" i="93"/>
  <c r="X78" i="93" s="1"/>
  <c r="H78" i="93"/>
  <c r="N78" i="93" s="1"/>
  <c r="D78" i="93"/>
  <c r="X76" i="93"/>
  <c r="Z76" i="93" s="1"/>
  <c r="N76" i="93"/>
  <c r="L76" i="93"/>
  <c r="B76" i="93"/>
  <c r="X75" i="93"/>
  <c r="Z75" i="93" s="1"/>
  <c r="T75" i="93"/>
  <c r="P75" i="93"/>
  <c r="H75" i="93"/>
  <c r="N75" i="93" s="1"/>
  <c r="D75" i="93"/>
  <c r="B75" i="93"/>
  <c r="X74" i="93"/>
  <c r="Z74" i="93" s="1"/>
  <c r="L74" i="93"/>
  <c r="N74" i="93" s="1"/>
  <c r="B74" i="93"/>
  <c r="X73" i="93"/>
  <c r="T73" i="93"/>
  <c r="R73" i="93"/>
  <c r="P73" i="93"/>
  <c r="N73" i="93"/>
  <c r="L73" i="93"/>
  <c r="H73" i="93"/>
  <c r="D73" i="93"/>
  <c r="B73" i="93"/>
  <c r="X72" i="93"/>
  <c r="Z72" i="93" s="1"/>
  <c r="L72" i="93"/>
  <c r="N72" i="93" s="1"/>
  <c r="B72" i="93"/>
  <c r="Z71" i="93"/>
  <c r="X71" i="93"/>
  <c r="N71" i="93"/>
  <c r="L71" i="93"/>
  <c r="B71" i="93"/>
  <c r="Z70" i="93"/>
  <c r="X70" i="93"/>
  <c r="N70" i="93"/>
  <c r="L70" i="93"/>
  <c r="B70" i="93"/>
  <c r="Z69" i="93"/>
  <c r="X69" i="93"/>
  <c r="L69" i="93"/>
  <c r="N69" i="93" s="1"/>
  <c r="B69" i="93"/>
  <c r="X68" i="93"/>
  <c r="Z68" i="93" s="1"/>
  <c r="N68" i="93"/>
  <c r="L68" i="93"/>
  <c r="B68" i="93"/>
  <c r="Z67" i="93"/>
  <c r="X67" i="93"/>
  <c r="L67" i="93"/>
  <c r="N67" i="93" s="1"/>
  <c r="B67" i="93"/>
  <c r="Z66" i="93"/>
  <c r="X66" i="93"/>
  <c r="N66" i="93"/>
  <c r="L66" i="93"/>
  <c r="B66" i="93"/>
  <c r="X65" i="93"/>
  <c r="Z65" i="93" s="1"/>
  <c r="L65" i="93"/>
  <c r="N65" i="93" s="1"/>
  <c r="B65" i="93"/>
  <c r="T64" i="93"/>
  <c r="P64" i="93"/>
  <c r="H64" i="93"/>
  <c r="D64" i="93"/>
  <c r="L64" i="93" s="1"/>
  <c r="N64" i="93" s="1"/>
  <c r="B64" i="93"/>
  <c r="X63" i="93"/>
  <c r="Z63" i="93" s="1"/>
  <c r="L63" i="93"/>
  <c r="N63" i="93" s="1"/>
  <c r="B63" i="93"/>
  <c r="X62" i="93"/>
  <c r="Z62" i="93" s="1"/>
  <c r="N62" i="93"/>
  <c r="L62" i="93"/>
  <c r="B62" i="93"/>
  <c r="X61" i="93"/>
  <c r="Z61" i="93" s="1"/>
  <c r="N61" i="93"/>
  <c r="L61" i="93"/>
  <c r="B61" i="93"/>
  <c r="T60" i="93"/>
  <c r="P60" i="93"/>
  <c r="X60" i="93" s="1"/>
  <c r="Z60" i="93" s="1"/>
  <c r="H60" i="93"/>
  <c r="N60" i="93" s="1"/>
  <c r="D60" i="93"/>
  <c r="L60" i="93" s="1"/>
  <c r="B60" i="93"/>
  <c r="X59" i="93"/>
  <c r="Z59" i="93" s="1"/>
  <c r="N59" i="93"/>
  <c r="L59" i="93"/>
  <c r="B59" i="93"/>
  <c r="Z58" i="93"/>
  <c r="X58" i="93"/>
  <c r="T58" i="93"/>
  <c r="P58" i="93"/>
  <c r="N58" i="93"/>
  <c r="L58" i="93"/>
  <c r="H58" i="93"/>
  <c r="D58" i="93"/>
  <c r="B58" i="93"/>
  <c r="X57" i="93"/>
  <c r="Z57" i="93" s="1"/>
  <c r="L57" i="93"/>
  <c r="N57" i="93" s="1"/>
  <c r="B57" i="93"/>
  <c r="X56" i="93"/>
  <c r="Z56" i="93" s="1"/>
  <c r="N56" i="93"/>
  <c r="L56" i="93"/>
  <c r="B56" i="93"/>
  <c r="Z55" i="93"/>
  <c r="X55" i="93"/>
  <c r="N55" i="93"/>
  <c r="L55" i="93"/>
  <c r="B55" i="93"/>
  <c r="Z54" i="93"/>
  <c r="T54" i="93"/>
  <c r="P54" i="93"/>
  <c r="X54" i="93" s="1"/>
  <c r="H54" i="93"/>
  <c r="D54" i="93"/>
  <c r="B54" i="93"/>
  <c r="X53" i="93"/>
  <c r="Z53" i="93" s="1"/>
  <c r="N53" i="93"/>
  <c r="L53" i="93"/>
  <c r="B53" i="93"/>
  <c r="T52" i="93"/>
  <c r="P52" i="93"/>
  <c r="X52" i="93" s="1"/>
  <c r="Z52" i="93" s="1"/>
  <c r="H52" i="93"/>
  <c r="N52" i="93" s="1"/>
  <c r="D52" i="93"/>
  <c r="L52" i="93" s="1"/>
  <c r="B52" i="93"/>
  <c r="X51" i="93"/>
  <c r="Z51" i="93" s="1"/>
  <c r="N51" i="93"/>
  <c r="L51" i="93"/>
  <c r="B51" i="93"/>
  <c r="Z50" i="93"/>
  <c r="X50" i="93"/>
  <c r="T50" i="93"/>
  <c r="P50" i="93"/>
  <c r="N50" i="93"/>
  <c r="L50" i="93"/>
  <c r="H50" i="93"/>
  <c r="D50" i="93"/>
  <c r="B50" i="93"/>
  <c r="X49" i="93"/>
  <c r="Z49" i="93" s="1"/>
  <c r="N49" i="93"/>
  <c r="L49" i="93"/>
  <c r="B49" i="93"/>
  <c r="T48" i="93"/>
  <c r="P48" i="93"/>
  <c r="N48" i="93"/>
  <c r="H48" i="93"/>
  <c r="D48" i="93"/>
  <c r="L48" i="93" s="1"/>
  <c r="B48" i="93"/>
  <c r="X47" i="93"/>
  <c r="Z47" i="93" s="1"/>
  <c r="L47" i="93"/>
  <c r="N47" i="93" s="1"/>
  <c r="B47" i="93"/>
  <c r="T46" i="93"/>
  <c r="Z46" i="93" s="1"/>
  <c r="P46" i="93"/>
  <c r="X46" i="93" s="1"/>
  <c r="H46" i="93"/>
  <c r="D46" i="93"/>
  <c r="L46" i="93" s="1"/>
  <c r="N46" i="93" s="1"/>
  <c r="B46" i="93"/>
  <c r="Z45" i="93"/>
  <c r="X45" i="93"/>
  <c r="L45" i="93"/>
  <c r="N45" i="93" s="1"/>
  <c r="B45" i="93"/>
  <c r="Z44" i="93"/>
  <c r="X44" i="93"/>
  <c r="T44" i="93"/>
  <c r="P44" i="93"/>
  <c r="N44" i="93"/>
  <c r="L44" i="93"/>
  <c r="H44" i="93"/>
  <c r="D44" i="93"/>
  <c r="B44" i="93"/>
  <c r="Z43" i="93"/>
  <c r="X43" i="93"/>
  <c r="L43" i="93"/>
  <c r="N43" i="93" s="1"/>
  <c r="B43" i="93"/>
  <c r="T42" i="93"/>
  <c r="P42" i="93"/>
  <c r="X42" i="93" s="1"/>
  <c r="Z42" i="93" s="1"/>
  <c r="H42" i="93"/>
  <c r="D42" i="93"/>
  <c r="B42" i="93"/>
  <c r="X41" i="93"/>
  <c r="Z41" i="93" s="1"/>
  <c r="N41" i="93"/>
  <c r="L41" i="93"/>
  <c r="B41" i="93"/>
  <c r="T40" i="93"/>
  <c r="P40" i="93"/>
  <c r="X40" i="93" s="1"/>
  <c r="Z40" i="93" s="1"/>
  <c r="H40" i="93"/>
  <c r="D40" i="93"/>
  <c r="L40" i="93" s="1"/>
  <c r="B40" i="93"/>
  <c r="X39" i="93"/>
  <c r="Z39" i="93" s="1"/>
  <c r="N39" i="93"/>
  <c r="L39" i="93"/>
  <c r="B39" i="93"/>
  <c r="Z38" i="93"/>
  <c r="X38" i="93"/>
  <c r="N38" i="93"/>
  <c r="L38" i="93"/>
  <c r="B38" i="93"/>
  <c r="Z37" i="93"/>
  <c r="X37" i="93"/>
  <c r="L37" i="93"/>
  <c r="N37" i="93" s="1"/>
  <c r="B37" i="93"/>
  <c r="Z36" i="93"/>
  <c r="X36" i="93"/>
  <c r="L36" i="93"/>
  <c r="N36" i="93" s="1"/>
  <c r="B36" i="93"/>
  <c r="X35" i="93"/>
  <c r="Z35" i="93" s="1"/>
  <c r="N35" i="93"/>
  <c r="L35" i="93"/>
  <c r="B35" i="93"/>
  <c r="Z34" i="93"/>
  <c r="X34" i="93"/>
  <c r="N34" i="93"/>
  <c r="L34" i="93"/>
  <c r="B34" i="93"/>
  <c r="T33" i="93"/>
  <c r="Z33" i="93" s="1"/>
  <c r="P33" i="93"/>
  <c r="X33" i="93" s="1"/>
  <c r="L33" i="93"/>
  <c r="H33" i="93"/>
  <c r="D33" i="93"/>
  <c r="B33" i="93"/>
  <c r="X32" i="93"/>
  <c r="Z32" i="93" s="1"/>
  <c r="N32" i="93"/>
  <c r="L32" i="93"/>
  <c r="J32" i="93"/>
  <c r="B32" i="93"/>
  <c r="Z31" i="93"/>
  <c r="X31" i="93"/>
  <c r="L31" i="93"/>
  <c r="N31" i="93" s="1"/>
  <c r="B31" i="93"/>
  <c r="Z30" i="93"/>
  <c r="X30" i="93"/>
  <c r="L30" i="93"/>
  <c r="N30" i="93" s="1"/>
  <c r="B30" i="93"/>
  <c r="X29" i="93"/>
  <c r="Z29" i="93" s="1"/>
  <c r="L29" i="93"/>
  <c r="N29" i="93" s="1"/>
  <c r="B29" i="93"/>
  <c r="X28" i="93"/>
  <c r="Z28" i="93" s="1"/>
  <c r="N28" i="93"/>
  <c r="L28" i="93"/>
  <c r="B28" i="93"/>
  <c r="Z27" i="93"/>
  <c r="X27" i="93"/>
  <c r="L27" i="93"/>
  <c r="N27" i="93" s="1"/>
  <c r="B27" i="93"/>
  <c r="Z26" i="93"/>
  <c r="X26" i="93"/>
  <c r="L26" i="93"/>
  <c r="N26" i="93" s="1"/>
  <c r="B26" i="93"/>
  <c r="X25" i="93"/>
  <c r="Z25" i="93" s="1"/>
  <c r="L25" i="93"/>
  <c r="N25" i="93" s="1"/>
  <c r="B25" i="93"/>
  <c r="T24" i="93"/>
  <c r="P24" i="93"/>
  <c r="N24" i="93"/>
  <c r="H24" i="93"/>
  <c r="D24" i="93"/>
  <c r="L24" i="93" s="1"/>
  <c r="B24" i="93"/>
  <c r="T23" i="93"/>
  <c r="P23" i="93"/>
  <c r="X23" i="93" s="1"/>
  <c r="L23" i="93"/>
  <c r="H23" i="93"/>
  <c r="D23" i="93"/>
  <c r="Z19" i="93"/>
  <c r="X19" i="93"/>
  <c r="N19" i="93"/>
  <c r="L19" i="93"/>
  <c r="B19" i="93"/>
  <c r="X18" i="93"/>
  <c r="Z18" i="93" s="1"/>
  <c r="N18" i="93"/>
  <c r="L18" i="93"/>
  <c r="J18" i="93"/>
  <c r="B18" i="93"/>
  <c r="X17" i="93"/>
  <c r="T17" i="93"/>
  <c r="P17" i="93"/>
  <c r="H17" i="93"/>
  <c r="D17" i="93"/>
  <c r="X15" i="93"/>
  <c r="T15" i="93"/>
  <c r="Z15" i="93" s="1"/>
  <c r="P15" i="93"/>
  <c r="N15" i="93"/>
  <c r="H15" i="93"/>
  <c r="D15" i="93"/>
  <c r="L15" i="93" s="1"/>
  <c r="B15" i="93"/>
  <c r="T14" i="93"/>
  <c r="X14" i="93" s="1"/>
  <c r="P14" i="93"/>
  <c r="N14" i="93"/>
  <c r="L14" i="93"/>
  <c r="H14" i="93"/>
  <c r="D14" i="93"/>
  <c r="B14" i="93"/>
  <c r="T13" i="93"/>
  <c r="T12" i="93" s="1"/>
  <c r="V60" i="93" s="1"/>
  <c r="P13" i="93"/>
  <c r="P12" i="93" s="1"/>
  <c r="L13" i="93"/>
  <c r="N13" i="93" s="1"/>
  <c r="H13" i="93"/>
  <c r="D13" i="93"/>
  <c r="B13" i="93"/>
  <c r="H12" i="93"/>
  <c r="J46" i="93" s="1"/>
  <c r="D6" i="93"/>
  <c r="D4" i="93"/>
  <c r="F103" i="92"/>
  <c r="Z98" i="92"/>
  <c r="X98" i="92"/>
  <c r="N98" i="92"/>
  <c r="L98" i="92"/>
  <c r="V96" i="92"/>
  <c r="T94" i="92"/>
  <c r="P94" i="92"/>
  <c r="L94" i="92"/>
  <c r="H94" i="92"/>
  <c r="N94" i="92" s="1"/>
  <c r="D94" i="92"/>
  <c r="B94" i="92"/>
  <c r="T93" i="92"/>
  <c r="T92" i="92" s="1"/>
  <c r="P93" i="92"/>
  <c r="H93" i="92"/>
  <c r="D93" i="92"/>
  <c r="B93" i="92"/>
  <c r="J92" i="92"/>
  <c r="Z90" i="92"/>
  <c r="X90" i="92"/>
  <c r="L90" i="92"/>
  <c r="N90" i="92" s="1"/>
  <c r="B90" i="92"/>
  <c r="T89" i="92"/>
  <c r="P89" i="92"/>
  <c r="X89" i="92" s="1"/>
  <c r="N89" i="92"/>
  <c r="H89" i="92"/>
  <c r="D89" i="92"/>
  <c r="L89" i="92" s="1"/>
  <c r="B89" i="92"/>
  <c r="Z88" i="92"/>
  <c r="X88" i="92"/>
  <c r="L88" i="92"/>
  <c r="N88" i="92" s="1"/>
  <c r="B88" i="92"/>
  <c r="X87" i="92"/>
  <c r="Z87" i="92" s="1"/>
  <c r="N87" i="92"/>
  <c r="L87" i="92"/>
  <c r="B87" i="92"/>
  <c r="X86" i="92"/>
  <c r="Z86" i="92" s="1"/>
  <c r="N86" i="92"/>
  <c r="L86" i="92"/>
  <c r="B86" i="92"/>
  <c r="X85" i="92"/>
  <c r="T85" i="92"/>
  <c r="Z85" i="92" s="1"/>
  <c r="P85" i="92"/>
  <c r="H85" i="92"/>
  <c r="D85" i="92"/>
  <c r="L85" i="92" s="1"/>
  <c r="B85" i="92"/>
  <c r="Z84" i="92"/>
  <c r="X84" i="92"/>
  <c r="N84" i="92"/>
  <c r="L84" i="92"/>
  <c r="B84" i="92"/>
  <c r="X83" i="92"/>
  <c r="T83" i="92"/>
  <c r="P83" i="92"/>
  <c r="N83" i="92"/>
  <c r="H83" i="92"/>
  <c r="D83" i="92"/>
  <c r="B83" i="92"/>
  <c r="Z82" i="92"/>
  <c r="X82" i="92"/>
  <c r="L82" i="92"/>
  <c r="N82" i="92" s="1"/>
  <c r="B82" i="92"/>
  <c r="T81" i="92"/>
  <c r="P81" i="92"/>
  <c r="H81" i="92"/>
  <c r="D81" i="92"/>
  <c r="L81" i="92" s="1"/>
  <c r="N81" i="92" s="1"/>
  <c r="B81" i="92"/>
  <c r="Z80" i="92"/>
  <c r="X80" i="92"/>
  <c r="N80" i="92"/>
  <c r="L80" i="92"/>
  <c r="B80" i="92"/>
  <c r="X79" i="92"/>
  <c r="Z79" i="92" s="1"/>
  <c r="N79" i="92"/>
  <c r="L79" i="92"/>
  <c r="B79" i="92"/>
  <c r="X78" i="92"/>
  <c r="Z78" i="92" s="1"/>
  <c r="N78" i="92"/>
  <c r="L78" i="92"/>
  <c r="B78" i="92"/>
  <c r="X77" i="92"/>
  <c r="Z77" i="92" s="1"/>
  <c r="N77" i="92"/>
  <c r="L77" i="92"/>
  <c r="B77" i="92"/>
  <c r="Z76" i="92"/>
  <c r="X76" i="92"/>
  <c r="L76" i="92"/>
  <c r="N76" i="92" s="1"/>
  <c r="B76" i="92"/>
  <c r="X75" i="92"/>
  <c r="Z75" i="92" s="1"/>
  <c r="L75" i="92"/>
  <c r="N75" i="92" s="1"/>
  <c r="B75" i="92"/>
  <c r="X74" i="92"/>
  <c r="Z74" i="92" s="1"/>
  <c r="L74" i="92"/>
  <c r="N74" i="92" s="1"/>
  <c r="B74" i="92"/>
  <c r="X73" i="92"/>
  <c r="Z73" i="92" s="1"/>
  <c r="N73" i="92"/>
  <c r="L73" i="92"/>
  <c r="B73" i="92"/>
  <c r="Z72" i="92"/>
  <c r="T72" i="92"/>
  <c r="P72" i="92"/>
  <c r="X72" i="92" s="1"/>
  <c r="L72" i="92"/>
  <c r="H72" i="92"/>
  <c r="D72" i="92"/>
  <c r="B72" i="92"/>
  <c r="X71" i="92"/>
  <c r="Z71" i="92" s="1"/>
  <c r="N71" i="92"/>
  <c r="L71" i="92"/>
  <c r="B71" i="92"/>
  <c r="Z70" i="92"/>
  <c r="X70" i="92"/>
  <c r="N70" i="92"/>
  <c r="L70" i="92"/>
  <c r="B70" i="92"/>
  <c r="Z69" i="92"/>
  <c r="T69" i="92"/>
  <c r="P69" i="92"/>
  <c r="X69" i="92" s="1"/>
  <c r="L69" i="92"/>
  <c r="H69" i="92"/>
  <c r="N69" i="92" s="1"/>
  <c r="D69" i="92"/>
  <c r="B69" i="92"/>
  <c r="X68" i="92"/>
  <c r="Z68" i="92" s="1"/>
  <c r="N68" i="92"/>
  <c r="L68" i="92"/>
  <c r="B68" i="92"/>
  <c r="Z67" i="92"/>
  <c r="X67" i="92"/>
  <c r="L67" i="92"/>
  <c r="N67" i="92" s="1"/>
  <c r="B67" i="92"/>
  <c r="Z66" i="92"/>
  <c r="X66" i="92"/>
  <c r="L66" i="92"/>
  <c r="N66" i="92" s="1"/>
  <c r="B66" i="92"/>
  <c r="Z65" i="92"/>
  <c r="X65" i="92"/>
  <c r="L65" i="92"/>
  <c r="N65" i="92" s="1"/>
  <c r="B65" i="92"/>
  <c r="X64" i="92"/>
  <c r="Z64" i="92" s="1"/>
  <c r="V64" i="92"/>
  <c r="N64" i="92"/>
  <c r="L64" i="92"/>
  <c r="J64" i="92"/>
  <c r="B64" i="92"/>
  <c r="T63" i="92"/>
  <c r="P63" i="92"/>
  <c r="X63" i="92" s="1"/>
  <c r="Z63" i="92" s="1"/>
  <c r="L63" i="92"/>
  <c r="N63" i="92" s="1"/>
  <c r="H63" i="92"/>
  <c r="D63" i="92"/>
  <c r="B63" i="92"/>
  <c r="X62" i="92"/>
  <c r="Z62" i="92" s="1"/>
  <c r="L62" i="92"/>
  <c r="N62" i="92" s="1"/>
  <c r="B62" i="92"/>
  <c r="X61" i="92"/>
  <c r="Z61" i="92" s="1"/>
  <c r="N61" i="92"/>
  <c r="L61" i="92"/>
  <c r="B61" i="92"/>
  <c r="Z60" i="92"/>
  <c r="X60" i="92"/>
  <c r="N60" i="92"/>
  <c r="L60" i="92"/>
  <c r="B60" i="92"/>
  <c r="Z59" i="92"/>
  <c r="X59" i="92"/>
  <c r="N59" i="92"/>
  <c r="L59" i="92"/>
  <c r="B59" i="92"/>
  <c r="T58" i="92"/>
  <c r="P58" i="92"/>
  <c r="X58" i="92" s="1"/>
  <c r="H58" i="92"/>
  <c r="D58" i="92"/>
  <c r="L58" i="92" s="1"/>
  <c r="N58" i="92" s="1"/>
  <c r="B58" i="92"/>
  <c r="Z57" i="92"/>
  <c r="X57" i="92"/>
  <c r="N57" i="92"/>
  <c r="L57" i="92"/>
  <c r="B57" i="92"/>
  <c r="Z56" i="92"/>
  <c r="X56" i="92"/>
  <c r="T56" i="92"/>
  <c r="P56" i="92"/>
  <c r="N56" i="92"/>
  <c r="L56" i="92"/>
  <c r="H56" i="92"/>
  <c r="F56" i="92"/>
  <c r="D56" i="92"/>
  <c r="B56" i="92"/>
  <c r="X55" i="92"/>
  <c r="Z55" i="92" s="1"/>
  <c r="L55" i="92"/>
  <c r="N55" i="92" s="1"/>
  <c r="B55" i="92"/>
  <c r="V54" i="92"/>
  <c r="T54" i="92"/>
  <c r="P54" i="92"/>
  <c r="X54" i="92" s="1"/>
  <c r="Z54" i="92" s="1"/>
  <c r="L54" i="92"/>
  <c r="H54" i="92"/>
  <c r="D54" i="92"/>
  <c r="B54" i="92"/>
  <c r="X53" i="92"/>
  <c r="Z53" i="92" s="1"/>
  <c r="R53" i="92"/>
  <c r="N53" i="92"/>
  <c r="L53" i="92"/>
  <c r="B53" i="92"/>
  <c r="T52" i="92"/>
  <c r="P52" i="92"/>
  <c r="X52" i="92" s="1"/>
  <c r="Z52" i="92" s="1"/>
  <c r="L52" i="92"/>
  <c r="N52" i="92" s="1"/>
  <c r="H52" i="92"/>
  <c r="D52" i="92"/>
  <c r="B52" i="92"/>
  <c r="X51" i="92"/>
  <c r="Z51" i="92" s="1"/>
  <c r="N51" i="92"/>
  <c r="L51" i="92"/>
  <c r="B51" i="92"/>
  <c r="X50" i="92"/>
  <c r="Z50" i="92" s="1"/>
  <c r="T50" i="92"/>
  <c r="P50" i="92"/>
  <c r="N50" i="92"/>
  <c r="H50" i="92"/>
  <c r="D50" i="92"/>
  <c r="L50" i="92" s="1"/>
  <c r="B50" i="92"/>
  <c r="X49" i="92"/>
  <c r="Z49" i="92" s="1"/>
  <c r="L49" i="92"/>
  <c r="N49" i="92" s="1"/>
  <c r="B49" i="92"/>
  <c r="T48" i="92"/>
  <c r="P48" i="92"/>
  <c r="X48" i="92" s="1"/>
  <c r="J48" i="92"/>
  <c r="H48" i="92"/>
  <c r="D48" i="92"/>
  <c r="L48" i="92" s="1"/>
  <c r="N48" i="92" s="1"/>
  <c r="B48" i="92"/>
  <c r="Z47" i="92"/>
  <c r="X47" i="92"/>
  <c r="N47" i="92"/>
  <c r="L47" i="92"/>
  <c r="B47" i="92"/>
  <c r="T46" i="92"/>
  <c r="P46" i="92"/>
  <c r="X46" i="92" s="1"/>
  <c r="N46" i="92"/>
  <c r="H46" i="92"/>
  <c r="D46" i="92"/>
  <c r="L46" i="92" s="1"/>
  <c r="B46" i="92"/>
  <c r="Z45" i="92"/>
  <c r="X45" i="92"/>
  <c r="N45" i="92"/>
  <c r="L45" i="92"/>
  <c r="B45" i="92"/>
  <c r="Z44" i="92"/>
  <c r="X44" i="92"/>
  <c r="V44" i="92"/>
  <c r="T44" i="92"/>
  <c r="P44" i="92"/>
  <c r="N44" i="92"/>
  <c r="L44" i="92"/>
  <c r="J44" i="92"/>
  <c r="H44" i="92"/>
  <c r="D44" i="92"/>
  <c r="B44" i="92"/>
  <c r="Z43" i="92"/>
  <c r="X43" i="92"/>
  <c r="V43" i="92"/>
  <c r="L43" i="92"/>
  <c r="N43" i="92" s="1"/>
  <c r="J43" i="92"/>
  <c r="B43" i="92"/>
  <c r="Z42" i="92"/>
  <c r="X42" i="92"/>
  <c r="N42" i="92"/>
  <c r="L42" i="92"/>
  <c r="F42" i="92"/>
  <c r="B42" i="92"/>
  <c r="X41" i="92"/>
  <c r="Z41" i="92" s="1"/>
  <c r="L41" i="92"/>
  <c r="N41" i="92" s="1"/>
  <c r="B41" i="92"/>
  <c r="T40" i="92"/>
  <c r="P40" i="92"/>
  <c r="J40" i="92"/>
  <c r="H40" i="92"/>
  <c r="D40" i="92"/>
  <c r="B40" i="92"/>
  <c r="Z39" i="92"/>
  <c r="X39" i="92"/>
  <c r="R39" i="92"/>
  <c r="N39" i="92"/>
  <c r="L39" i="92"/>
  <c r="B39" i="92"/>
  <c r="Z38" i="92"/>
  <c r="T38" i="92"/>
  <c r="P38" i="92"/>
  <c r="X38" i="92" s="1"/>
  <c r="N38" i="92"/>
  <c r="J38" i="92"/>
  <c r="H38" i="92"/>
  <c r="D38" i="92"/>
  <c r="L38" i="92" s="1"/>
  <c r="B38" i="92"/>
  <c r="Z37" i="92"/>
  <c r="X37" i="92"/>
  <c r="L37" i="92"/>
  <c r="N37" i="92" s="1"/>
  <c r="F37" i="92"/>
  <c r="B37" i="92"/>
  <c r="T36" i="92"/>
  <c r="P36" i="92"/>
  <c r="J36" i="92"/>
  <c r="H36" i="92"/>
  <c r="D36" i="92"/>
  <c r="B36" i="92"/>
  <c r="X35" i="92"/>
  <c r="Z35" i="92" s="1"/>
  <c r="N35" i="92"/>
  <c r="L35" i="92"/>
  <c r="B35" i="92"/>
  <c r="Z34" i="92"/>
  <c r="X34" i="92"/>
  <c r="V34" i="92"/>
  <c r="N34" i="92"/>
  <c r="L34" i="92"/>
  <c r="F34" i="92"/>
  <c r="B34" i="92"/>
  <c r="X33" i="92"/>
  <c r="Z33" i="92" s="1"/>
  <c r="L33" i="92"/>
  <c r="N33" i="92" s="1"/>
  <c r="F33" i="92"/>
  <c r="B33" i="92"/>
  <c r="X32" i="92"/>
  <c r="Z32" i="92" s="1"/>
  <c r="N32" i="92"/>
  <c r="L32" i="92"/>
  <c r="B32" i="92"/>
  <c r="X31" i="92"/>
  <c r="Z31" i="92" s="1"/>
  <c r="N31" i="92"/>
  <c r="L31" i="92"/>
  <c r="B31" i="92"/>
  <c r="Z30" i="92"/>
  <c r="X30" i="92"/>
  <c r="L30" i="92"/>
  <c r="N30" i="92" s="1"/>
  <c r="B30" i="92"/>
  <c r="T29" i="92"/>
  <c r="P29" i="92"/>
  <c r="X29" i="92" s="1"/>
  <c r="H29" i="92"/>
  <c r="D29" i="92"/>
  <c r="L29" i="92" s="1"/>
  <c r="N29" i="92" s="1"/>
  <c r="B29" i="92"/>
  <c r="X28" i="92"/>
  <c r="Z28" i="92" s="1"/>
  <c r="N28" i="92"/>
  <c r="L28" i="92"/>
  <c r="B28" i="92"/>
  <c r="X27" i="92"/>
  <c r="Z27" i="92" s="1"/>
  <c r="R27" i="92"/>
  <c r="L27" i="92"/>
  <c r="N27" i="92" s="1"/>
  <c r="B27" i="92"/>
  <c r="Z26" i="92"/>
  <c r="X26" i="92"/>
  <c r="L26" i="92"/>
  <c r="N26" i="92" s="1"/>
  <c r="J26" i="92"/>
  <c r="B26" i="92"/>
  <c r="X25" i="92"/>
  <c r="Z25" i="92" s="1"/>
  <c r="N25" i="92"/>
  <c r="L25" i="92"/>
  <c r="B25" i="92"/>
  <c r="X24" i="92"/>
  <c r="Z24" i="92" s="1"/>
  <c r="N24" i="92"/>
  <c r="L24" i="92"/>
  <c r="B24" i="92"/>
  <c r="Z23" i="92"/>
  <c r="X23" i="92"/>
  <c r="L23" i="92"/>
  <c r="N23" i="92" s="1"/>
  <c r="B23" i="92"/>
  <c r="X22" i="92"/>
  <c r="Z22" i="92" s="1"/>
  <c r="N22" i="92"/>
  <c r="L22" i="92"/>
  <c r="B22" i="92"/>
  <c r="X21" i="92"/>
  <c r="Z21" i="92" s="1"/>
  <c r="R21" i="92"/>
  <c r="L21" i="92"/>
  <c r="N21" i="92" s="1"/>
  <c r="J21" i="92"/>
  <c r="F21" i="92"/>
  <c r="B21" i="92"/>
  <c r="X20" i="92"/>
  <c r="Z20" i="92" s="1"/>
  <c r="L20" i="92"/>
  <c r="N20" i="92" s="1"/>
  <c r="J20" i="92"/>
  <c r="F20" i="92"/>
  <c r="B20" i="92"/>
  <c r="T19" i="92"/>
  <c r="P19" i="92"/>
  <c r="J19" i="92"/>
  <c r="H19" i="92"/>
  <c r="D19" i="92"/>
  <c r="L19" i="92" s="1"/>
  <c r="B19" i="92"/>
  <c r="T18" i="92"/>
  <c r="P18" i="92"/>
  <c r="J18" i="92"/>
  <c r="H18" i="92"/>
  <c r="F18" i="92"/>
  <c r="D18" i="92"/>
  <c r="J16" i="92"/>
  <c r="F16" i="92"/>
  <c r="T14" i="92"/>
  <c r="Z14" i="92" s="1"/>
  <c r="P14" i="92"/>
  <c r="J14" i="92"/>
  <c r="H14" i="92"/>
  <c r="N14" i="92" s="1"/>
  <c r="F14" i="92"/>
  <c r="D14" i="92"/>
  <c r="T12" i="92"/>
  <c r="V94" i="92" s="1"/>
  <c r="P12" i="92"/>
  <c r="R51" i="92" s="1"/>
  <c r="H12" i="92"/>
  <c r="J70" i="92" s="1"/>
  <c r="D12" i="92"/>
  <c r="F77" i="92" s="1"/>
  <c r="D6" i="92"/>
  <c r="D4" i="92"/>
  <c r="Z79" i="89"/>
  <c r="X79" i="89"/>
  <c r="N79" i="89"/>
  <c r="L79" i="89"/>
  <c r="T75" i="89"/>
  <c r="Z75" i="89" s="1"/>
  <c r="P75" i="89"/>
  <c r="H75" i="89"/>
  <c r="D75" i="89"/>
  <c r="Z73" i="89"/>
  <c r="X73" i="89"/>
  <c r="N73" i="89"/>
  <c r="L73" i="89"/>
  <c r="B73" i="89"/>
  <c r="Z72" i="89"/>
  <c r="X72" i="89"/>
  <c r="L72" i="89"/>
  <c r="N72" i="89" s="1"/>
  <c r="B72" i="89"/>
  <c r="T71" i="89"/>
  <c r="P71" i="89"/>
  <c r="H71" i="89"/>
  <c r="D71" i="89"/>
  <c r="B71" i="89"/>
  <c r="Z70" i="89"/>
  <c r="X70" i="89"/>
  <c r="N70" i="89"/>
  <c r="L70" i="89"/>
  <c r="B70" i="89"/>
  <c r="Z69" i="89"/>
  <c r="T69" i="89"/>
  <c r="P69" i="89"/>
  <c r="X69" i="89" s="1"/>
  <c r="H69" i="89"/>
  <c r="N69" i="89" s="1"/>
  <c r="D69" i="89"/>
  <c r="L69" i="89" s="1"/>
  <c r="B69" i="89"/>
  <c r="X68" i="89"/>
  <c r="Z68" i="89" s="1"/>
  <c r="N68" i="89"/>
  <c r="L68" i="89"/>
  <c r="B68" i="89"/>
  <c r="X67" i="89"/>
  <c r="Z67" i="89" s="1"/>
  <c r="T67" i="89"/>
  <c r="P67" i="89"/>
  <c r="L67" i="89"/>
  <c r="N67" i="89" s="1"/>
  <c r="H67" i="89"/>
  <c r="D67" i="89"/>
  <c r="B67" i="89"/>
  <c r="X66" i="89"/>
  <c r="Z66" i="89" s="1"/>
  <c r="N66" i="89"/>
  <c r="L66" i="89"/>
  <c r="B66" i="89"/>
  <c r="X65" i="89"/>
  <c r="Z65" i="89" s="1"/>
  <c r="N65" i="89"/>
  <c r="L65" i="89"/>
  <c r="B65" i="89"/>
  <c r="Z64" i="89"/>
  <c r="X64" i="89"/>
  <c r="N64" i="89"/>
  <c r="L64" i="89"/>
  <c r="B64" i="89"/>
  <c r="X63" i="89"/>
  <c r="Z63" i="89" s="1"/>
  <c r="N63" i="89"/>
  <c r="L63" i="89"/>
  <c r="B63" i="89"/>
  <c r="X62" i="89"/>
  <c r="Z62" i="89" s="1"/>
  <c r="N62" i="89"/>
  <c r="L62" i="89"/>
  <c r="B62" i="89"/>
  <c r="X61" i="89"/>
  <c r="Z61" i="89" s="1"/>
  <c r="N61" i="89"/>
  <c r="L61" i="89"/>
  <c r="B61" i="89"/>
  <c r="T60" i="89"/>
  <c r="P60" i="89"/>
  <c r="X60" i="89" s="1"/>
  <c r="Z60" i="89" s="1"/>
  <c r="N60" i="89"/>
  <c r="L60" i="89"/>
  <c r="H60" i="89"/>
  <c r="D60" i="89"/>
  <c r="B60" i="89"/>
  <c r="X59" i="89"/>
  <c r="Z59" i="89" s="1"/>
  <c r="N59" i="89"/>
  <c r="L59" i="89"/>
  <c r="J59" i="89"/>
  <c r="B59" i="89"/>
  <c r="X58" i="89"/>
  <c r="Z58" i="89" s="1"/>
  <c r="N58" i="89"/>
  <c r="L58" i="89"/>
  <c r="B58" i="89"/>
  <c r="T57" i="89"/>
  <c r="P57" i="89"/>
  <c r="X57" i="89" s="1"/>
  <c r="Z57" i="89" s="1"/>
  <c r="H57" i="89"/>
  <c r="N57" i="89" s="1"/>
  <c r="D57" i="89"/>
  <c r="L57" i="89" s="1"/>
  <c r="B57" i="89"/>
  <c r="X56" i="89"/>
  <c r="Z56" i="89" s="1"/>
  <c r="N56" i="89"/>
  <c r="L56" i="89"/>
  <c r="B56" i="89"/>
  <c r="X55" i="89"/>
  <c r="Z55" i="89" s="1"/>
  <c r="L55" i="89"/>
  <c r="N55" i="89" s="1"/>
  <c r="B55" i="89"/>
  <c r="Z54" i="89"/>
  <c r="X54" i="89"/>
  <c r="N54" i="89"/>
  <c r="L54" i="89"/>
  <c r="B54" i="89"/>
  <c r="T53" i="89"/>
  <c r="P53" i="89"/>
  <c r="X53" i="89" s="1"/>
  <c r="Z53" i="89" s="1"/>
  <c r="N53" i="89"/>
  <c r="L53" i="89"/>
  <c r="H53" i="89"/>
  <c r="D53" i="89"/>
  <c r="B53" i="89"/>
  <c r="Z52" i="89"/>
  <c r="X52" i="89"/>
  <c r="N52" i="89"/>
  <c r="L52" i="89"/>
  <c r="B52" i="89"/>
  <c r="T51" i="89"/>
  <c r="P51" i="89"/>
  <c r="L51" i="89"/>
  <c r="H51" i="89"/>
  <c r="N51" i="89" s="1"/>
  <c r="D51" i="89"/>
  <c r="B51" i="89"/>
  <c r="Z50" i="89"/>
  <c r="X50" i="89"/>
  <c r="V50" i="89"/>
  <c r="N50" i="89"/>
  <c r="L50" i="89"/>
  <c r="B50" i="89"/>
  <c r="Z49" i="89"/>
  <c r="T49" i="89"/>
  <c r="P49" i="89"/>
  <c r="X49" i="89" s="1"/>
  <c r="H49" i="89"/>
  <c r="N49" i="89" s="1"/>
  <c r="D49" i="89"/>
  <c r="L49" i="89" s="1"/>
  <c r="B49" i="89"/>
  <c r="X48" i="89"/>
  <c r="Z48" i="89" s="1"/>
  <c r="N48" i="89"/>
  <c r="L48" i="89"/>
  <c r="B48" i="89"/>
  <c r="X47" i="89"/>
  <c r="Z47" i="89" s="1"/>
  <c r="T47" i="89"/>
  <c r="P47" i="89"/>
  <c r="N47" i="89"/>
  <c r="H47" i="89"/>
  <c r="D47" i="89"/>
  <c r="L47" i="89" s="1"/>
  <c r="B47" i="89"/>
  <c r="Z46" i="89"/>
  <c r="X46" i="89"/>
  <c r="L46" i="89"/>
  <c r="N46" i="89" s="1"/>
  <c r="B46" i="89"/>
  <c r="X45" i="89"/>
  <c r="V45" i="89"/>
  <c r="T45" i="89"/>
  <c r="P45" i="89"/>
  <c r="L45" i="89"/>
  <c r="H45" i="89"/>
  <c r="D45" i="89"/>
  <c r="B45" i="89"/>
  <c r="X44" i="89"/>
  <c r="Z44" i="89" s="1"/>
  <c r="L44" i="89"/>
  <c r="N44" i="89" s="1"/>
  <c r="B44" i="89"/>
  <c r="T43" i="89"/>
  <c r="P43" i="89"/>
  <c r="H43" i="89"/>
  <c r="N43" i="89" s="1"/>
  <c r="D43" i="89"/>
  <c r="L43" i="89" s="1"/>
  <c r="B43" i="89"/>
  <c r="X42" i="89"/>
  <c r="Z42" i="89" s="1"/>
  <c r="N42" i="89"/>
  <c r="L42" i="89"/>
  <c r="B42" i="89"/>
  <c r="T41" i="89"/>
  <c r="P41" i="89"/>
  <c r="X41" i="89" s="1"/>
  <c r="Z41" i="89" s="1"/>
  <c r="L41" i="89"/>
  <c r="N41" i="89" s="1"/>
  <c r="H41" i="89"/>
  <c r="D41" i="89"/>
  <c r="B41" i="89"/>
  <c r="Z40" i="89"/>
  <c r="X40" i="89"/>
  <c r="L40" i="89"/>
  <c r="N40" i="89" s="1"/>
  <c r="B40" i="89"/>
  <c r="X39" i="89"/>
  <c r="T39" i="89"/>
  <c r="P39" i="89"/>
  <c r="L39" i="89"/>
  <c r="H39" i="89"/>
  <c r="D39" i="89"/>
  <c r="B39" i="89"/>
  <c r="Z38" i="89"/>
  <c r="X38" i="89"/>
  <c r="V38" i="89"/>
  <c r="N38" i="89"/>
  <c r="L38" i="89"/>
  <c r="B38" i="89"/>
  <c r="Z37" i="89"/>
  <c r="X37" i="89"/>
  <c r="L37" i="89"/>
  <c r="N37" i="89" s="1"/>
  <c r="B37" i="89"/>
  <c r="Z36" i="89"/>
  <c r="X36" i="89"/>
  <c r="N36" i="89"/>
  <c r="L36" i="89"/>
  <c r="B36" i="89"/>
  <c r="X35" i="89"/>
  <c r="Z35" i="89" s="1"/>
  <c r="N35" i="89"/>
  <c r="L35" i="89"/>
  <c r="B35" i="89"/>
  <c r="Z34" i="89"/>
  <c r="X34" i="89"/>
  <c r="N34" i="89"/>
  <c r="L34" i="89"/>
  <c r="B34" i="89"/>
  <c r="Z33" i="89"/>
  <c r="X33" i="89"/>
  <c r="L33" i="89"/>
  <c r="N33" i="89" s="1"/>
  <c r="B33" i="89"/>
  <c r="T32" i="89"/>
  <c r="P32" i="89"/>
  <c r="L32" i="89"/>
  <c r="N32" i="89" s="1"/>
  <c r="H32" i="89"/>
  <c r="D32" i="89"/>
  <c r="B32" i="89"/>
  <c r="Z31" i="89"/>
  <c r="X31" i="89"/>
  <c r="L31" i="89"/>
  <c r="N31" i="89" s="1"/>
  <c r="B31" i="89"/>
  <c r="X30" i="89"/>
  <c r="Z30" i="89" s="1"/>
  <c r="L30" i="89"/>
  <c r="N30" i="89" s="1"/>
  <c r="B30" i="89"/>
  <c r="X29" i="89"/>
  <c r="Z29" i="89" s="1"/>
  <c r="L29" i="89"/>
  <c r="N29" i="89" s="1"/>
  <c r="B29" i="89"/>
  <c r="X28" i="89"/>
  <c r="Z28" i="89" s="1"/>
  <c r="N28" i="89"/>
  <c r="L28" i="89"/>
  <c r="B28" i="89"/>
  <c r="X27" i="89"/>
  <c r="Z27" i="89" s="1"/>
  <c r="L27" i="89"/>
  <c r="N27" i="89" s="1"/>
  <c r="J27" i="89"/>
  <c r="B27" i="89"/>
  <c r="X26" i="89"/>
  <c r="Z26" i="89" s="1"/>
  <c r="L26" i="89"/>
  <c r="N26" i="89" s="1"/>
  <c r="B26" i="89"/>
  <c r="X25" i="89"/>
  <c r="Z25" i="89" s="1"/>
  <c r="N25" i="89"/>
  <c r="L25" i="89"/>
  <c r="B25" i="89"/>
  <c r="X24" i="89"/>
  <c r="Z24" i="89" s="1"/>
  <c r="N24" i="89"/>
  <c r="L24" i="89"/>
  <c r="B24" i="89"/>
  <c r="X23" i="89"/>
  <c r="Z23" i="89" s="1"/>
  <c r="T23" i="89"/>
  <c r="P23" i="89"/>
  <c r="H23" i="89"/>
  <c r="D23" i="89"/>
  <c r="L23" i="89" s="1"/>
  <c r="B23" i="89"/>
  <c r="T22" i="89"/>
  <c r="Z22" i="89" s="1"/>
  <c r="P22" i="89"/>
  <c r="X22" i="89" s="1"/>
  <c r="H22" i="89"/>
  <c r="N22" i="89" s="1"/>
  <c r="D22" i="89"/>
  <c r="L22" i="89" s="1"/>
  <c r="X18" i="89"/>
  <c r="Z18" i="89" s="1"/>
  <c r="N18" i="89"/>
  <c r="L18" i="89"/>
  <c r="B18" i="89"/>
  <c r="X17" i="89"/>
  <c r="Z17" i="89" s="1"/>
  <c r="N17" i="89"/>
  <c r="L17" i="89"/>
  <c r="B17" i="89"/>
  <c r="T16" i="89"/>
  <c r="Z16" i="89" s="1"/>
  <c r="P16" i="89"/>
  <c r="X16" i="89" s="1"/>
  <c r="H16" i="89"/>
  <c r="N16" i="89" s="1"/>
  <c r="D16" i="89"/>
  <c r="L16" i="89" s="1"/>
  <c r="Z14" i="89"/>
  <c r="T14" i="89"/>
  <c r="P14" i="89"/>
  <c r="X14" i="89" s="1"/>
  <c r="L14" i="89"/>
  <c r="N14" i="89" s="1"/>
  <c r="H14" i="89"/>
  <c r="D14" i="89"/>
  <c r="B14" i="89"/>
  <c r="T13" i="89"/>
  <c r="P13" i="89"/>
  <c r="H13" i="89"/>
  <c r="D13" i="89"/>
  <c r="L13" i="89" s="1"/>
  <c r="B13" i="89"/>
  <c r="T12" i="89"/>
  <c r="V63" i="89" s="1"/>
  <c r="H12" i="89"/>
  <c r="D6" i="89"/>
  <c r="D4" i="89"/>
  <c r="X88" i="88"/>
  <c r="Z88" i="88" s="1"/>
  <c r="N88" i="88"/>
  <c r="L88" i="88"/>
  <c r="Z84" i="88"/>
  <c r="T84" i="88"/>
  <c r="P84" i="88"/>
  <c r="X84" i="88" s="1"/>
  <c r="H84" i="88"/>
  <c r="N84" i="88" s="1"/>
  <c r="D84" i="88"/>
  <c r="L84" i="88" s="1"/>
  <c r="Z82" i="88"/>
  <c r="X82" i="88"/>
  <c r="L82" i="88"/>
  <c r="N82" i="88" s="1"/>
  <c r="B82" i="88"/>
  <c r="T81" i="88"/>
  <c r="P81" i="88"/>
  <c r="H81" i="88"/>
  <c r="D81" i="88"/>
  <c r="L81" i="88" s="1"/>
  <c r="N81" i="88" s="1"/>
  <c r="B81" i="88"/>
  <c r="Z80" i="88"/>
  <c r="X80" i="88"/>
  <c r="L80" i="88"/>
  <c r="N80" i="88" s="1"/>
  <c r="B80" i="88"/>
  <c r="T79" i="88"/>
  <c r="Z79" i="88" s="1"/>
  <c r="P79" i="88"/>
  <c r="X79" i="88" s="1"/>
  <c r="H79" i="88"/>
  <c r="L79" i="88" s="1"/>
  <c r="D79" i="88"/>
  <c r="B79" i="88"/>
  <c r="Z78" i="88"/>
  <c r="X78" i="88"/>
  <c r="N78" i="88"/>
  <c r="L78" i="88"/>
  <c r="B78" i="88"/>
  <c r="T77" i="88"/>
  <c r="P77" i="88"/>
  <c r="X77" i="88" s="1"/>
  <c r="Z77" i="88" s="1"/>
  <c r="N77" i="88"/>
  <c r="L77" i="88"/>
  <c r="H77" i="88"/>
  <c r="D77" i="88"/>
  <c r="B77" i="88"/>
  <c r="X76" i="88"/>
  <c r="Z76" i="88" s="1"/>
  <c r="N76" i="88"/>
  <c r="L76" i="88"/>
  <c r="B76" i="88"/>
  <c r="X75" i="88"/>
  <c r="Z75" i="88" s="1"/>
  <c r="T75" i="88"/>
  <c r="P75" i="88"/>
  <c r="H75" i="88"/>
  <c r="D75" i="88"/>
  <c r="B75" i="88"/>
  <c r="X74" i="88"/>
  <c r="Z74" i="88" s="1"/>
  <c r="N74" i="88"/>
  <c r="L74" i="88"/>
  <c r="B74" i="88"/>
  <c r="X73" i="88"/>
  <c r="Z73" i="88" s="1"/>
  <c r="N73" i="88"/>
  <c r="L73" i="88"/>
  <c r="B73" i="88"/>
  <c r="Z72" i="88"/>
  <c r="X72" i="88"/>
  <c r="N72" i="88"/>
  <c r="L72" i="88"/>
  <c r="B72" i="88"/>
  <c r="X71" i="88"/>
  <c r="Z71" i="88" s="1"/>
  <c r="L71" i="88"/>
  <c r="N71" i="88" s="1"/>
  <c r="B71" i="88"/>
  <c r="X70" i="88"/>
  <c r="Z70" i="88" s="1"/>
  <c r="N70" i="88"/>
  <c r="L70" i="88"/>
  <c r="B70" i="88"/>
  <c r="X69" i="88"/>
  <c r="Z69" i="88" s="1"/>
  <c r="N69" i="88"/>
  <c r="L69" i="88"/>
  <c r="B69" i="88"/>
  <c r="Z68" i="88"/>
  <c r="X68" i="88"/>
  <c r="L68" i="88"/>
  <c r="N68" i="88" s="1"/>
  <c r="B68" i="88"/>
  <c r="T67" i="88"/>
  <c r="Z67" i="88" s="1"/>
  <c r="P67" i="88"/>
  <c r="X67" i="88" s="1"/>
  <c r="H67" i="88"/>
  <c r="L67" i="88" s="1"/>
  <c r="D67" i="88"/>
  <c r="B67" i="88"/>
  <c r="Z66" i="88"/>
  <c r="X66" i="88"/>
  <c r="N66" i="88"/>
  <c r="L66" i="88"/>
  <c r="B66" i="88"/>
  <c r="Z65" i="88"/>
  <c r="X65" i="88"/>
  <c r="N65" i="88"/>
  <c r="L65" i="88"/>
  <c r="B65" i="88"/>
  <c r="T64" i="88"/>
  <c r="P64" i="88"/>
  <c r="N64" i="88"/>
  <c r="L64" i="88"/>
  <c r="H64" i="88"/>
  <c r="D64" i="88"/>
  <c r="B64" i="88"/>
  <c r="X63" i="88"/>
  <c r="Z63" i="88" s="1"/>
  <c r="L63" i="88"/>
  <c r="N63" i="88" s="1"/>
  <c r="B63" i="88"/>
  <c r="Z62" i="88"/>
  <c r="X62" i="88"/>
  <c r="L62" i="88"/>
  <c r="N62" i="88" s="1"/>
  <c r="B62" i="88"/>
  <c r="X61" i="88"/>
  <c r="Z61" i="88" s="1"/>
  <c r="L61" i="88"/>
  <c r="N61" i="88" s="1"/>
  <c r="B61" i="88"/>
  <c r="T60" i="88"/>
  <c r="P60" i="88"/>
  <c r="X60" i="88" s="1"/>
  <c r="N60" i="88"/>
  <c r="H60" i="88"/>
  <c r="D60" i="88"/>
  <c r="L60" i="88" s="1"/>
  <c r="B60" i="88"/>
  <c r="X59" i="88"/>
  <c r="Z59" i="88" s="1"/>
  <c r="L59" i="88"/>
  <c r="N59" i="88" s="1"/>
  <c r="B59" i="88"/>
  <c r="X58" i="88"/>
  <c r="Z58" i="88" s="1"/>
  <c r="T58" i="88"/>
  <c r="P58" i="88"/>
  <c r="H58" i="88"/>
  <c r="D58" i="88"/>
  <c r="L58" i="88" s="1"/>
  <c r="N58" i="88" s="1"/>
  <c r="B58" i="88"/>
  <c r="Z57" i="88"/>
  <c r="X57" i="88"/>
  <c r="L57" i="88"/>
  <c r="N57" i="88" s="1"/>
  <c r="B57" i="88"/>
  <c r="X56" i="88"/>
  <c r="Z56" i="88" s="1"/>
  <c r="L56" i="88"/>
  <c r="N56" i="88" s="1"/>
  <c r="B56" i="88"/>
  <c r="X55" i="88"/>
  <c r="Z55" i="88" s="1"/>
  <c r="T55" i="88"/>
  <c r="P55" i="88"/>
  <c r="H55" i="88"/>
  <c r="D55" i="88"/>
  <c r="L55" i="88" s="1"/>
  <c r="N55" i="88" s="1"/>
  <c r="B55" i="88"/>
  <c r="Z54" i="88"/>
  <c r="X54" i="88"/>
  <c r="L54" i="88"/>
  <c r="N54" i="88" s="1"/>
  <c r="B54" i="88"/>
  <c r="T53" i="88"/>
  <c r="P53" i="88"/>
  <c r="H53" i="88"/>
  <c r="D53" i="88"/>
  <c r="L53" i="88" s="1"/>
  <c r="N53" i="88" s="1"/>
  <c r="B53" i="88"/>
  <c r="Z52" i="88"/>
  <c r="X52" i="88"/>
  <c r="L52" i="88"/>
  <c r="N52" i="88" s="1"/>
  <c r="B52" i="88"/>
  <c r="T51" i="88"/>
  <c r="Z51" i="88" s="1"/>
  <c r="P51" i="88"/>
  <c r="X51" i="88" s="1"/>
  <c r="H51" i="88"/>
  <c r="L51" i="88" s="1"/>
  <c r="D51" i="88"/>
  <c r="B51" i="88"/>
  <c r="Z50" i="88"/>
  <c r="X50" i="88"/>
  <c r="N50" i="88"/>
  <c r="L50" i="88"/>
  <c r="B50" i="88"/>
  <c r="T49" i="88"/>
  <c r="P49" i="88"/>
  <c r="X49" i="88" s="1"/>
  <c r="L49" i="88"/>
  <c r="N49" i="88" s="1"/>
  <c r="H49" i="88"/>
  <c r="D49" i="88"/>
  <c r="B49" i="88"/>
  <c r="X48" i="88"/>
  <c r="Z48" i="88" s="1"/>
  <c r="N48" i="88"/>
  <c r="L48" i="88"/>
  <c r="B48" i="88"/>
  <c r="T47" i="88"/>
  <c r="P47" i="88"/>
  <c r="X47" i="88" s="1"/>
  <c r="Z47" i="88" s="1"/>
  <c r="H47" i="88"/>
  <c r="D47" i="88"/>
  <c r="B47" i="88"/>
  <c r="X46" i="88"/>
  <c r="Z46" i="88" s="1"/>
  <c r="N46" i="88"/>
  <c r="L46" i="88"/>
  <c r="B46" i="88"/>
  <c r="X45" i="88"/>
  <c r="Z45" i="88" s="1"/>
  <c r="N45" i="88"/>
  <c r="L45" i="88"/>
  <c r="B45" i="88"/>
  <c r="T44" i="88"/>
  <c r="P44" i="88"/>
  <c r="X44" i="88" s="1"/>
  <c r="Z44" i="88" s="1"/>
  <c r="L44" i="88"/>
  <c r="N44" i="88" s="1"/>
  <c r="H44" i="88"/>
  <c r="D44" i="88"/>
  <c r="B44" i="88"/>
  <c r="X43" i="88"/>
  <c r="Z43" i="88" s="1"/>
  <c r="L43" i="88"/>
  <c r="N43" i="88" s="1"/>
  <c r="B43" i="88"/>
  <c r="Z42" i="88"/>
  <c r="X42" i="88"/>
  <c r="T42" i="88"/>
  <c r="P42" i="88"/>
  <c r="H42" i="88"/>
  <c r="D42" i="88"/>
  <c r="B42" i="88"/>
  <c r="X41" i="88"/>
  <c r="Z41" i="88" s="1"/>
  <c r="R41" i="88"/>
  <c r="L41" i="88"/>
  <c r="N41" i="88" s="1"/>
  <c r="B41" i="88"/>
  <c r="T40" i="88"/>
  <c r="P40" i="88"/>
  <c r="X40" i="88" s="1"/>
  <c r="H40" i="88"/>
  <c r="D40" i="88"/>
  <c r="L40" i="88" s="1"/>
  <c r="N40" i="88" s="1"/>
  <c r="B40" i="88"/>
  <c r="X39" i="88"/>
  <c r="Z39" i="88" s="1"/>
  <c r="L39" i="88"/>
  <c r="N39" i="88" s="1"/>
  <c r="B39" i="88"/>
  <c r="X38" i="88"/>
  <c r="Z38" i="88" s="1"/>
  <c r="T38" i="88"/>
  <c r="P38" i="88"/>
  <c r="H38" i="88"/>
  <c r="D38" i="88"/>
  <c r="L38" i="88" s="1"/>
  <c r="N38" i="88" s="1"/>
  <c r="B38" i="88"/>
  <c r="Z37" i="88"/>
  <c r="X37" i="88"/>
  <c r="L37" i="88"/>
  <c r="N37" i="88" s="1"/>
  <c r="B37" i="88"/>
  <c r="X36" i="88"/>
  <c r="Z36" i="88" s="1"/>
  <c r="L36" i="88"/>
  <c r="N36" i="88" s="1"/>
  <c r="B36" i="88"/>
  <c r="X35" i="88"/>
  <c r="Z35" i="88" s="1"/>
  <c r="L35" i="88"/>
  <c r="N35" i="88" s="1"/>
  <c r="B35" i="88"/>
  <c r="Z34" i="88"/>
  <c r="X34" i="88"/>
  <c r="N34" i="88"/>
  <c r="L34" i="88"/>
  <c r="B34" i="88"/>
  <c r="Z33" i="88"/>
  <c r="X33" i="88"/>
  <c r="L33" i="88"/>
  <c r="N33" i="88" s="1"/>
  <c r="B33" i="88"/>
  <c r="T32" i="88"/>
  <c r="P32" i="88"/>
  <c r="N32" i="88"/>
  <c r="L32" i="88"/>
  <c r="H32" i="88"/>
  <c r="D32" i="88"/>
  <c r="B32" i="88"/>
  <c r="X31" i="88"/>
  <c r="Z31" i="88" s="1"/>
  <c r="L31" i="88"/>
  <c r="N31" i="88" s="1"/>
  <c r="B31" i="88"/>
  <c r="Z30" i="88"/>
  <c r="X30" i="88"/>
  <c r="L30" i="88"/>
  <c r="N30" i="88" s="1"/>
  <c r="B30" i="88"/>
  <c r="X29" i="88"/>
  <c r="Z29" i="88" s="1"/>
  <c r="L29" i="88"/>
  <c r="N29" i="88" s="1"/>
  <c r="B29" i="88"/>
  <c r="X28" i="88"/>
  <c r="Z28" i="88" s="1"/>
  <c r="N28" i="88"/>
  <c r="L28" i="88"/>
  <c r="B28" i="88"/>
  <c r="X27" i="88"/>
  <c r="Z27" i="88" s="1"/>
  <c r="L27" i="88"/>
  <c r="N27" i="88" s="1"/>
  <c r="B27" i="88"/>
  <c r="Z26" i="88"/>
  <c r="X26" i="88"/>
  <c r="L26" i="88"/>
  <c r="N26" i="88" s="1"/>
  <c r="B26" i="88"/>
  <c r="X25" i="88"/>
  <c r="Z25" i="88" s="1"/>
  <c r="R25" i="88"/>
  <c r="L25" i="88"/>
  <c r="N25" i="88" s="1"/>
  <c r="B25" i="88"/>
  <c r="X24" i="88"/>
  <c r="Z24" i="88" s="1"/>
  <c r="N24" i="88"/>
  <c r="L24" i="88"/>
  <c r="B24" i="88"/>
  <c r="T23" i="88"/>
  <c r="P23" i="88"/>
  <c r="X23" i="88" s="1"/>
  <c r="Z23" i="88" s="1"/>
  <c r="H23" i="88"/>
  <c r="D23" i="88"/>
  <c r="B23" i="88"/>
  <c r="X22" i="88"/>
  <c r="Z22" i="88" s="1"/>
  <c r="T22" i="88"/>
  <c r="R22" i="88"/>
  <c r="P22" i="88"/>
  <c r="H22" i="88"/>
  <c r="D22" i="88"/>
  <c r="L22" i="88" s="1"/>
  <c r="N22" i="88" s="1"/>
  <c r="X18" i="88"/>
  <c r="Z18" i="88" s="1"/>
  <c r="N18" i="88"/>
  <c r="L18" i="88"/>
  <c r="B18" i="88"/>
  <c r="X17" i="88"/>
  <c r="Z17" i="88" s="1"/>
  <c r="N17" i="88"/>
  <c r="L17" i="88"/>
  <c r="B17" i="88"/>
  <c r="T16" i="88"/>
  <c r="P16" i="88"/>
  <c r="X16" i="88" s="1"/>
  <c r="Z16" i="88" s="1"/>
  <c r="L16" i="88"/>
  <c r="N16" i="88" s="1"/>
  <c r="H16" i="88"/>
  <c r="D16" i="88"/>
  <c r="T14" i="88"/>
  <c r="P14" i="88"/>
  <c r="H14" i="88"/>
  <c r="D14" i="88"/>
  <c r="B14" i="88"/>
  <c r="X13" i="88"/>
  <c r="T13" i="88"/>
  <c r="P13" i="88"/>
  <c r="P12" i="88" s="1"/>
  <c r="L13" i="88"/>
  <c r="N13" i="88" s="1"/>
  <c r="H13" i="88"/>
  <c r="D13" i="88"/>
  <c r="B13" i="88"/>
  <c r="D6" i="88"/>
  <c r="D4" i="88"/>
  <c r="X32" i="86"/>
  <c r="Z32" i="86" s="1"/>
  <c r="N32" i="86"/>
  <c r="L32" i="86"/>
  <c r="X28" i="86"/>
  <c r="T28" i="86"/>
  <c r="Z28" i="86" s="1"/>
  <c r="P28" i="86"/>
  <c r="N28" i="86"/>
  <c r="L28" i="86"/>
  <c r="H28" i="86"/>
  <c r="D28" i="86"/>
  <c r="X26" i="86"/>
  <c r="Z26" i="86" s="1"/>
  <c r="N26" i="86"/>
  <c r="L26" i="86"/>
  <c r="B26" i="86"/>
  <c r="T25" i="86"/>
  <c r="P25" i="86"/>
  <c r="X25" i="86" s="1"/>
  <c r="Z25" i="86" s="1"/>
  <c r="H25" i="86"/>
  <c r="N25" i="86" s="1"/>
  <c r="D25" i="86"/>
  <c r="B25" i="86"/>
  <c r="Z24" i="86"/>
  <c r="X24" i="86"/>
  <c r="N24" i="86"/>
  <c r="L24" i="86"/>
  <c r="B24" i="86"/>
  <c r="T23" i="86"/>
  <c r="P23" i="86"/>
  <c r="N23" i="86"/>
  <c r="H23" i="86"/>
  <c r="D23" i="86"/>
  <c r="L23" i="86" s="1"/>
  <c r="B23" i="86"/>
  <c r="Z22" i="86"/>
  <c r="X22" i="86"/>
  <c r="L22" i="86"/>
  <c r="N22" i="86" s="1"/>
  <c r="B22" i="86"/>
  <c r="T21" i="86"/>
  <c r="P21" i="86"/>
  <c r="X21" i="86" s="1"/>
  <c r="H21" i="86"/>
  <c r="D21" i="86"/>
  <c r="B21" i="86"/>
  <c r="X20" i="86"/>
  <c r="Z20" i="86" s="1"/>
  <c r="T20" i="86"/>
  <c r="P20" i="86"/>
  <c r="L20" i="86"/>
  <c r="J20" i="86"/>
  <c r="H20" i="86"/>
  <c r="D20" i="86"/>
  <c r="Z16" i="86"/>
  <c r="X16" i="86"/>
  <c r="N16" i="86"/>
  <c r="L16" i="86"/>
  <c r="B16" i="86"/>
  <c r="T15" i="86"/>
  <c r="P15" i="86"/>
  <c r="L15" i="86"/>
  <c r="N15" i="86" s="1"/>
  <c r="H15" i="86"/>
  <c r="D15" i="86"/>
  <c r="Z13" i="86"/>
  <c r="T13" i="86"/>
  <c r="P13" i="86"/>
  <c r="X13" i="86" s="1"/>
  <c r="H13" i="86"/>
  <c r="D13" i="86"/>
  <c r="L13" i="86" s="1"/>
  <c r="N13" i="86" s="1"/>
  <c r="B13" i="86"/>
  <c r="T12" i="86"/>
  <c r="H12" i="86"/>
  <c r="J23" i="86" s="1"/>
  <c r="D6" i="86"/>
  <c r="D4" i="86"/>
  <c r="Z126" i="85"/>
  <c r="X126" i="85"/>
  <c r="L126" i="85"/>
  <c r="N126" i="85" s="1"/>
  <c r="Z122" i="85"/>
  <c r="X122" i="85"/>
  <c r="T122" i="85"/>
  <c r="P122" i="85"/>
  <c r="L122" i="85"/>
  <c r="H122" i="85"/>
  <c r="N122" i="85" s="1"/>
  <c r="D122" i="85"/>
  <c r="X120" i="85"/>
  <c r="Z120" i="85" s="1"/>
  <c r="N120" i="85"/>
  <c r="L120" i="85"/>
  <c r="B120" i="85"/>
  <c r="T119" i="85"/>
  <c r="P119" i="85"/>
  <c r="H119" i="85"/>
  <c r="D119" i="85"/>
  <c r="L119" i="85" s="1"/>
  <c r="N119" i="85" s="1"/>
  <c r="B119" i="85"/>
  <c r="X118" i="85"/>
  <c r="Z118" i="85" s="1"/>
  <c r="L118" i="85"/>
  <c r="N118" i="85" s="1"/>
  <c r="B118" i="85"/>
  <c r="T117" i="85"/>
  <c r="P117" i="85"/>
  <c r="X117" i="85" s="1"/>
  <c r="Z117" i="85" s="1"/>
  <c r="N117" i="85"/>
  <c r="L117" i="85"/>
  <c r="H117" i="85"/>
  <c r="D117" i="85"/>
  <c r="B117" i="85"/>
  <c r="Z116" i="85"/>
  <c r="X116" i="85"/>
  <c r="N116" i="85"/>
  <c r="L116" i="85"/>
  <c r="B116" i="85"/>
  <c r="T115" i="85"/>
  <c r="P115" i="85"/>
  <c r="H115" i="85"/>
  <c r="N115" i="85" s="1"/>
  <c r="D115" i="85"/>
  <c r="B115" i="85"/>
  <c r="X114" i="85"/>
  <c r="Z114" i="85" s="1"/>
  <c r="L114" i="85"/>
  <c r="N114" i="85" s="1"/>
  <c r="B114" i="85"/>
  <c r="T113" i="85"/>
  <c r="P113" i="85"/>
  <c r="X113" i="85" s="1"/>
  <c r="Z113" i="85" s="1"/>
  <c r="H113" i="85"/>
  <c r="D113" i="85"/>
  <c r="L113" i="85" s="1"/>
  <c r="B113" i="85"/>
  <c r="Z112" i="85"/>
  <c r="X112" i="85"/>
  <c r="N112" i="85"/>
  <c r="L112" i="85"/>
  <c r="B112" i="85"/>
  <c r="Z111" i="85"/>
  <c r="X111" i="85"/>
  <c r="N111" i="85"/>
  <c r="L111" i="85"/>
  <c r="B111" i="85"/>
  <c r="X110" i="85"/>
  <c r="Z110" i="85" s="1"/>
  <c r="N110" i="85"/>
  <c r="L110" i="85"/>
  <c r="B110" i="85"/>
  <c r="Z109" i="85"/>
  <c r="X109" i="85"/>
  <c r="L109" i="85"/>
  <c r="N109" i="85" s="1"/>
  <c r="B109" i="85"/>
  <c r="Z108" i="85"/>
  <c r="X108" i="85"/>
  <c r="N108" i="85"/>
  <c r="L108" i="85"/>
  <c r="B108" i="85"/>
  <c r="X107" i="85"/>
  <c r="T107" i="85"/>
  <c r="Z107" i="85" s="1"/>
  <c r="P107" i="85"/>
  <c r="H107" i="85"/>
  <c r="D107" i="85"/>
  <c r="L107" i="85" s="1"/>
  <c r="N107" i="85" s="1"/>
  <c r="B107" i="85"/>
  <c r="Z106" i="85"/>
  <c r="X106" i="85"/>
  <c r="L106" i="85"/>
  <c r="N106" i="85" s="1"/>
  <c r="B106" i="85"/>
  <c r="Z105" i="85"/>
  <c r="X105" i="85"/>
  <c r="N105" i="85"/>
  <c r="L105" i="85"/>
  <c r="B105" i="85"/>
  <c r="X104" i="85"/>
  <c r="Z104" i="85" s="1"/>
  <c r="T104" i="85"/>
  <c r="P104" i="85"/>
  <c r="L104" i="85"/>
  <c r="N104" i="85" s="1"/>
  <c r="H104" i="85"/>
  <c r="D104" i="85"/>
  <c r="B104" i="85"/>
  <c r="Z103" i="85"/>
  <c r="X103" i="85"/>
  <c r="L103" i="85"/>
  <c r="N103" i="85" s="1"/>
  <c r="B103" i="85"/>
  <c r="X102" i="85"/>
  <c r="Z102" i="85" s="1"/>
  <c r="L102" i="85"/>
  <c r="N102" i="85" s="1"/>
  <c r="B102" i="85"/>
  <c r="X101" i="85"/>
  <c r="Z101" i="85" s="1"/>
  <c r="L101" i="85"/>
  <c r="N101" i="85" s="1"/>
  <c r="B101" i="85"/>
  <c r="Z100" i="85"/>
  <c r="X100" i="85"/>
  <c r="T100" i="85"/>
  <c r="P100" i="85"/>
  <c r="L100" i="85"/>
  <c r="H100" i="85"/>
  <c r="D100" i="85"/>
  <c r="B100" i="85"/>
  <c r="X99" i="85"/>
  <c r="Z99" i="85" s="1"/>
  <c r="N99" i="85"/>
  <c r="L99" i="85"/>
  <c r="B99" i="85"/>
  <c r="X98" i="85"/>
  <c r="Z98" i="85" s="1"/>
  <c r="N98" i="85"/>
  <c r="L98" i="85"/>
  <c r="B98" i="85"/>
  <c r="X97" i="85"/>
  <c r="Z97" i="85" s="1"/>
  <c r="T97" i="85"/>
  <c r="P97" i="85"/>
  <c r="L97" i="85"/>
  <c r="H97" i="85"/>
  <c r="N97" i="85" s="1"/>
  <c r="D97" i="85"/>
  <c r="B97" i="85"/>
  <c r="X96" i="85"/>
  <c r="Z96" i="85" s="1"/>
  <c r="L96" i="85"/>
  <c r="N96" i="85" s="1"/>
  <c r="B96" i="85"/>
  <c r="T95" i="85"/>
  <c r="P95" i="85"/>
  <c r="L95" i="85"/>
  <c r="H95" i="85"/>
  <c r="N95" i="85" s="1"/>
  <c r="D95" i="85"/>
  <c r="B95" i="85"/>
  <c r="X94" i="85"/>
  <c r="Z94" i="85" s="1"/>
  <c r="N94" i="85"/>
  <c r="L94" i="85"/>
  <c r="B94" i="85"/>
  <c r="T93" i="85"/>
  <c r="P93" i="85"/>
  <c r="X93" i="85" s="1"/>
  <c r="Z93" i="85" s="1"/>
  <c r="N93" i="85"/>
  <c r="H93" i="85"/>
  <c r="D93" i="85"/>
  <c r="B93" i="85"/>
  <c r="Z92" i="85"/>
  <c r="X92" i="85"/>
  <c r="L92" i="85"/>
  <c r="N92" i="85" s="1"/>
  <c r="B92" i="85"/>
  <c r="Z91" i="85"/>
  <c r="X91" i="85"/>
  <c r="V91" i="85"/>
  <c r="T91" i="85"/>
  <c r="P91" i="85"/>
  <c r="H91" i="85"/>
  <c r="D91" i="85"/>
  <c r="L91" i="85" s="1"/>
  <c r="N91" i="85" s="1"/>
  <c r="B91" i="85"/>
  <c r="Z90" i="85"/>
  <c r="X90" i="85"/>
  <c r="L90" i="85"/>
  <c r="N90" i="85" s="1"/>
  <c r="B90" i="85"/>
  <c r="T89" i="85"/>
  <c r="P89" i="85"/>
  <c r="X89" i="85" s="1"/>
  <c r="H89" i="85"/>
  <c r="D89" i="85"/>
  <c r="B89" i="85"/>
  <c r="X88" i="85"/>
  <c r="Z88" i="85" s="1"/>
  <c r="N88" i="85"/>
  <c r="L88" i="85"/>
  <c r="B88" i="85"/>
  <c r="T87" i="85"/>
  <c r="P87" i="85"/>
  <c r="N87" i="85"/>
  <c r="H87" i="85"/>
  <c r="D87" i="85"/>
  <c r="L87" i="85" s="1"/>
  <c r="B87" i="85"/>
  <c r="X86" i="85"/>
  <c r="Z86" i="85" s="1"/>
  <c r="N86" i="85"/>
  <c r="L86" i="85"/>
  <c r="B86" i="85"/>
  <c r="X85" i="85"/>
  <c r="Z85" i="85" s="1"/>
  <c r="T85" i="85"/>
  <c r="P85" i="85"/>
  <c r="N85" i="85"/>
  <c r="H85" i="85"/>
  <c r="L85" i="85" s="1"/>
  <c r="D85" i="85"/>
  <c r="B85" i="85"/>
  <c r="X84" i="85"/>
  <c r="Z84" i="85" s="1"/>
  <c r="N84" i="85"/>
  <c r="L84" i="85"/>
  <c r="B84" i="85"/>
  <c r="X83" i="85"/>
  <c r="T83" i="85"/>
  <c r="P83" i="85"/>
  <c r="H83" i="85"/>
  <c r="N83" i="85" s="1"/>
  <c r="D83" i="85"/>
  <c r="L83" i="85" s="1"/>
  <c r="B83" i="85"/>
  <c r="X82" i="85"/>
  <c r="Z82" i="85" s="1"/>
  <c r="L82" i="85"/>
  <c r="N82" i="85" s="1"/>
  <c r="B82" i="85"/>
  <c r="T81" i="85"/>
  <c r="P81" i="85"/>
  <c r="H81" i="85"/>
  <c r="D81" i="85"/>
  <c r="B81" i="85"/>
  <c r="Z80" i="85"/>
  <c r="X80" i="85"/>
  <c r="L80" i="85"/>
  <c r="N80" i="85" s="1"/>
  <c r="B80" i="85"/>
  <c r="T79" i="85"/>
  <c r="P79" i="85"/>
  <c r="X79" i="85" s="1"/>
  <c r="H79" i="85"/>
  <c r="D79" i="85"/>
  <c r="L79" i="85" s="1"/>
  <c r="N79" i="85" s="1"/>
  <c r="B79" i="85"/>
  <c r="Z78" i="85"/>
  <c r="X78" i="85"/>
  <c r="N78" i="85"/>
  <c r="L78" i="85"/>
  <c r="B78" i="85"/>
  <c r="X77" i="85"/>
  <c r="T77" i="85"/>
  <c r="Z77" i="85" s="1"/>
  <c r="P77" i="85"/>
  <c r="H77" i="85"/>
  <c r="D77" i="85"/>
  <c r="B77" i="85"/>
  <c r="X76" i="85"/>
  <c r="Z76" i="85" s="1"/>
  <c r="N76" i="85"/>
  <c r="L76" i="85"/>
  <c r="B76" i="85"/>
  <c r="T75" i="85"/>
  <c r="P75" i="85"/>
  <c r="H75" i="85"/>
  <c r="D75" i="85"/>
  <c r="L75" i="85" s="1"/>
  <c r="B75" i="85"/>
  <c r="X74" i="85"/>
  <c r="Z74" i="85" s="1"/>
  <c r="N74" i="85"/>
  <c r="L74" i="85"/>
  <c r="B74" i="85"/>
  <c r="X73" i="85"/>
  <c r="Z73" i="85" s="1"/>
  <c r="N73" i="85"/>
  <c r="L73" i="85"/>
  <c r="B73" i="85"/>
  <c r="Z72" i="85"/>
  <c r="X72" i="85"/>
  <c r="L72" i="85"/>
  <c r="N72" i="85" s="1"/>
  <c r="B72" i="85"/>
  <c r="Z71" i="85"/>
  <c r="X71" i="85"/>
  <c r="L71" i="85"/>
  <c r="N71" i="85" s="1"/>
  <c r="B71" i="85"/>
  <c r="T70" i="85"/>
  <c r="P70" i="85"/>
  <c r="X70" i="85" s="1"/>
  <c r="H70" i="85"/>
  <c r="D70" i="85"/>
  <c r="B70" i="85"/>
  <c r="Z69" i="85"/>
  <c r="X69" i="85"/>
  <c r="N69" i="85"/>
  <c r="L69" i="85"/>
  <c r="B69" i="85"/>
  <c r="X68" i="85"/>
  <c r="Z68" i="85" s="1"/>
  <c r="N68" i="85"/>
  <c r="L68" i="85"/>
  <c r="B68" i="85"/>
  <c r="X67" i="85"/>
  <c r="Z67" i="85" s="1"/>
  <c r="N67" i="85"/>
  <c r="L67" i="85"/>
  <c r="B67" i="85"/>
  <c r="Z66" i="85"/>
  <c r="X66" i="85"/>
  <c r="L66" i="85"/>
  <c r="N66" i="85" s="1"/>
  <c r="B66" i="85"/>
  <c r="X65" i="85"/>
  <c r="Z65" i="85" s="1"/>
  <c r="N65" i="85"/>
  <c r="L65" i="85"/>
  <c r="B65" i="85"/>
  <c r="X64" i="85"/>
  <c r="Z64" i="85" s="1"/>
  <c r="N64" i="85"/>
  <c r="L64" i="85"/>
  <c r="B64" i="85"/>
  <c r="X63" i="85"/>
  <c r="Z63" i="85" s="1"/>
  <c r="N63" i="85"/>
  <c r="L63" i="85"/>
  <c r="B63" i="85"/>
  <c r="X62" i="85"/>
  <c r="Z62" i="85" s="1"/>
  <c r="L62" i="85"/>
  <c r="N62" i="85" s="1"/>
  <c r="B62" i="85"/>
  <c r="T61" i="85"/>
  <c r="Z61" i="85" s="1"/>
  <c r="P61" i="85"/>
  <c r="X61" i="85" s="1"/>
  <c r="H61" i="85"/>
  <c r="L61" i="85" s="1"/>
  <c r="D61" i="85"/>
  <c r="B61" i="85"/>
  <c r="X60" i="85"/>
  <c r="T60" i="85"/>
  <c r="Z60" i="85" s="1"/>
  <c r="P60" i="85"/>
  <c r="H60" i="85"/>
  <c r="D60" i="85"/>
  <c r="L60" i="85" s="1"/>
  <c r="Z56" i="85"/>
  <c r="X56" i="85"/>
  <c r="N56" i="85"/>
  <c r="L56" i="85"/>
  <c r="B56" i="85"/>
  <c r="Z55" i="85"/>
  <c r="X55" i="85"/>
  <c r="N55" i="85"/>
  <c r="L55" i="85"/>
  <c r="B55" i="85"/>
  <c r="X54" i="85"/>
  <c r="Z54" i="85" s="1"/>
  <c r="L54" i="85"/>
  <c r="N54" i="85" s="1"/>
  <c r="B54" i="85"/>
  <c r="X53" i="85"/>
  <c r="Z53" i="85" s="1"/>
  <c r="L53" i="85"/>
  <c r="N53" i="85" s="1"/>
  <c r="B53" i="85"/>
  <c r="Z52" i="85"/>
  <c r="X52" i="85"/>
  <c r="L52" i="85"/>
  <c r="N52" i="85" s="1"/>
  <c r="B52" i="85"/>
  <c r="Z51" i="85"/>
  <c r="X51" i="85"/>
  <c r="N51" i="85"/>
  <c r="L51" i="85"/>
  <c r="B51" i="85"/>
  <c r="X50" i="85"/>
  <c r="Z50" i="85" s="1"/>
  <c r="N50" i="85"/>
  <c r="L50" i="85"/>
  <c r="B50" i="85"/>
  <c r="X49" i="85"/>
  <c r="Z49" i="85" s="1"/>
  <c r="N49" i="85"/>
  <c r="L49" i="85"/>
  <c r="B49" i="85"/>
  <c r="Z48" i="85"/>
  <c r="X48" i="85"/>
  <c r="L48" i="85"/>
  <c r="N48" i="85" s="1"/>
  <c r="B48" i="85"/>
  <c r="Z47" i="85"/>
  <c r="X47" i="85"/>
  <c r="N47" i="85"/>
  <c r="L47" i="85"/>
  <c r="B47" i="85"/>
  <c r="X46" i="85"/>
  <c r="Z46" i="85" s="1"/>
  <c r="L46" i="85"/>
  <c r="N46" i="85" s="1"/>
  <c r="B46" i="85"/>
  <c r="X45" i="85"/>
  <c r="Z45" i="85" s="1"/>
  <c r="N45" i="85"/>
  <c r="L45" i="85"/>
  <c r="B45" i="85"/>
  <c r="Z44" i="85"/>
  <c r="X44" i="85"/>
  <c r="L44" i="85"/>
  <c r="N44" i="85" s="1"/>
  <c r="B44" i="85"/>
  <c r="Z43" i="85"/>
  <c r="X43" i="85"/>
  <c r="L43" i="85"/>
  <c r="N43" i="85" s="1"/>
  <c r="B43" i="85"/>
  <c r="X42" i="85"/>
  <c r="Z42" i="85" s="1"/>
  <c r="N42" i="85"/>
  <c r="L42" i="85"/>
  <c r="B42" i="85"/>
  <c r="X41" i="85"/>
  <c r="Z41" i="85" s="1"/>
  <c r="N41" i="85"/>
  <c r="L41" i="85"/>
  <c r="B41" i="85"/>
  <c r="Z40" i="85"/>
  <c r="X40" i="85"/>
  <c r="L40" i="85"/>
  <c r="N40" i="85" s="1"/>
  <c r="B40" i="85"/>
  <c r="Z39" i="85"/>
  <c r="X39" i="85"/>
  <c r="N39" i="85"/>
  <c r="L39" i="85"/>
  <c r="B39" i="85"/>
  <c r="T38" i="85"/>
  <c r="P38" i="85"/>
  <c r="H38" i="85"/>
  <c r="D38" i="85"/>
  <c r="L38" i="85" s="1"/>
  <c r="N38" i="85" s="1"/>
  <c r="Z36" i="85"/>
  <c r="T36" i="85"/>
  <c r="P36" i="85"/>
  <c r="X36" i="85" s="1"/>
  <c r="H36" i="85"/>
  <c r="L36" i="85" s="1"/>
  <c r="D36" i="85"/>
  <c r="B36" i="85"/>
  <c r="T35" i="85"/>
  <c r="P35" i="85"/>
  <c r="X35" i="85" s="1"/>
  <c r="H35" i="85"/>
  <c r="D35" i="85"/>
  <c r="B35" i="85"/>
  <c r="T34" i="85"/>
  <c r="P34" i="85"/>
  <c r="L34" i="85"/>
  <c r="H34" i="85"/>
  <c r="N34" i="85" s="1"/>
  <c r="D34" i="85"/>
  <c r="B34" i="85"/>
  <c r="Z33" i="85"/>
  <c r="T33" i="85"/>
  <c r="P33" i="85"/>
  <c r="X33" i="85" s="1"/>
  <c r="L33" i="85"/>
  <c r="N33" i="85" s="1"/>
  <c r="H33" i="85"/>
  <c r="D33" i="85"/>
  <c r="B33" i="85"/>
  <c r="T32" i="85"/>
  <c r="P32" i="85"/>
  <c r="X32" i="85" s="1"/>
  <c r="Z32" i="85" s="1"/>
  <c r="H32" i="85"/>
  <c r="L32" i="85" s="1"/>
  <c r="D32" i="85"/>
  <c r="B32" i="85"/>
  <c r="T31" i="85"/>
  <c r="Z31" i="85" s="1"/>
  <c r="P31" i="85"/>
  <c r="X31" i="85" s="1"/>
  <c r="H31" i="85"/>
  <c r="D31" i="85"/>
  <c r="B31" i="85"/>
  <c r="T30" i="85"/>
  <c r="P30" i="85"/>
  <c r="L30" i="85"/>
  <c r="H30" i="85"/>
  <c r="N30" i="85" s="1"/>
  <c r="D30" i="85"/>
  <c r="B30" i="85"/>
  <c r="Z29" i="85"/>
  <c r="T29" i="85"/>
  <c r="P29" i="85"/>
  <c r="X29" i="85" s="1"/>
  <c r="N29" i="85"/>
  <c r="L29" i="85"/>
  <c r="H29" i="85"/>
  <c r="D29" i="85"/>
  <c r="B29" i="85"/>
  <c r="T28" i="85"/>
  <c r="P28" i="85"/>
  <c r="X28" i="85" s="1"/>
  <c r="Z28" i="85" s="1"/>
  <c r="H28" i="85"/>
  <c r="L28" i="85" s="1"/>
  <c r="D28" i="85"/>
  <c r="B28" i="85"/>
  <c r="T27" i="85"/>
  <c r="Z27" i="85" s="1"/>
  <c r="P27" i="85"/>
  <c r="X27" i="85" s="1"/>
  <c r="H27" i="85"/>
  <c r="D27" i="85"/>
  <c r="B27" i="85"/>
  <c r="T26" i="85"/>
  <c r="P26" i="85"/>
  <c r="L26" i="85"/>
  <c r="H26" i="85"/>
  <c r="N26" i="85" s="1"/>
  <c r="D26" i="85"/>
  <c r="B26" i="85"/>
  <c r="Z25" i="85"/>
  <c r="T25" i="85"/>
  <c r="P25" i="85"/>
  <c r="X25" i="85" s="1"/>
  <c r="L25" i="85"/>
  <c r="N25" i="85" s="1"/>
  <c r="H25" i="85"/>
  <c r="D25" i="85"/>
  <c r="B25" i="85"/>
  <c r="T24" i="85"/>
  <c r="P24" i="85"/>
  <c r="L24" i="85"/>
  <c r="H24" i="85"/>
  <c r="N24" i="85" s="1"/>
  <c r="D24" i="85"/>
  <c r="B24" i="85"/>
  <c r="T23" i="85"/>
  <c r="Z23" i="85" s="1"/>
  <c r="P23" i="85"/>
  <c r="X23" i="85" s="1"/>
  <c r="H23" i="85"/>
  <c r="D23" i="85"/>
  <c r="B23" i="85"/>
  <c r="T22" i="85"/>
  <c r="P22" i="85"/>
  <c r="L22" i="85"/>
  <c r="H22" i="85"/>
  <c r="N22" i="85" s="1"/>
  <c r="D22" i="85"/>
  <c r="B22" i="85"/>
  <c r="Z21" i="85"/>
  <c r="T21" i="85"/>
  <c r="P21" i="85"/>
  <c r="X21" i="85" s="1"/>
  <c r="N21" i="85"/>
  <c r="L21" i="85"/>
  <c r="H21" i="85"/>
  <c r="D21" i="85"/>
  <c r="B21" i="85"/>
  <c r="T20" i="85"/>
  <c r="P20" i="85"/>
  <c r="X20" i="85" s="1"/>
  <c r="Z20" i="85" s="1"/>
  <c r="L20" i="85"/>
  <c r="H20" i="85"/>
  <c r="N20" i="85" s="1"/>
  <c r="D20" i="85"/>
  <c r="B20" i="85"/>
  <c r="T19" i="85"/>
  <c r="P19" i="85"/>
  <c r="X19" i="85" s="1"/>
  <c r="H19" i="85"/>
  <c r="D19" i="85"/>
  <c r="B19" i="85"/>
  <c r="T18" i="85"/>
  <c r="P18" i="85"/>
  <c r="L18" i="85"/>
  <c r="H18" i="85"/>
  <c r="N18" i="85" s="1"/>
  <c r="D18" i="85"/>
  <c r="B18" i="85"/>
  <c r="Z17" i="85"/>
  <c r="T17" i="85"/>
  <c r="P17" i="85"/>
  <c r="X17" i="85" s="1"/>
  <c r="N17" i="85"/>
  <c r="L17" i="85"/>
  <c r="H17" i="85"/>
  <c r="D17" i="85"/>
  <c r="B17" i="85"/>
  <c r="T16" i="85"/>
  <c r="P16" i="85"/>
  <c r="X16" i="85" s="1"/>
  <c r="Z16" i="85" s="1"/>
  <c r="L16" i="85"/>
  <c r="H16" i="85"/>
  <c r="N16" i="85" s="1"/>
  <c r="D16" i="85"/>
  <c r="B16" i="85"/>
  <c r="T15" i="85"/>
  <c r="Z15" i="85" s="1"/>
  <c r="P15" i="85"/>
  <c r="X15" i="85" s="1"/>
  <c r="H15" i="85"/>
  <c r="D15" i="85"/>
  <c r="B15" i="85"/>
  <c r="T14" i="85"/>
  <c r="P14" i="85"/>
  <c r="L14" i="85"/>
  <c r="H14" i="85"/>
  <c r="N14" i="85" s="1"/>
  <c r="D14" i="85"/>
  <c r="D12" i="85" s="1"/>
  <c r="F84" i="85" s="1"/>
  <c r="B14" i="85"/>
  <c r="Z13" i="85"/>
  <c r="T13" i="85"/>
  <c r="T12" i="85" s="1"/>
  <c r="V100" i="85" s="1"/>
  <c r="P13" i="85"/>
  <c r="X13" i="85" s="1"/>
  <c r="N13" i="85"/>
  <c r="L13" i="85"/>
  <c r="H13" i="85"/>
  <c r="D13" i="85"/>
  <c r="B13" i="85"/>
  <c r="D6" i="85"/>
  <c r="D4" i="85"/>
  <c r="X88" i="84"/>
  <c r="Z88" i="84" s="1"/>
  <c r="L88" i="84"/>
  <c r="N88" i="84" s="1"/>
  <c r="Z84" i="84"/>
  <c r="T84" i="84"/>
  <c r="P84" i="84"/>
  <c r="X84" i="84" s="1"/>
  <c r="H84" i="84"/>
  <c r="D84" i="84"/>
  <c r="Z82" i="84"/>
  <c r="X82" i="84"/>
  <c r="L82" i="84"/>
  <c r="N82" i="84" s="1"/>
  <c r="B82" i="84"/>
  <c r="T81" i="84"/>
  <c r="P81" i="84"/>
  <c r="X81" i="84" s="1"/>
  <c r="Z81" i="84" s="1"/>
  <c r="H81" i="84"/>
  <c r="D81" i="84"/>
  <c r="L81" i="84" s="1"/>
  <c r="B81" i="84"/>
  <c r="X80" i="84"/>
  <c r="Z80" i="84" s="1"/>
  <c r="N80" i="84"/>
  <c r="L80" i="84"/>
  <c r="F80" i="84"/>
  <c r="B80" i="84"/>
  <c r="T79" i="84"/>
  <c r="P79" i="84"/>
  <c r="X79" i="84" s="1"/>
  <c r="Z79" i="84" s="1"/>
  <c r="N79" i="84"/>
  <c r="L79" i="84"/>
  <c r="H79" i="84"/>
  <c r="F79" i="84"/>
  <c r="D79" i="84"/>
  <c r="B79" i="84"/>
  <c r="X78" i="84"/>
  <c r="Z78" i="84" s="1"/>
  <c r="N78" i="84"/>
  <c r="L78" i="84"/>
  <c r="B78" i="84"/>
  <c r="Z77" i="84"/>
  <c r="X77" i="84"/>
  <c r="T77" i="84"/>
  <c r="P77" i="84"/>
  <c r="H77" i="84"/>
  <c r="D77" i="84"/>
  <c r="B77" i="84"/>
  <c r="X76" i="84"/>
  <c r="Z76" i="84" s="1"/>
  <c r="N76" i="84"/>
  <c r="L76" i="84"/>
  <c r="B76" i="84"/>
  <c r="X75" i="84"/>
  <c r="Z75" i="84" s="1"/>
  <c r="N75" i="84"/>
  <c r="L75" i="84"/>
  <c r="B75" i="84"/>
  <c r="Z74" i="84"/>
  <c r="X74" i="84"/>
  <c r="L74" i="84"/>
  <c r="N74" i="84" s="1"/>
  <c r="B74" i="84"/>
  <c r="Z73" i="84"/>
  <c r="X73" i="84"/>
  <c r="L73" i="84"/>
  <c r="N73" i="84" s="1"/>
  <c r="B73" i="84"/>
  <c r="X72" i="84"/>
  <c r="Z72" i="84" s="1"/>
  <c r="L72" i="84"/>
  <c r="N72" i="84" s="1"/>
  <c r="B72" i="84"/>
  <c r="X71" i="84"/>
  <c r="Z71" i="84" s="1"/>
  <c r="N71" i="84"/>
  <c r="L71" i="84"/>
  <c r="B71" i="84"/>
  <c r="T70" i="84"/>
  <c r="P70" i="84"/>
  <c r="X70" i="84" s="1"/>
  <c r="Z70" i="84" s="1"/>
  <c r="H70" i="84"/>
  <c r="D70" i="84"/>
  <c r="B70" i="84"/>
  <c r="X69" i="84"/>
  <c r="Z69" i="84" s="1"/>
  <c r="N69" i="84"/>
  <c r="L69" i="84"/>
  <c r="B69" i="84"/>
  <c r="X68" i="84"/>
  <c r="Z68" i="84" s="1"/>
  <c r="N68" i="84"/>
  <c r="L68" i="84"/>
  <c r="F68" i="84"/>
  <c r="B68" i="84"/>
  <c r="T67" i="84"/>
  <c r="P67" i="84"/>
  <c r="X67" i="84" s="1"/>
  <c r="Z67" i="84" s="1"/>
  <c r="L67" i="84"/>
  <c r="N67" i="84" s="1"/>
  <c r="H67" i="84"/>
  <c r="F67" i="84"/>
  <c r="D67" i="84"/>
  <c r="B67" i="84"/>
  <c r="X66" i="84"/>
  <c r="Z66" i="84" s="1"/>
  <c r="N66" i="84"/>
  <c r="L66" i="84"/>
  <c r="B66" i="84"/>
  <c r="Z65" i="84"/>
  <c r="X65" i="84"/>
  <c r="N65" i="84"/>
  <c r="L65" i="84"/>
  <c r="B65" i="84"/>
  <c r="Z64" i="84"/>
  <c r="X64" i="84"/>
  <c r="L64" i="84"/>
  <c r="N64" i="84" s="1"/>
  <c r="F64" i="84"/>
  <c r="B64" i="84"/>
  <c r="Z63" i="84"/>
  <c r="X63" i="84"/>
  <c r="L63" i="84"/>
  <c r="N63" i="84" s="1"/>
  <c r="B63" i="84"/>
  <c r="X62" i="84"/>
  <c r="T62" i="84"/>
  <c r="Z62" i="84" s="1"/>
  <c r="P62" i="84"/>
  <c r="H62" i="84"/>
  <c r="D62" i="84"/>
  <c r="L62" i="84" s="1"/>
  <c r="B62" i="84"/>
  <c r="Z61" i="84"/>
  <c r="X61" i="84"/>
  <c r="L61" i="84"/>
  <c r="N61" i="84" s="1"/>
  <c r="B61" i="84"/>
  <c r="X60" i="84"/>
  <c r="Z60" i="84" s="1"/>
  <c r="N60" i="84"/>
  <c r="L60" i="84"/>
  <c r="B60" i="84"/>
  <c r="Z59" i="84"/>
  <c r="X59" i="84"/>
  <c r="N59" i="84"/>
  <c r="L59" i="84"/>
  <c r="B59" i="84"/>
  <c r="T58" i="84"/>
  <c r="P58" i="84"/>
  <c r="X58" i="84" s="1"/>
  <c r="Z58" i="84" s="1"/>
  <c r="H58" i="84"/>
  <c r="D58" i="84"/>
  <c r="B58" i="84"/>
  <c r="X57" i="84"/>
  <c r="Z57" i="84" s="1"/>
  <c r="N57" i="84"/>
  <c r="L57" i="84"/>
  <c r="B57" i="84"/>
  <c r="X56" i="84"/>
  <c r="T56" i="84"/>
  <c r="Z56" i="84" s="1"/>
  <c r="P56" i="84"/>
  <c r="H56" i="84"/>
  <c r="D56" i="84"/>
  <c r="L56" i="84" s="1"/>
  <c r="B56" i="84"/>
  <c r="Z55" i="84"/>
  <c r="X55" i="84"/>
  <c r="L55" i="84"/>
  <c r="N55" i="84" s="1"/>
  <c r="B55" i="84"/>
  <c r="X54" i="84"/>
  <c r="T54" i="84"/>
  <c r="P54" i="84"/>
  <c r="H54" i="84"/>
  <c r="D54" i="84"/>
  <c r="B54" i="84"/>
  <c r="Z53" i="84"/>
  <c r="X53" i="84"/>
  <c r="L53" i="84"/>
  <c r="N53" i="84" s="1"/>
  <c r="B53" i="84"/>
  <c r="T52" i="84"/>
  <c r="P52" i="84"/>
  <c r="H52" i="84"/>
  <c r="D52" i="84"/>
  <c r="L52" i="84" s="1"/>
  <c r="N52" i="84" s="1"/>
  <c r="B52" i="84"/>
  <c r="Z51" i="84"/>
  <c r="X51" i="84"/>
  <c r="N51" i="84"/>
  <c r="L51" i="84"/>
  <c r="B51" i="84"/>
  <c r="T50" i="84"/>
  <c r="P50" i="84"/>
  <c r="X50" i="84" s="1"/>
  <c r="L50" i="84"/>
  <c r="H50" i="84"/>
  <c r="N50" i="84" s="1"/>
  <c r="D50" i="84"/>
  <c r="B50" i="84"/>
  <c r="Z49" i="84"/>
  <c r="X49" i="84"/>
  <c r="N49" i="84"/>
  <c r="L49" i="84"/>
  <c r="B49" i="84"/>
  <c r="T48" i="84"/>
  <c r="P48" i="84"/>
  <c r="X48" i="84" s="1"/>
  <c r="L48" i="84"/>
  <c r="H48" i="84"/>
  <c r="N48" i="84" s="1"/>
  <c r="D48" i="84"/>
  <c r="B48" i="84"/>
  <c r="X47" i="84"/>
  <c r="Z47" i="84" s="1"/>
  <c r="N47" i="84"/>
  <c r="L47" i="84"/>
  <c r="B47" i="84"/>
  <c r="Z46" i="84"/>
  <c r="X46" i="84"/>
  <c r="L46" i="84"/>
  <c r="N46" i="84" s="1"/>
  <c r="B46" i="84"/>
  <c r="Z45" i="84"/>
  <c r="T45" i="84"/>
  <c r="P45" i="84"/>
  <c r="X45" i="84" s="1"/>
  <c r="H45" i="84"/>
  <c r="N45" i="84" s="1"/>
  <c r="D45" i="84"/>
  <c r="L45" i="84" s="1"/>
  <c r="B45" i="84"/>
  <c r="X44" i="84"/>
  <c r="Z44" i="84" s="1"/>
  <c r="N44" i="84"/>
  <c r="L44" i="84"/>
  <c r="F44" i="84"/>
  <c r="B44" i="84"/>
  <c r="T43" i="84"/>
  <c r="P43" i="84"/>
  <c r="X43" i="84" s="1"/>
  <c r="Z43" i="84" s="1"/>
  <c r="L43" i="84"/>
  <c r="N43" i="84" s="1"/>
  <c r="H43" i="84"/>
  <c r="F43" i="84"/>
  <c r="D43" i="84"/>
  <c r="B43" i="84"/>
  <c r="X42" i="84"/>
  <c r="Z42" i="84" s="1"/>
  <c r="N42" i="84"/>
  <c r="L42" i="84"/>
  <c r="B42" i="84"/>
  <c r="Z41" i="84"/>
  <c r="T41" i="84"/>
  <c r="X41" i="84" s="1"/>
  <c r="P41" i="84"/>
  <c r="H41" i="84"/>
  <c r="D41" i="84"/>
  <c r="B41" i="84"/>
  <c r="X40" i="84"/>
  <c r="Z40" i="84" s="1"/>
  <c r="L40" i="84"/>
  <c r="N40" i="84" s="1"/>
  <c r="B40" i="84"/>
  <c r="T39" i="84"/>
  <c r="Z39" i="84" s="1"/>
  <c r="P39" i="84"/>
  <c r="X39" i="84" s="1"/>
  <c r="H39" i="84"/>
  <c r="D39" i="84"/>
  <c r="L39" i="84" s="1"/>
  <c r="N39" i="84" s="1"/>
  <c r="B39" i="84"/>
  <c r="X38" i="84"/>
  <c r="Z38" i="84" s="1"/>
  <c r="L38" i="84"/>
  <c r="N38" i="84" s="1"/>
  <c r="B38" i="84"/>
  <c r="X37" i="84"/>
  <c r="Z37" i="84" s="1"/>
  <c r="N37" i="84"/>
  <c r="L37" i="84"/>
  <c r="B37" i="84"/>
  <c r="X36" i="84"/>
  <c r="Z36" i="84" s="1"/>
  <c r="N36" i="84"/>
  <c r="L36" i="84"/>
  <c r="F36" i="84"/>
  <c r="B36" i="84"/>
  <c r="Z35" i="84"/>
  <c r="X35" i="84"/>
  <c r="N35" i="84"/>
  <c r="L35" i="84"/>
  <c r="F35" i="84"/>
  <c r="B35" i="84"/>
  <c r="Z34" i="84"/>
  <c r="X34" i="84"/>
  <c r="N34" i="84"/>
  <c r="L34" i="84"/>
  <c r="B34" i="84"/>
  <c r="X33" i="84"/>
  <c r="Z33" i="84" s="1"/>
  <c r="N33" i="84"/>
  <c r="L33" i="84"/>
  <c r="B33" i="84"/>
  <c r="X32" i="84"/>
  <c r="T32" i="84"/>
  <c r="Z32" i="84" s="1"/>
  <c r="P32" i="84"/>
  <c r="H32" i="84"/>
  <c r="D32" i="84"/>
  <c r="L32" i="84" s="1"/>
  <c r="B32" i="84"/>
  <c r="Z31" i="84"/>
  <c r="X31" i="84"/>
  <c r="L31" i="84"/>
  <c r="N31" i="84" s="1"/>
  <c r="B31" i="84"/>
  <c r="X30" i="84"/>
  <c r="Z30" i="84" s="1"/>
  <c r="N30" i="84"/>
  <c r="L30" i="84"/>
  <c r="B30" i="84"/>
  <c r="Z29" i="84"/>
  <c r="X29" i="84"/>
  <c r="N29" i="84"/>
  <c r="L29" i="84"/>
  <c r="B29" i="84"/>
  <c r="Z28" i="84"/>
  <c r="X28" i="84"/>
  <c r="L28" i="84"/>
  <c r="N28" i="84" s="1"/>
  <c r="F28" i="84"/>
  <c r="B28" i="84"/>
  <c r="Z27" i="84"/>
  <c r="X27" i="84"/>
  <c r="L27" i="84"/>
  <c r="N27" i="84" s="1"/>
  <c r="B27" i="84"/>
  <c r="X26" i="84"/>
  <c r="Z26" i="84" s="1"/>
  <c r="N26" i="84"/>
  <c r="L26" i="84"/>
  <c r="B26" i="84"/>
  <c r="Z25" i="84"/>
  <c r="X25" i="84"/>
  <c r="N25" i="84"/>
  <c r="L25" i="84"/>
  <c r="B25" i="84"/>
  <c r="Z24" i="84"/>
  <c r="X24" i="84"/>
  <c r="L24" i="84"/>
  <c r="N24" i="84" s="1"/>
  <c r="F24" i="84"/>
  <c r="B24" i="84"/>
  <c r="T23" i="84"/>
  <c r="P23" i="84"/>
  <c r="H23" i="84"/>
  <c r="L23" i="84" s="1"/>
  <c r="N23" i="84" s="1"/>
  <c r="F23" i="84"/>
  <c r="D23" i="84"/>
  <c r="B23" i="84"/>
  <c r="T22" i="84"/>
  <c r="P22" i="84"/>
  <c r="X22" i="84" s="1"/>
  <c r="Z22" i="84" s="1"/>
  <c r="H22" i="84"/>
  <c r="D22" i="84"/>
  <c r="X18" i="84"/>
  <c r="Z18" i="84" s="1"/>
  <c r="L18" i="84"/>
  <c r="N18" i="84" s="1"/>
  <c r="B18" i="84"/>
  <c r="Z17" i="84"/>
  <c r="X17" i="84"/>
  <c r="L17" i="84"/>
  <c r="N17" i="84" s="1"/>
  <c r="B17" i="84"/>
  <c r="T16" i="84"/>
  <c r="P16" i="84"/>
  <c r="H16" i="84"/>
  <c r="D16" i="84"/>
  <c r="L16" i="84" s="1"/>
  <c r="N16" i="84" s="1"/>
  <c r="T14" i="84"/>
  <c r="P14" i="84"/>
  <c r="X14" i="84" s="1"/>
  <c r="L14" i="84"/>
  <c r="H14" i="84"/>
  <c r="N14" i="84" s="1"/>
  <c r="D14" i="84"/>
  <c r="B14" i="84"/>
  <c r="T13" i="84"/>
  <c r="P13" i="84"/>
  <c r="P12" i="84" s="1"/>
  <c r="R77" i="84" s="1"/>
  <c r="H13" i="84"/>
  <c r="D13" i="84"/>
  <c r="B13" i="84"/>
  <c r="D12" i="84"/>
  <c r="F88" i="84" s="1"/>
  <c r="D6" i="84"/>
  <c r="D4" i="84"/>
  <c r="X31" i="83"/>
  <c r="Z31" i="83" s="1"/>
  <c r="N31" i="83"/>
  <c r="L31" i="83"/>
  <c r="F31" i="83"/>
  <c r="T27" i="83"/>
  <c r="P27" i="83"/>
  <c r="N27" i="83"/>
  <c r="J27" i="83"/>
  <c r="H27" i="83"/>
  <c r="D27" i="83"/>
  <c r="L27" i="83" s="1"/>
  <c r="X25" i="83"/>
  <c r="Z25" i="83" s="1"/>
  <c r="R25" i="83"/>
  <c r="N25" i="83"/>
  <c r="L25" i="83"/>
  <c r="B25" i="83"/>
  <c r="T24" i="83"/>
  <c r="P24" i="83"/>
  <c r="X24" i="83" s="1"/>
  <c r="N24" i="83"/>
  <c r="H24" i="83"/>
  <c r="D24" i="83"/>
  <c r="L24" i="83" s="1"/>
  <c r="B24" i="83"/>
  <c r="T23" i="83"/>
  <c r="P23" i="83"/>
  <c r="X23" i="83" s="1"/>
  <c r="L23" i="83"/>
  <c r="H23" i="83"/>
  <c r="N23" i="83" s="1"/>
  <c r="D23" i="83"/>
  <c r="P21" i="83"/>
  <c r="X19" i="83"/>
  <c r="Z19" i="83" s="1"/>
  <c r="L19" i="83"/>
  <c r="N19" i="83" s="1"/>
  <c r="B19" i="83"/>
  <c r="X18" i="83"/>
  <c r="Z18" i="83" s="1"/>
  <c r="N18" i="83"/>
  <c r="L18" i="83"/>
  <c r="B18" i="83"/>
  <c r="X17" i="83"/>
  <c r="T17" i="83"/>
  <c r="Z17" i="83" s="1"/>
  <c r="P17" i="83"/>
  <c r="H17" i="83"/>
  <c r="D17" i="83"/>
  <c r="L17" i="83" s="1"/>
  <c r="X15" i="83"/>
  <c r="T15" i="83"/>
  <c r="Z15" i="83" s="1"/>
  <c r="P15" i="83"/>
  <c r="H15" i="83"/>
  <c r="D15" i="83"/>
  <c r="L15" i="83" s="1"/>
  <c r="N15" i="83" s="1"/>
  <c r="B15" i="83"/>
  <c r="T14" i="83"/>
  <c r="P14" i="83"/>
  <c r="H14" i="83"/>
  <c r="D14" i="83"/>
  <c r="L14" i="83" s="1"/>
  <c r="N14" i="83" s="1"/>
  <c r="B14" i="83"/>
  <c r="X13" i="83"/>
  <c r="T13" i="83"/>
  <c r="P13" i="83"/>
  <c r="P12" i="83" s="1"/>
  <c r="L13" i="83"/>
  <c r="N13" i="83" s="1"/>
  <c r="H13" i="83"/>
  <c r="D13" i="83"/>
  <c r="D12" i="83" s="1"/>
  <c r="B13" i="83"/>
  <c r="H12" i="83"/>
  <c r="J24" i="83" s="1"/>
  <c r="D6" i="83"/>
  <c r="D4" i="83"/>
  <c r="Z82" i="81"/>
  <c r="X82" i="81"/>
  <c r="N82" i="81"/>
  <c r="L82" i="81"/>
  <c r="Z78" i="81"/>
  <c r="X78" i="81"/>
  <c r="T78" i="81"/>
  <c r="P78" i="81"/>
  <c r="N78" i="81"/>
  <c r="H78" i="81"/>
  <c r="D78" i="81"/>
  <c r="L78" i="81" s="1"/>
  <c r="X76" i="81"/>
  <c r="Z76" i="81" s="1"/>
  <c r="N76" i="81"/>
  <c r="L76" i="81"/>
  <c r="B76" i="81"/>
  <c r="X75" i="81"/>
  <c r="T75" i="81"/>
  <c r="Z75" i="81" s="1"/>
  <c r="P75" i="81"/>
  <c r="H75" i="81"/>
  <c r="D75" i="81"/>
  <c r="L75" i="81" s="1"/>
  <c r="B75" i="81"/>
  <c r="Z74" i="81"/>
  <c r="X74" i="81"/>
  <c r="R74" i="81"/>
  <c r="N74" i="81"/>
  <c r="L74" i="81"/>
  <c r="B74" i="81"/>
  <c r="X73" i="81"/>
  <c r="T73" i="81"/>
  <c r="Z73" i="81" s="1"/>
  <c r="P73" i="81"/>
  <c r="H73" i="81"/>
  <c r="N73" i="81" s="1"/>
  <c r="D73" i="81"/>
  <c r="B73" i="81"/>
  <c r="Z72" i="81"/>
  <c r="X72" i="81"/>
  <c r="L72" i="81"/>
  <c r="N72" i="81" s="1"/>
  <c r="B72" i="81"/>
  <c r="T71" i="81"/>
  <c r="P71" i="81"/>
  <c r="H71" i="81"/>
  <c r="D71" i="81"/>
  <c r="L71" i="81" s="1"/>
  <c r="N71" i="81" s="1"/>
  <c r="B71" i="81"/>
  <c r="Z70" i="81"/>
  <c r="X70" i="81"/>
  <c r="V70" i="81"/>
  <c r="N70" i="81"/>
  <c r="L70" i="81"/>
  <c r="B70" i="81"/>
  <c r="X69" i="81"/>
  <c r="Z69" i="81" s="1"/>
  <c r="L69" i="81"/>
  <c r="N69" i="81" s="1"/>
  <c r="B69" i="81"/>
  <c r="X68" i="81"/>
  <c r="Z68" i="81" s="1"/>
  <c r="N68" i="81"/>
  <c r="L68" i="81"/>
  <c r="B68" i="81"/>
  <c r="X67" i="81"/>
  <c r="Z67" i="81" s="1"/>
  <c r="N67" i="81"/>
  <c r="L67" i="81"/>
  <c r="B67" i="81"/>
  <c r="Z66" i="81"/>
  <c r="X66" i="81"/>
  <c r="N66" i="81"/>
  <c r="L66" i="81"/>
  <c r="B66" i="81"/>
  <c r="X65" i="81"/>
  <c r="Z65" i="81" s="1"/>
  <c r="L65" i="81"/>
  <c r="N65" i="81" s="1"/>
  <c r="B65" i="81"/>
  <c r="Z64" i="81"/>
  <c r="X64" i="81"/>
  <c r="N64" i="81"/>
  <c r="L64" i="81"/>
  <c r="B64" i="81"/>
  <c r="X63" i="81"/>
  <c r="T63" i="81"/>
  <c r="Z63" i="81" s="1"/>
  <c r="P63" i="81"/>
  <c r="L63" i="81"/>
  <c r="H63" i="81"/>
  <c r="D63" i="81"/>
  <c r="B63" i="81"/>
  <c r="Z62" i="81"/>
  <c r="X62" i="81"/>
  <c r="N62" i="81"/>
  <c r="L62" i="81"/>
  <c r="B62" i="81"/>
  <c r="X61" i="81"/>
  <c r="T61" i="81"/>
  <c r="Z61" i="81" s="1"/>
  <c r="P61" i="81"/>
  <c r="H61" i="81"/>
  <c r="N61" i="81" s="1"/>
  <c r="D61" i="81"/>
  <c r="L61" i="81" s="1"/>
  <c r="B61" i="81"/>
  <c r="Z60" i="81"/>
  <c r="X60" i="81"/>
  <c r="L60" i="81"/>
  <c r="N60" i="81" s="1"/>
  <c r="B60" i="81"/>
  <c r="X59" i="81"/>
  <c r="Z59" i="81" s="1"/>
  <c r="L59" i="81"/>
  <c r="N59" i="81" s="1"/>
  <c r="B59" i="81"/>
  <c r="X58" i="81"/>
  <c r="Z58" i="81" s="1"/>
  <c r="N58" i="81"/>
  <c r="L58" i="81"/>
  <c r="B58" i="81"/>
  <c r="T57" i="81"/>
  <c r="P57" i="81"/>
  <c r="X57" i="81" s="1"/>
  <c r="Z57" i="81" s="1"/>
  <c r="H57" i="81"/>
  <c r="D57" i="81"/>
  <c r="B57" i="81"/>
  <c r="X56" i="81"/>
  <c r="Z56" i="81" s="1"/>
  <c r="N56" i="81"/>
  <c r="L56" i="81"/>
  <c r="B56" i="81"/>
  <c r="X55" i="81"/>
  <c r="Z55" i="81" s="1"/>
  <c r="N55" i="81"/>
  <c r="L55" i="81"/>
  <c r="F55" i="81"/>
  <c r="B55" i="81"/>
  <c r="T54" i="81"/>
  <c r="P54" i="81"/>
  <c r="X54" i="81" s="1"/>
  <c r="Z54" i="81" s="1"/>
  <c r="L54" i="81"/>
  <c r="N54" i="81" s="1"/>
  <c r="H54" i="81"/>
  <c r="D54" i="81"/>
  <c r="B54" i="81"/>
  <c r="X53" i="81"/>
  <c r="Z53" i="81" s="1"/>
  <c r="N53" i="81"/>
  <c r="L53" i="81"/>
  <c r="B53" i="81"/>
  <c r="T52" i="81"/>
  <c r="X52" i="81" s="1"/>
  <c r="Z52" i="81" s="1"/>
  <c r="P52" i="81"/>
  <c r="H52" i="81"/>
  <c r="D52" i="81"/>
  <c r="B52" i="81"/>
  <c r="X51" i="81"/>
  <c r="Z51" i="81" s="1"/>
  <c r="R51" i="81"/>
  <c r="L51" i="81"/>
  <c r="N51" i="81" s="1"/>
  <c r="B51" i="81"/>
  <c r="T50" i="81"/>
  <c r="Z50" i="81" s="1"/>
  <c r="P50" i="81"/>
  <c r="X50" i="81" s="1"/>
  <c r="H50" i="81"/>
  <c r="D50" i="81"/>
  <c r="L50" i="81" s="1"/>
  <c r="N50" i="81" s="1"/>
  <c r="B50" i="81"/>
  <c r="X49" i="81"/>
  <c r="Z49" i="81" s="1"/>
  <c r="N49" i="81"/>
  <c r="L49" i="81"/>
  <c r="B49" i="81"/>
  <c r="X48" i="81"/>
  <c r="Z48" i="81" s="1"/>
  <c r="T48" i="81"/>
  <c r="P48" i="81"/>
  <c r="N48" i="81"/>
  <c r="H48" i="81"/>
  <c r="D48" i="81"/>
  <c r="L48" i="81" s="1"/>
  <c r="B48" i="81"/>
  <c r="Z47" i="81"/>
  <c r="X47" i="81"/>
  <c r="N47" i="81"/>
  <c r="L47" i="81"/>
  <c r="B47" i="81"/>
  <c r="T46" i="81"/>
  <c r="P46" i="81"/>
  <c r="N46" i="81"/>
  <c r="J46" i="81"/>
  <c r="H46" i="81"/>
  <c r="L46" i="81" s="1"/>
  <c r="D46" i="81"/>
  <c r="B46" i="81"/>
  <c r="Z45" i="81"/>
  <c r="X45" i="81"/>
  <c r="L45" i="81"/>
  <c r="N45" i="81" s="1"/>
  <c r="B45" i="81"/>
  <c r="T44" i="81"/>
  <c r="P44" i="81"/>
  <c r="X44" i="81" s="1"/>
  <c r="Z44" i="81" s="1"/>
  <c r="H44" i="81"/>
  <c r="D44" i="81"/>
  <c r="L44" i="81" s="1"/>
  <c r="B44" i="81"/>
  <c r="X43" i="81"/>
  <c r="Z43" i="81" s="1"/>
  <c r="N43" i="81"/>
  <c r="L43" i="81"/>
  <c r="F43" i="81"/>
  <c r="B43" i="81"/>
  <c r="Z42" i="81"/>
  <c r="V42" i="81"/>
  <c r="T42" i="81"/>
  <c r="P42" i="81"/>
  <c r="X42" i="81" s="1"/>
  <c r="L42" i="81"/>
  <c r="N42" i="81" s="1"/>
  <c r="H42" i="81"/>
  <c r="D42" i="81"/>
  <c r="B42" i="81"/>
  <c r="X41" i="81"/>
  <c r="Z41" i="81" s="1"/>
  <c r="N41" i="81"/>
  <c r="L41" i="81"/>
  <c r="B41" i="81"/>
  <c r="T40" i="81"/>
  <c r="X40" i="81" s="1"/>
  <c r="Z40" i="81" s="1"/>
  <c r="P40" i="81"/>
  <c r="H40" i="81"/>
  <c r="L40" i="81" s="1"/>
  <c r="D40" i="81"/>
  <c r="B40" i="81"/>
  <c r="X39" i="81"/>
  <c r="Z39" i="81" s="1"/>
  <c r="L39" i="81"/>
  <c r="N39" i="81" s="1"/>
  <c r="B39" i="81"/>
  <c r="T38" i="81"/>
  <c r="Z38" i="81" s="1"/>
  <c r="P38" i="81"/>
  <c r="X38" i="81" s="1"/>
  <c r="H38" i="81"/>
  <c r="D38" i="81"/>
  <c r="L38" i="81" s="1"/>
  <c r="N38" i="81" s="1"/>
  <c r="B38" i="81"/>
  <c r="X37" i="81"/>
  <c r="Z37" i="81" s="1"/>
  <c r="L37" i="81"/>
  <c r="N37" i="81" s="1"/>
  <c r="F37" i="81"/>
  <c r="B37" i="81"/>
  <c r="X36" i="81"/>
  <c r="Z36" i="81" s="1"/>
  <c r="N36" i="81"/>
  <c r="L36" i="81"/>
  <c r="B36" i="81"/>
  <c r="X35" i="81"/>
  <c r="Z35" i="81" s="1"/>
  <c r="N35" i="81"/>
  <c r="L35" i="81"/>
  <c r="B35" i="81"/>
  <c r="Z34" i="81"/>
  <c r="X34" i="81"/>
  <c r="N34" i="81"/>
  <c r="L34" i="81"/>
  <c r="F34" i="81"/>
  <c r="B34" i="81"/>
  <c r="X33" i="81"/>
  <c r="Z33" i="81" s="1"/>
  <c r="R33" i="81"/>
  <c r="L33" i="81"/>
  <c r="N33" i="81" s="1"/>
  <c r="B33" i="81"/>
  <c r="X32" i="81"/>
  <c r="Z32" i="81" s="1"/>
  <c r="T32" i="81"/>
  <c r="P32" i="81"/>
  <c r="H32" i="81"/>
  <c r="F32" i="81"/>
  <c r="D32" i="81"/>
  <c r="L32" i="81" s="1"/>
  <c r="N32" i="81" s="1"/>
  <c r="B32" i="81"/>
  <c r="Z31" i="81"/>
  <c r="X31" i="81"/>
  <c r="L31" i="81"/>
  <c r="N31" i="81" s="1"/>
  <c r="B31" i="81"/>
  <c r="Z30" i="81"/>
  <c r="X30" i="81"/>
  <c r="L30" i="81"/>
  <c r="N30" i="81" s="1"/>
  <c r="J30" i="81"/>
  <c r="B30" i="81"/>
  <c r="X29" i="81"/>
  <c r="Z29" i="81" s="1"/>
  <c r="N29" i="81"/>
  <c r="L29" i="81"/>
  <c r="B29" i="81"/>
  <c r="Z28" i="81"/>
  <c r="X28" i="81"/>
  <c r="N28" i="81"/>
  <c r="L28" i="81"/>
  <c r="B28" i="81"/>
  <c r="Z27" i="81"/>
  <c r="X27" i="81"/>
  <c r="L27" i="81"/>
  <c r="N27" i="81" s="1"/>
  <c r="B27" i="81"/>
  <c r="Z26" i="81"/>
  <c r="X26" i="81"/>
  <c r="L26" i="81"/>
  <c r="N26" i="81" s="1"/>
  <c r="B26" i="81"/>
  <c r="X25" i="81"/>
  <c r="Z25" i="81" s="1"/>
  <c r="N25" i="81"/>
  <c r="L25" i="81"/>
  <c r="B25" i="81"/>
  <c r="Z24" i="81"/>
  <c r="X24" i="81"/>
  <c r="V24" i="81"/>
  <c r="N24" i="81"/>
  <c r="L24" i="81"/>
  <c r="B24" i="81"/>
  <c r="T23" i="81"/>
  <c r="P23" i="81"/>
  <c r="H23" i="81"/>
  <c r="D23" i="81"/>
  <c r="B23" i="81"/>
  <c r="V22" i="81"/>
  <c r="T22" i="81"/>
  <c r="Z22" i="81" s="1"/>
  <c r="P22" i="81"/>
  <c r="X22" i="81" s="1"/>
  <c r="N22" i="81"/>
  <c r="J22" i="81"/>
  <c r="H22" i="81"/>
  <c r="D22" i="81"/>
  <c r="L22" i="81" s="1"/>
  <c r="X18" i="81"/>
  <c r="Z18" i="81" s="1"/>
  <c r="L18" i="81"/>
  <c r="N18" i="81" s="1"/>
  <c r="B18" i="81"/>
  <c r="Z17" i="81"/>
  <c r="X17" i="81"/>
  <c r="V17" i="81"/>
  <c r="L17" i="81"/>
  <c r="N17" i="81" s="1"/>
  <c r="F17" i="81"/>
  <c r="B17" i="81"/>
  <c r="Z16" i="81"/>
  <c r="T16" i="81"/>
  <c r="P16" i="81"/>
  <c r="X16" i="81" s="1"/>
  <c r="J16" i="81"/>
  <c r="H16" i="81"/>
  <c r="F16" i="81"/>
  <c r="D16" i="81"/>
  <c r="L16" i="81" s="1"/>
  <c r="T14" i="81"/>
  <c r="Z14" i="81" s="1"/>
  <c r="P14" i="81"/>
  <c r="X14" i="81" s="1"/>
  <c r="L14" i="81"/>
  <c r="N14" i="81" s="1"/>
  <c r="H14" i="81"/>
  <c r="D14" i="81"/>
  <c r="B14" i="81"/>
  <c r="T13" i="81"/>
  <c r="P13" i="81"/>
  <c r="P12" i="81" s="1"/>
  <c r="R49" i="81" s="1"/>
  <c r="L13" i="81"/>
  <c r="H13" i="81"/>
  <c r="D13" i="81"/>
  <c r="D12" i="81" s="1"/>
  <c r="F70" i="81" s="1"/>
  <c r="B13" i="81"/>
  <c r="T12" i="81"/>
  <c r="V45" i="81" s="1"/>
  <c r="H12" i="81"/>
  <c r="J62" i="81" s="1"/>
  <c r="D6" i="81"/>
  <c r="D4" i="81"/>
  <c r="X75" i="80"/>
  <c r="Z75" i="80" s="1"/>
  <c r="N75" i="80"/>
  <c r="L75" i="80"/>
  <c r="Z71" i="80"/>
  <c r="T71" i="80"/>
  <c r="P71" i="80"/>
  <c r="X71" i="80" s="1"/>
  <c r="H71" i="80"/>
  <c r="N71" i="80" s="1"/>
  <c r="D71" i="80"/>
  <c r="L71" i="80" s="1"/>
  <c r="Z69" i="80"/>
  <c r="X69" i="80"/>
  <c r="N69" i="80"/>
  <c r="L69" i="80"/>
  <c r="B69" i="80"/>
  <c r="T68" i="80"/>
  <c r="P68" i="80"/>
  <c r="X68" i="80" s="1"/>
  <c r="H68" i="80"/>
  <c r="D68" i="80"/>
  <c r="L68" i="80" s="1"/>
  <c r="N68" i="80" s="1"/>
  <c r="B68" i="80"/>
  <c r="X67" i="80"/>
  <c r="Z67" i="80" s="1"/>
  <c r="N67" i="80"/>
  <c r="L67" i="80"/>
  <c r="J67" i="80"/>
  <c r="B67" i="80"/>
  <c r="T66" i="80"/>
  <c r="P66" i="80"/>
  <c r="H66" i="80"/>
  <c r="N66" i="80" s="1"/>
  <c r="D66" i="80"/>
  <c r="B66" i="80"/>
  <c r="X65" i="80"/>
  <c r="Z65" i="80" s="1"/>
  <c r="N65" i="80"/>
  <c r="L65" i="80"/>
  <c r="B65" i="80"/>
  <c r="Z64" i="80"/>
  <c r="T64" i="80"/>
  <c r="P64" i="80"/>
  <c r="X64" i="80" s="1"/>
  <c r="N64" i="80"/>
  <c r="L64" i="80"/>
  <c r="H64" i="80"/>
  <c r="D64" i="80"/>
  <c r="B64" i="80"/>
  <c r="X63" i="80"/>
  <c r="Z63" i="80" s="1"/>
  <c r="R63" i="80"/>
  <c r="N63" i="80"/>
  <c r="L63" i="80"/>
  <c r="B63" i="80"/>
  <c r="Z62" i="80"/>
  <c r="X62" i="80"/>
  <c r="L62" i="80"/>
  <c r="N62" i="80" s="1"/>
  <c r="B62" i="80"/>
  <c r="Z61" i="80"/>
  <c r="X61" i="80"/>
  <c r="N61" i="80"/>
  <c r="L61" i="80"/>
  <c r="B61" i="80"/>
  <c r="X60" i="80"/>
  <c r="Z60" i="80" s="1"/>
  <c r="R60" i="80"/>
  <c r="N60" i="80"/>
  <c r="L60" i="80"/>
  <c r="B60" i="80"/>
  <c r="X59" i="80"/>
  <c r="Z59" i="80" s="1"/>
  <c r="L59" i="80"/>
  <c r="N59" i="80" s="1"/>
  <c r="B59" i="80"/>
  <c r="Z58" i="80"/>
  <c r="X58" i="80"/>
  <c r="N58" i="80"/>
  <c r="L58" i="80"/>
  <c r="B58" i="80"/>
  <c r="T57" i="80"/>
  <c r="R57" i="80"/>
  <c r="P57" i="80"/>
  <c r="H57" i="80"/>
  <c r="D57" i="80"/>
  <c r="B57" i="80"/>
  <c r="X56" i="80"/>
  <c r="Z56" i="80" s="1"/>
  <c r="N56" i="80"/>
  <c r="L56" i="80"/>
  <c r="B56" i="80"/>
  <c r="Z55" i="80"/>
  <c r="X55" i="80"/>
  <c r="N55" i="80"/>
  <c r="L55" i="80"/>
  <c r="B55" i="80"/>
  <c r="X54" i="80"/>
  <c r="Z54" i="80" s="1"/>
  <c r="N54" i="80"/>
  <c r="L54" i="80"/>
  <c r="B54" i="80"/>
  <c r="X53" i="80"/>
  <c r="Z53" i="80" s="1"/>
  <c r="V53" i="80"/>
  <c r="T53" i="80"/>
  <c r="P53" i="80"/>
  <c r="H53" i="80"/>
  <c r="D53" i="80"/>
  <c r="L53" i="80" s="1"/>
  <c r="N53" i="80" s="1"/>
  <c r="B53" i="80"/>
  <c r="X52" i="80"/>
  <c r="Z52" i="80" s="1"/>
  <c r="N52" i="80"/>
  <c r="L52" i="80"/>
  <c r="B52" i="80"/>
  <c r="T51" i="80"/>
  <c r="R51" i="80"/>
  <c r="P51" i="80"/>
  <c r="H51" i="80"/>
  <c r="N51" i="80" s="1"/>
  <c r="D51" i="80"/>
  <c r="B51" i="80"/>
  <c r="X50" i="80"/>
  <c r="Z50" i="80" s="1"/>
  <c r="R50" i="80"/>
  <c r="N50" i="80"/>
  <c r="L50" i="80"/>
  <c r="B50" i="80"/>
  <c r="X49" i="80"/>
  <c r="Z49" i="80" s="1"/>
  <c r="N49" i="80"/>
  <c r="L49" i="80"/>
  <c r="J49" i="80"/>
  <c r="B49" i="80"/>
  <c r="Z48" i="80"/>
  <c r="X48" i="80"/>
  <c r="N48" i="80"/>
  <c r="L48" i="80"/>
  <c r="B48" i="80"/>
  <c r="Z47" i="80"/>
  <c r="T47" i="80"/>
  <c r="P47" i="80"/>
  <c r="X47" i="80" s="1"/>
  <c r="H47" i="80"/>
  <c r="N47" i="80" s="1"/>
  <c r="D47" i="80"/>
  <c r="L47" i="80" s="1"/>
  <c r="B47" i="80"/>
  <c r="X46" i="80"/>
  <c r="Z46" i="80" s="1"/>
  <c r="N46" i="80"/>
  <c r="L46" i="80"/>
  <c r="B46" i="80"/>
  <c r="X45" i="80"/>
  <c r="Z45" i="80" s="1"/>
  <c r="T45" i="80"/>
  <c r="P45" i="80"/>
  <c r="H45" i="80"/>
  <c r="D45" i="80"/>
  <c r="L45" i="80" s="1"/>
  <c r="N45" i="80" s="1"/>
  <c r="B45" i="80"/>
  <c r="X44" i="80"/>
  <c r="Z44" i="80" s="1"/>
  <c r="L44" i="80"/>
  <c r="N44" i="80" s="1"/>
  <c r="B44" i="80"/>
  <c r="T43" i="80"/>
  <c r="R43" i="80"/>
  <c r="P43" i="80"/>
  <c r="H43" i="80"/>
  <c r="D43" i="80"/>
  <c r="B43" i="80"/>
  <c r="X42" i="80"/>
  <c r="Z42" i="80" s="1"/>
  <c r="R42" i="80"/>
  <c r="L42" i="80"/>
  <c r="N42" i="80" s="1"/>
  <c r="B42" i="80"/>
  <c r="T41" i="80"/>
  <c r="P41" i="80"/>
  <c r="X41" i="80" s="1"/>
  <c r="N41" i="80"/>
  <c r="H41" i="80"/>
  <c r="D41" i="80"/>
  <c r="L41" i="80" s="1"/>
  <c r="B41" i="80"/>
  <c r="X40" i="80"/>
  <c r="Z40" i="80" s="1"/>
  <c r="L40" i="80"/>
  <c r="N40" i="80" s="1"/>
  <c r="B40" i="80"/>
  <c r="X39" i="80"/>
  <c r="Z39" i="80" s="1"/>
  <c r="T39" i="80"/>
  <c r="P39" i="80"/>
  <c r="L39" i="80"/>
  <c r="N39" i="80" s="1"/>
  <c r="J39" i="80"/>
  <c r="H39" i="80"/>
  <c r="D39" i="80"/>
  <c r="B39" i="80"/>
  <c r="Z38" i="80"/>
  <c r="X38" i="80"/>
  <c r="L38" i="80"/>
  <c r="N38" i="80" s="1"/>
  <c r="B38" i="80"/>
  <c r="T37" i="80"/>
  <c r="P37" i="80"/>
  <c r="H37" i="80"/>
  <c r="L37" i="80" s="1"/>
  <c r="N37" i="80" s="1"/>
  <c r="D37" i="80"/>
  <c r="B37" i="80"/>
  <c r="X36" i="80"/>
  <c r="Z36" i="80" s="1"/>
  <c r="L36" i="80"/>
  <c r="N36" i="80" s="1"/>
  <c r="B36" i="80"/>
  <c r="Z35" i="80"/>
  <c r="X35" i="80"/>
  <c r="N35" i="80"/>
  <c r="L35" i="80"/>
  <c r="B35" i="80"/>
  <c r="X34" i="80"/>
  <c r="Z34" i="80" s="1"/>
  <c r="R34" i="80"/>
  <c r="N34" i="80"/>
  <c r="L34" i="80"/>
  <c r="B34" i="80"/>
  <c r="X33" i="80"/>
  <c r="Z33" i="80" s="1"/>
  <c r="L33" i="80"/>
  <c r="N33" i="80" s="1"/>
  <c r="J33" i="80"/>
  <c r="B33" i="80"/>
  <c r="Z32" i="80"/>
  <c r="X32" i="80"/>
  <c r="N32" i="80"/>
  <c r="L32" i="80"/>
  <c r="B32" i="80"/>
  <c r="Z31" i="80"/>
  <c r="T31" i="80"/>
  <c r="P31" i="80"/>
  <c r="X31" i="80" s="1"/>
  <c r="H31" i="80"/>
  <c r="D31" i="80"/>
  <c r="L31" i="80" s="1"/>
  <c r="B31" i="80"/>
  <c r="Z30" i="80"/>
  <c r="X30" i="80"/>
  <c r="N30" i="80"/>
  <c r="L30" i="80"/>
  <c r="B30" i="80"/>
  <c r="Z29" i="80"/>
  <c r="X29" i="80"/>
  <c r="N29" i="80"/>
  <c r="L29" i="80"/>
  <c r="B29" i="80"/>
  <c r="Z28" i="80"/>
  <c r="X28" i="80"/>
  <c r="N28" i="80"/>
  <c r="L28" i="80"/>
  <c r="B28" i="80"/>
  <c r="X27" i="80"/>
  <c r="Z27" i="80" s="1"/>
  <c r="N27" i="80"/>
  <c r="L27" i="80"/>
  <c r="B27" i="80"/>
  <c r="Z26" i="80"/>
  <c r="X26" i="80"/>
  <c r="N26" i="80"/>
  <c r="L26" i="80"/>
  <c r="B26" i="80"/>
  <c r="X25" i="80"/>
  <c r="Z25" i="80" s="1"/>
  <c r="L25" i="80"/>
  <c r="N25" i="80" s="1"/>
  <c r="B25" i="80"/>
  <c r="X24" i="80"/>
  <c r="Z24" i="80" s="1"/>
  <c r="L24" i="80"/>
  <c r="N24" i="80" s="1"/>
  <c r="B24" i="80"/>
  <c r="X23" i="80"/>
  <c r="Z23" i="80" s="1"/>
  <c r="T23" i="80"/>
  <c r="P23" i="80"/>
  <c r="L23" i="80"/>
  <c r="N23" i="80" s="1"/>
  <c r="J23" i="80"/>
  <c r="H23" i="80"/>
  <c r="D23" i="80"/>
  <c r="B23" i="80"/>
  <c r="T22" i="80"/>
  <c r="P22" i="80"/>
  <c r="X22" i="80" s="1"/>
  <c r="L22" i="80"/>
  <c r="N22" i="80" s="1"/>
  <c r="H22" i="80"/>
  <c r="D22" i="80"/>
  <c r="Z18" i="80"/>
  <c r="X18" i="80"/>
  <c r="L18" i="80"/>
  <c r="N18" i="80" s="1"/>
  <c r="B18" i="80"/>
  <c r="X17" i="80"/>
  <c r="Z17" i="80" s="1"/>
  <c r="L17" i="80"/>
  <c r="N17" i="80" s="1"/>
  <c r="J17" i="80"/>
  <c r="B17" i="80"/>
  <c r="X16" i="80"/>
  <c r="Z16" i="80" s="1"/>
  <c r="T16" i="80"/>
  <c r="P16" i="80"/>
  <c r="H16" i="80"/>
  <c r="D16" i="80"/>
  <c r="L16" i="80" s="1"/>
  <c r="X14" i="80"/>
  <c r="Z14" i="80" s="1"/>
  <c r="T14" i="80"/>
  <c r="P14" i="80"/>
  <c r="L14" i="80"/>
  <c r="H14" i="80"/>
  <c r="N14" i="80" s="1"/>
  <c r="D14" i="80"/>
  <c r="B14" i="80"/>
  <c r="T13" i="80"/>
  <c r="T12" i="80" s="1"/>
  <c r="V64" i="80" s="1"/>
  <c r="P13" i="80"/>
  <c r="X13" i="80" s="1"/>
  <c r="Z13" i="80" s="1"/>
  <c r="H13" i="80"/>
  <c r="D13" i="80"/>
  <c r="L13" i="80" s="1"/>
  <c r="N13" i="80" s="1"/>
  <c r="B13" i="80"/>
  <c r="P12" i="80"/>
  <c r="R49" i="80" s="1"/>
  <c r="H12" i="80"/>
  <c r="J56" i="80" s="1"/>
  <c r="D12" i="80"/>
  <c r="D6" i="80"/>
  <c r="D4" i="80"/>
  <c r="X72" i="79"/>
  <c r="Z72" i="79" s="1"/>
  <c r="L72" i="79"/>
  <c r="N72" i="79" s="1"/>
  <c r="X68" i="79"/>
  <c r="Z68" i="79" s="1"/>
  <c r="T68" i="79"/>
  <c r="P68" i="79"/>
  <c r="H68" i="79"/>
  <c r="D68" i="79"/>
  <c r="L68" i="79" s="1"/>
  <c r="B68" i="79"/>
  <c r="T67" i="79"/>
  <c r="P67" i="79"/>
  <c r="X67" i="79" s="1"/>
  <c r="Z67" i="79" s="1"/>
  <c r="H67" i="79"/>
  <c r="N67" i="79" s="1"/>
  <c r="D67" i="79"/>
  <c r="L67" i="79" s="1"/>
  <c r="B67" i="79"/>
  <c r="T66" i="79"/>
  <c r="X66" i="79" s="1"/>
  <c r="P66" i="79"/>
  <c r="H66" i="79"/>
  <c r="D66" i="79"/>
  <c r="B66" i="79"/>
  <c r="T65" i="79"/>
  <c r="P65" i="79"/>
  <c r="N65" i="79"/>
  <c r="H65" i="79"/>
  <c r="L65" i="79" s="1"/>
  <c r="D65" i="79"/>
  <c r="B65" i="79"/>
  <c r="T64" i="79"/>
  <c r="P64" i="79"/>
  <c r="X64" i="79" s="1"/>
  <c r="Z64" i="79" s="1"/>
  <c r="H64" i="79"/>
  <c r="D64" i="79"/>
  <c r="B64" i="79"/>
  <c r="Z61" i="79"/>
  <c r="X61" i="79"/>
  <c r="N61" i="79"/>
  <c r="L61" i="79"/>
  <c r="B61" i="79"/>
  <c r="T60" i="79"/>
  <c r="X60" i="79" s="1"/>
  <c r="P60" i="79"/>
  <c r="H60" i="79"/>
  <c r="D60" i="79"/>
  <c r="L60" i="79" s="1"/>
  <c r="B60" i="79"/>
  <c r="X59" i="79"/>
  <c r="Z59" i="79" s="1"/>
  <c r="L59" i="79"/>
  <c r="N59" i="79" s="1"/>
  <c r="B59" i="79"/>
  <c r="X58" i="79"/>
  <c r="Z58" i="79" s="1"/>
  <c r="N58" i="79"/>
  <c r="L58" i="79"/>
  <c r="B58" i="79"/>
  <c r="T57" i="79"/>
  <c r="X57" i="79" s="1"/>
  <c r="Z57" i="79" s="1"/>
  <c r="P57" i="79"/>
  <c r="H57" i="79"/>
  <c r="D57" i="79"/>
  <c r="B57" i="79"/>
  <c r="X56" i="79"/>
  <c r="Z56" i="79" s="1"/>
  <c r="L56" i="79"/>
  <c r="N56" i="79" s="1"/>
  <c r="B56" i="79"/>
  <c r="T55" i="79"/>
  <c r="Z55" i="79" s="1"/>
  <c r="P55" i="79"/>
  <c r="X55" i="79" s="1"/>
  <c r="N55" i="79"/>
  <c r="H55" i="79"/>
  <c r="D55" i="79"/>
  <c r="L55" i="79" s="1"/>
  <c r="B55" i="79"/>
  <c r="X54" i="79"/>
  <c r="Z54" i="79" s="1"/>
  <c r="N54" i="79"/>
  <c r="L54" i="79"/>
  <c r="B54" i="79"/>
  <c r="Z53" i="79"/>
  <c r="X53" i="79"/>
  <c r="T53" i="79"/>
  <c r="P53" i="79"/>
  <c r="N53" i="79"/>
  <c r="L53" i="79"/>
  <c r="H53" i="79"/>
  <c r="D53" i="79"/>
  <c r="B53" i="79"/>
  <c r="Z52" i="79"/>
  <c r="X52" i="79"/>
  <c r="L52" i="79"/>
  <c r="N52" i="79" s="1"/>
  <c r="B52" i="79"/>
  <c r="X51" i="79"/>
  <c r="Z51" i="79" s="1"/>
  <c r="L51" i="79"/>
  <c r="N51" i="79" s="1"/>
  <c r="B51" i="79"/>
  <c r="X50" i="79"/>
  <c r="Z50" i="79" s="1"/>
  <c r="T50" i="79"/>
  <c r="P50" i="79"/>
  <c r="H50" i="79"/>
  <c r="D50" i="79"/>
  <c r="B50" i="79"/>
  <c r="Z49" i="79"/>
  <c r="X49" i="79"/>
  <c r="N49" i="79"/>
  <c r="L49" i="79"/>
  <c r="B49" i="79"/>
  <c r="T48" i="79"/>
  <c r="P48" i="79"/>
  <c r="H48" i="79"/>
  <c r="D48" i="79"/>
  <c r="L48" i="79" s="1"/>
  <c r="N48" i="79" s="1"/>
  <c r="B48" i="79"/>
  <c r="Z47" i="79"/>
  <c r="X47" i="79"/>
  <c r="L47" i="79"/>
  <c r="N47" i="79" s="1"/>
  <c r="B47" i="79"/>
  <c r="T46" i="79"/>
  <c r="P46" i="79"/>
  <c r="X46" i="79" s="1"/>
  <c r="H46" i="79"/>
  <c r="L46" i="79" s="1"/>
  <c r="D46" i="79"/>
  <c r="B46" i="79"/>
  <c r="Z45" i="79"/>
  <c r="X45" i="79"/>
  <c r="N45" i="79"/>
  <c r="L45" i="79"/>
  <c r="B45" i="79"/>
  <c r="Z44" i="79"/>
  <c r="X44" i="79"/>
  <c r="L44" i="79"/>
  <c r="N44" i="79" s="1"/>
  <c r="B44" i="79"/>
  <c r="X43" i="79"/>
  <c r="Z43" i="79" s="1"/>
  <c r="N43" i="79"/>
  <c r="L43" i="79"/>
  <c r="B43" i="79"/>
  <c r="X42" i="79"/>
  <c r="Z42" i="79" s="1"/>
  <c r="N42" i="79"/>
  <c r="L42" i="79"/>
  <c r="B42" i="79"/>
  <c r="Z41" i="79"/>
  <c r="X41" i="79"/>
  <c r="N41" i="79"/>
  <c r="L41" i="79"/>
  <c r="B41" i="79"/>
  <c r="Z40" i="79"/>
  <c r="X40" i="79"/>
  <c r="L40" i="79"/>
  <c r="N40" i="79" s="1"/>
  <c r="B40" i="79"/>
  <c r="T39" i="79"/>
  <c r="P39" i="79"/>
  <c r="N39" i="79"/>
  <c r="H39" i="79"/>
  <c r="L39" i="79" s="1"/>
  <c r="D39" i="79"/>
  <c r="B39" i="79"/>
  <c r="X38" i="79"/>
  <c r="Z38" i="79" s="1"/>
  <c r="N38" i="79"/>
  <c r="L38" i="79"/>
  <c r="B38" i="79"/>
  <c r="Z37" i="79"/>
  <c r="X37" i="79"/>
  <c r="N37" i="79"/>
  <c r="L37" i="79"/>
  <c r="B37" i="79"/>
  <c r="X36" i="79"/>
  <c r="Z36" i="79" s="1"/>
  <c r="L36" i="79"/>
  <c r="N36" i="79" s="1"/>
  <c r="B36" i="79"/>
  <c r="X35" i="79"/>
  <c r="Z35" i="79" s="1"/>
  <c r="N35" i="79"/>
  <c r="L35" i="79"/>
  <c r="B35" i="79"/>
  <c r="X34" i="79"/>
  <c r="Z34" i="79" s="1"/>
  <c r="L34" i="79"/>
  <c r="N34" i="79" s="1"/>
  <c r="B34" i="79"/>
  <c r="Z33" i="79"/>
  <c r="X33" i="79"/>
  <c r="N33" i="79"/>
  <c r="L33" i="79"/>
  <c r="B33" i="79"/>
  <c r="X32" i="79"/>
  <c r="Z32" i="79" s="1"/>
  <c r="L32" i="79"/>
  <c r="N32" i="79" s="1"/>
  <c r="B32" i="79"/>
  <c r="X31" i="79"/>
  <c r="Z31" i="79" s="1"/>
  <c r="N31" i="79"/>
  <c r="L31" i="79"/>
  <c r="B31" i="79"/>
  <c r="X30" i="79"/>
  <c r="Z30" i="79" s="1"/>
  <c r="T30" i="79"/>
  <c r="P30" i="79"/>
  <c r="H30" i="79"/>
  <c r="D30" i="79"/>
  <c r="B30" i="79"/>
  <c r="Z29" i="79"/>
  <c r="X29" i="79"/>
  <c r="T29" i="79"/>
  <c r="P29" i="79"/>
  <c r="H29" i="79"/>
  <c r="D29" i="79"/>
  <c r="L29" i="79" s="1"/>
  <c r="N29" i="79" s="1"/>
  <c r="Z25" i="79"/>
  <c r="X25" i="79"/>
  <c r="N25" i="79"/>
  <c r="L25" i="79"/>
  <c r="B25" i="79"/>
  <c r="X24" i="79"/>
  <c r="Z24" i="79" s="1"/>
  <c r="N24" i="79"/>
  <c r="L24" i="79"/>
  <c r="B24" i="79"/>
  <c r="Z23" i="79"/>
  <c r="X23" i="79"/>
  <c r="L23" i="79"/>
  <c r="N23" i="79" s="1"/>
  <c r="B23" i="79"/>
  <c r="X22" i="79"/>
  <c r="Z22" i="79" s="1"/>
  <c r="L22" i="79"/>
  <c r="N22" i="79" s="1"/>
  <c r="B22" i="79"/>
  <c r="Z21" i="79"/>
  <c r="X21" i="79"/>
  <c r="N21" i="79"/>
  <c r="L21" i="79"/>
  <c r="B21" i="79"/>
  <c r="T20" i="79"/>
  <c r="P20" i="79"/>
  <c r="L20" i="79"/>
  <c r="H20" i="79"/>
  <c r="D20" i="79"/>
  <c r="T18" i="79"/>
  <c r="P18" i="79"/>
  <c r="X18" i="79" s="1"/>
  <c r="N18" i="79"/>
  <c r="H18" i="79"/>
  <c r="D18" i="79"/>
  <c r="L18" i="79" s="1"/>
  <c r="B18" i="79"/>
  <c r="T17" i="79"/>
  <c r="P17" i="79"/>
  <c r="H17" i="79"/>
  <c r="D17" i="79"/>
  <c r="B17" i="79"/>
  <c r="X16" i="79"/>
  <c r="T16" i="79"/>
  <c r="P16" i="79"/>
  <c r="L16" i="79"/>
  <c r="N16" i="79" s="1"/>
  <c r="H16" i="79"/>
  <c r="D16" i="79"/>
  <c r="B16" i="79"/>
  <c r="Z15" i="79"/>
  <c r="X15" i="79"/>
  <c r="T15" i="79"/>
  <c r="P15" i="79"/>
  <c r="N15" i="79"/>
  <c r="H15" i="79"/>
  <c r="L15" i="79" s="1"/>
  <c r="D15" i="79"/>
  <c r="B15" i="79"/>
  <c r="T14" i="79"/>
  <c r="P14" i="79"/>
  <c r="H14" i="79"/>
  <c r="D14" i="79"/>
  <c r="L14" i="79" s="1"/>
  <c r="N14" i="79" s="1"/>
  <c r="B14" i="79"/>
  <c r="T13" i="79"/>
  <c r="P13" i="79"/>
  <c r="H13" i="79"/>
  <c r="D13" i="79"/>
  <c r="B13" i="79"/>
  <c r="D6" i="79"/>
  <c r="D4" i="79"/>
  <c r="X113" i="77"/>
  <c r="Z113" i="77" s="1"/>
  <c r="N113" i="77"/>
  <c r="L113" i="77"/>
  <c r="T109" i="77"/>
  <c r="P109" i="77"/>
  <c r="X109" i="77" s="1"/>
  <c r="H109" i="77"/>
  <c r="D109" i="77"/>
  <c r="B109" i="77"/>
  <c r="X108" i="77"/>
  <c r="Z108" i="77" s="1"/>
  <c r="T108" i="77"/>
  <c r="P108" i="77"/>
  <c r="L108" i="77"/>
  <c r="H108" i="77"/>
  <c r="N108" i="77" s="1"/>
  <c r="D108" i="77"/>
  <c r="B108" i="77"/>
  <c r="T107" i="77"/>
  <c r="Z107" i="77" s="1"/>
  <c r="P107" i="77"/>
  <c r="N107" i="77"/>
  <c r="H107" i="77"/>
  <c r="D107" i="77"/>
  <c r="L107" i="77" s="1"/>
  <c r="B107" i="77"/>
  <c r="Z106" i="77"/>
  <c r="T106" i="77"/>
  <c r="P106" i="77"/>
  <c r="X106" i="77" s="1"/>
  <c r="H106" i="77"/>
  <c r="D106" i="77"/>
  <c r="L106" i="77" s="1"/>
  <c r="N106" i="77" s="1"/>
  <c r="B106" i="77"/>
  <c r="P105" i="77"/>
  <c r="H105" i="77"/>
  <c r="X103" i="77"/>
  <c r="Z103" i="77" s="1"/>
  <c r="N103" i="77"/>
  <c r="L103" i="77"/>
  <c r="B103" i="77"/>
  <c r="X102" i="77"/>
  <c r="Z102" i="77" s="1"/>
  <c r="N102" i="77"/>
  <c r="L102" i="77"/>
  <c r="B102" i="77"/>
  <c r="T101" i="77"/>
  <c r="P101" i="77"/>
  <c r="H101" i="77"/>
  <c r="D101" i="77"/>
  <c r="L101" i="77" s="1"/>
  <c r="N101" i="77" s="1"/>
  <c r="B101" i="77"/>
  <c r="X100" i="77"/>
  <c r="Z100" i="77" s="1"/>
  <c r="L100" i="77"/>
  <c r="N100" i="77" s="1"/>
  <c r="B100" i="77"/>
  <c r="T99" i="77"/>
  <c r="P99" i="77"/>
  <c r="X99" i="77" s="1"/>
  <c r="Z99" i="77" s="1"/>
  <c r="L99" i="77"/>
  <c r="N99" i="77" s="1"/>
  <c r="H99" i="77"/>
  <c r="D99" i="77"/>
  <c r="B99" i="77"/>
  <c r="Z98" i="77"/>
  <c r="X98" i="77"/>
  <c r="L98" i="77"/>
  <c r="N98" i="77" s="1"/>
  <c r="B98" i="77"/>
  <c r="V97" i="77"/>
  <c r="T97" i="77"/>
  <c r="P97" i="77"/>
  <c r="H97" i="77"/>
  <c r="D97" i="77"/>
  <c r="L97" i="77" s="1"/>
  <c r="B97" i="77"/>
  <c r="X96" i="77"/>
  <c r="Z96" i="77" s="1"/>
  <c r="L96" i="77"/>
  <c r="N96" i="77" s="1"/>
  <c r="B96" i="77"/>
  <c r="Z95" i="77"/>
  <c r="X95" i="77"/>
  <c r="N95" i="77"/>
  <c r="L95" i="77"/>
  <c r="B95" i="77"/>
  <c r="X94" i="77"/>
  <c r="Z94" i="77" s="1"/>
  <c r="T94" i="77"/>
  <c r="P94" i="77"/>
  <c r="H94" i="77"/>
  <c r="D94" i="77"/>
  <c r="B94" i="77"/>
  <c r="Z93" i="77"/>
  <c r="X93" i="77"/>
  <c r="L93" i="77"/>
  <c r="N93" i="77" s="1"/>
  <c r="B93" i="77"/>
  <c r="T92" i="77"/>
  <c r="P92" i="77"/>
  <c r="H92" i="77"/>
  <c r="D92" i="77"/>
  <c r="B92" i="77"/>
  <c r="Z91" i="77"/>
  <c r="X91" i="77"/>
  <c r="N91" i="77"/>
  <c r="L91" i="77"/>
  <c r="B91" i="77"/>
  <c r="Z90" i="77"/>
  <c r="X90" i="77"/>
  <c r="T90" i="77"/>
  <c r="P90" i="77"/>
  <c r="N90" i="77"/>
  <c r="L90" i="77"/>
  <c r="H90" i="77"/>
  <c r="D90" i="77"/>
  <c r="B90" i="77"/>
  <c r="Z89" i="77"/>
  <c r="X89" i="77"/>
  <c r="L89" i="77"/>
  <c r="N89" i="77" s="1"/>
  <c r="B89" i="77"/>
  <c r="T88" i="77"/>
  <c r="P88" i="77"/>
  <c r="X88" i="77" s="1"/>
  <c r="N88" i="77"/>
  <c r="L88" i="77"/>
  <c r="H88" i="77"/>
  <c r="D88" i="77"/>
  <c r="B88" i="77"/>
  <c r="Z87" i="77"/>
  <c r="X87" i="77"/>
  <c r="N87" i="77"/>
  <c r="L87" i="77"/>
  <c r="B87" i="77"/>
  <c r="T86" i="77"/>
  <c r="Z86" i="77" s="1"/>
  <c r="P86" i="77"/>
  <c r="X86" i="77" s="1"/>
  <c r="H86" i="77"/>
  <c r="D86" i="77"/>
  <c r="B86" i="77"/>
  <c r="X85" i="77"/>
  <c r="Z85" i="77" s="1"/>
  <c r="N85" i="77"/>
  <c r="L85" i="77"/>
  <c r="B85" i="77"/>
  <c r="X84" i="77"/>
  <c r="Z84" i="77" s="1"/>
  <c r="N84" i="77"/>
  <c r="L84" i="77"/>
  <c r="B84" i="77"/>
  <c r="T83" i="77"/>
  <c r="P83" i="77"/>
  <c r="X83" i="77" s="1"/>
  <c r="Z83" i="77" s="1"/>
  <c r="H83" i="77"/>
  <c r="D83" i="77"/>
  <c r="B83" i="77"/>
  <c r="X82" i="77"/>
  <c r="Z82" i="77" s="1"/>
  <c r="N82" i="77"/>
  <c r="L82" i="77"/>
  <c r="B82" i="77"/>
  <c r="Z81" i="77"/>
  <c r="T81" i="77"/>
  <c r="P81" i="77"/>
  <c r="X81" i="77" s="1"/>
  <c r="H81" i="77"/>
  <c r="D81" i="77"/>
  <c r="L81" i="77" s="1"/>
  <c r="B81" i="77"/>
  <c r="Z80" i="77"/>
  <c r="X80" i="77"/>
  <c r="N80" i="77"/>
  <c r="L80" i="77"/>
  <c r="B80" i="77"/>
  <c r="Z79" i="77"/>
  <c r="T79" i="77"/>
  <c r="P79" i="77"/>
  <c r="X79" i="77" s="1"/>
  <c r="H79" i="77"/>
  <c r="N79" i="77" s="1"/>
  <c r="D79" i="77"/>
  <c r="L79" i="77" s="1"/>
  <c r="B79" i="77"/>
  <c r="X78" i="77"/>
  <c r="Z78" i="77" s="1"/>
  <c r="N78" i="77"/>
  <c r="L78" i="77"/>
  <c r="B78" i="77"/>
  <c r="X77" i="77"/>
  <c r="T77" i="77"/>
  <c r="P77" i="77"/>
  <c r="H77" i="77"/>
  <c r="L77" i="77" s="1"/>
  <c r="N77" i="77" s="1"/>
  <c r="D77" i="77"/>
  <c r="B77" i="77"/>
  <c r="X76" i="77"/>
  <c r="Z76" i="77" s="1"/>
  <c r="L76" i="77"/>
  <c r="N76" i="77" s="1"/>
  <c r="B76" i="77"/>
  <c r="X75" i="77"/>
  <c r="Z75" i="77" s="1"/>
  <c r="T75" i="77"/>
  <c r="P75" i="77"/>
  <c r="H75" i="77"/>
  <c r="D75" i="77"/>
  <c r="L75" i="77" s="1"/>
  <c r="N75" i="77" s="1"/>
  <c r="B75" i="77"/>
  <c r="Z74" i="77"/>
  <c r="X74" i="77"/>
  <c r="V74" i="77"/>
  <c r="L74" i="77"/>
  <c r="N74" i="77" s="1"/>
  <c r="B74" i="77"/>
  <c r="T73" i="77"/>
  <c r="Z73" i="77" s="1"/>
  <c r="P73" i="77"/>
  <c r="X73" i="77" s="1"/>
  <c r="L73" i="77"/>
  <c r="N73" i="77" s="1"/>
  <c r="H73" i="77"/>
  <c r="D73" i="77"/>
  <c r="B73" i="77"/>
  <c r="X72" i="77"/>
  <c r="Z72" i="77" s="1"/>
  <c r="L72" i="77"/>
  <c r="N72" i="77" s="1"/>
  <c r="B72" i="77"/>
  <c r="Z71" i="77"/>
  <c r="X71" i="77"/>
  <c r="N71" i="77"/>
  <c r="L71" i="77"/>
  <c r="B71" i="77"/>
  <c r="Z70" i="77"/>
  <c r="X70" i="77"/>
  <c r="L70" i="77"/>
  <c r="N70" i="77" s="1"/>
  <c r="B70" i="77"/>
  <c r="Z69" i="77"/>
  <c r="X69" i="77"/>
  <c r="N69" i="77"/>
  <c r="L69" i="77"/>
  <c r="B69" i="77"/>
  <c r="X68" i="77"/>
  <c r="Z68" i="77" s="1"/>
  <c r="L68" i="77"/>
  <c r="N68" i="77" s="1"/>
  <c r="B68" i="77"/>
  <c r="X67" i="77"/>
  <c r="Z67" i="77" s="1"/>
  <c r="T67" i="77"/>
  <c r="P67" i="77"/>
  <c r="H67" i="77"/>
  <c r="D67" i="77"/>
  <c r="B67" i="77"/>
  <c r="X66" i="77"/>
  <c r="Z66" i="77" s="1"/>
  <c r="N66" i="77"/>
  <c r="L66" i="77"/>
  <c r="B66" i="77"/>
  <c r="Z65" i="77"/>
  <c r="X65" i="77"/>
  <c r="N65" i="77"/>
  <c r="L65" i="77"/>
  <c r="B65" i="77"/>
  <c r="Z64" i="77"/>
  <c r="X64" i="77"/>
  <c r="L64" i="77"/>
  <c r="N64" i="77" s="1"/>
  <c r="B64" i="77"/>
  <c r="X63" i="77"/>
  <c r="Z63" i="77" s="1"/>
  <c r="N63" i="77"/>
  <c r="L63" i="77"/>
  <c r="B63" i="77"/>
  <c r="Z62" i="77"/>
  <c r="X62" i="77"/>
  <c r="N62" i="77"/>
  <c r="L62" i="77"/>
  <c r="B62" i="77"/>
  <c r="Z61" i="77"/>
  <c r="X61" i="77"/>
  <c r="L61" i="77"/>
  <c r="N61" i="77" s="1"/>
  <c r="B61" i="77"/>
  <c r="X60" i="77"/>
  <c r="Z60" i="77" s="1"/>
  <c r="L60" i="77"/>
  <c r="N60" i="77" s="1"/>
  <c r="B60" i="77"/>
  <c r="Z59" i="77"/>
  <c r="X59" i="77"/>
  <c r="L59" i="77"/>
  <c r="N59" i="77" s="1"/>
  <c r="B59" i="77"/>
  <c r="Z58" i="77"/>
  <c r="X58" i="77"/>
  <c r="N58" i="77"/>
  <c r="L58" i="77"/>
  <c r="B58" i="77"/>
  <c r="T57" i="77"/>
  <c r="P57" i="77"/>
  <c r="L57" i="77"/>
  <c r="N57" i="77" s="1"/>
  <c r="H57" i="77"/>
  <c r="D57" i="77"/>
  <c r="B57" i="77"/>
  <c r="T56" i="77"/>
  <c r="P56" i="77"/>
  <c r="X56" i="77" s="1"/>
  <c r="H56" i="77"/>
  <c r="D56" i="77"/>
  <c r="X52" i="77"/>
  <c r="Z52" i="77" s="1"/>
  <c r="N52" i="77"/>
  <c r="L52" i="77"/>
  <c r="B52" i="77"/>
  <c r="X51" i="77"/>
  <c r="Z51" i="77" s="1"/>
  <c r="N51" i="77"/>
  <c r="L51" i="77"/>
  <c r="B51" i="77"/>
  <c r="Z50" i="77"/>
  <c r="X50" i="77"/>
  <c r="N50" i="77"/>
  <c r="L50" i="77"/>
  <c r="B50" i="77"/>
  <c r="Z49" i="77"/>
  <c r="X49" i="77"/>
  <c r="N49" i="77"/>
  <c r="L49" i="77"/>
  <c r="B49" i="77"/>
  <c r="X48" i="77"/>
  <c r="Z48" i="77" s="1"/>
  <c r="N48" i="77"/>
  <c r="L48" i="77"/>
  <c r="B48" i="77"/>
  <c r="Z47" i="77"/>
  <c r="X47" i="77"/>
  <c r="N47" i="77"/>
  <c r="L47" i="77"/>
  <c r="B47" i="77"/>
  <c r="Z46" i="77"/>
  <c r="X46" i="77"/>
  <c r="N46" i="77"/>
  <c r="L46" i="77"/>
  <c r="B46" i="77"/>
  <c r="Z45" i="77"/>
  <c r="X45" i="77"/>
  <c r="N45" i="77"/>
  <c r="L45" i="77"/>
  <c r="B45" i="77"/>
  <c r="X44" i="77"/>
  <c r="Z44" i="77" s="1"/>
  <c r="L44" i="77"/>
  <c r="N44" i="77" s="1"/>
  <c r="B44" i="77"/>
  <c r="Z43" i="77"/>
  <c r="X43" i="77"/>
  <c r="L43" i="77"/>
  <c r="N43" i="77" s="1"/>
  <c r="B43" i="77"/>
  <c r="Z42" i="77"/>
  <c r="X42" i="77"/>
  <c r="N42" i="77"/>
  <c r="L42" i="77"/>
  <c r="B42" i="77"/>
  <c r="Z41" i="77"/>
  <c r="X41" i="77"/>
  <c r="L41" i="77"/>
  <c r="N41" i="77" s="1"/>
  <c r="B41" i="77"/>
  <c r="X40" i="77"/>
  <c r="Z40" i="77" s="1"/>
  <c r="L40" i="77"/>
  <c r="N40" i="77" s="1"/>
  <c r="B40" i="77"/>
  <c r="Z39" i="77"/>
  <c r="X39" i="77"/>
  <c r="L39" i="77"/>
  <c r="N39" i="77" s="1"/>
  <c r="B39" i="77"/>
  <c r="T38" i="77"/>
  <c r="P38" i="77"/>
  <c r="X38" i="77" s="1"/>
  <c r="Z38" i="77" s="1"/>
  <c r="H38" i="77"/>
  <c r="D38" i="77"/>
  <c r="L38" i="77" s="1"/>
  <c r="T36" i="77"/>
  <c r="P36" i="77"/>
  <c r="N36" i="77"/>
  <c r="H36" i="77"/>
  <c r="D36" i="77"/>
  <c r="L36" i="77" s="1"/>
  <c r="B36" i="77"/>
  <c r="T35" i="77"/>
  <c r="P35" i="77"/>
  <c r="X35" i="77" s="1"/>
  <c r="Z35" i="77" s="1"/>
  <c r="H35" i="77"/>
  <c r="D35" i="77"/>
  <c r="L35" i="77" s="1"/>
  <c r="B35" i="77"/>
  <c r="T34" i="77"/>
  <c r="P34" i="77"/>
  <c r="X34" i="77" s="1"/>
  <c r="L34" i="77"/>
  <c r="N34" i="77" s="1"/>
  <c r="H34" i="77"/>
  <c r="D34" i="77"/>
  <c r="B34" i="77"/>
  <c r="X33" i="77"/>
  <c r="T33" i="77"/>
  <c r="Z33" i="77" s="1"/>
  <c r="P33" i="77"/>
  <c r="H33" i="77"/>
  <c r="N33" i="77" s="1"/>
  <c r="D33" i="77"/>
  <c r="L33" i="77" s="1"/>
  <c r="B33" i="77"/>
  <c r="T32" i="77"/>
  <c r="Z32" i="77" s="1"/>
  <c r="P32" i="77"/>
  <c r="X32" i="77" s="1"/>
  <c r="H32" i="77"/>
  <c r="D32" i="77"/>
  <c r="L32" i="77" s="1"/>
  <c r="N32" i="77" s="1"/>
  <c r="B32" i="77"/>
  <c r="X31" i="77"/>
  <c r="T31" i="77"/>
  <c r="Z31" i="77" s="1"/>
  <c r="P31" i="77"/>
  <c r="H31" i="77"/>
  <c r="D31" i="77"/>
  <c r="L31" i="77" s="1"/>
  <c r="B31" i="77"/>
  <c r="T30" i="77"/>
  <c r="Z30" i="77" s="1"/>
  <c r="P30" i="77"/>
  <c r="X30" i="77" s="1"/>
  <c r="H30" i="77"/>
  <c r="L30" i="77" s="1"/>
  <c r="D30" i="77"/>
  <c r="B30" i="77"/>
  <c r="T29" i="77"/>
  <c r="P29" i="77"/>
  <c r="H29" i="77"/>
  <c r="D29" i="77"/>
  <c r="B29" i="77"/>
  <c r="Z28" i="77"/>
  <c r="T28" i="77"/>
  <c r="P28" i="77"/>
  <c r="X28" i="77" s="1"/>
  <c r="L28" i="77"/>
  <c r="N28" i="77" s="1"/>
  <c r="H28" i="77"/>
  <c r="D28" i="77"/>
  <c r="B28" i="77"/>
  <c r="X27" i="77"/>
  <c r="Z27" i="77" s="1"/>
  <c r="T27" i="77"/>
  <c r="P27" i="77"/>
  <c r="L27" i="77"/>
  <c r="H27" i="77"/>
  <c r="D27" i="77"/>
  <c r="B27" i="77"/>
  <c r="T26" i="77"/>
  <c r="P26" i="77"/>
  <c r="H26" i="77"/>
  <c r="D26" i="77"/>
  <c r="B26" i="77"/>
  <c r="T25" i="77"/>
  <c r="X25" i="77" s="1"/>
  <c r="Z25" i="77" s="1"/>
  <c r="P25" i="77"/>
  <c r="L25" i="77"/>
  <c r="N25" i="77" s="1"/>
  <c r="H25" i="77"/>
  <c r="D25" i="77"/>
  <c r="B25" i="77"/>
  <c r="Z24" i="77"/>
  <c r="T24" i="77"/>
  <c r="P24" i="77"/>
  <c r="X24" i="77" s="1"/>
  <c r="N24" i="77"/>
  <c r="L24" i="77"/>
  <c r="H24" i="77"/>
  <c r="D24" i="77"/>
  <c r="B24" i="77"/>
  <c r="T23" i="77"/>
  <c r="P23" i="77"/>
  <c r="X23" i="77" s="1"/>
  <c r="Z23" i="77" s="1"/>
  <c r="L23" i="77"/>
  <c r="H23" i="77"/>
  <c r="N23" i="77" s="1"/>
  <c r="D23" i="77"/>
  <c r="B23" i="77"/>
  <c r="T22" i="77"/>
  <c r="P22" i="77"/>
  <c r="L22" i="77"/>
  <c r="N22" i="77" s="1"/>
  <c r="H22" i="77"/>
  <c r="D22" i="77"/>
  <c r="B22" i="77"/>
  <c r="Z21" i="77"/>
  <c r="T21" i="77"/>
  <c r="X21" i="77" s="1"/>
  <c r="P21" i="77"/>
  <c r="L21" i="77"/>
  <c r="N21" i="77" s="1"/>
  <c r="H21" i="77"/>
  <c r="D21" i="77"/>
  <c r="B21" i="77"/>
  <c r="T20" i="77"/>
  <c r="P20" i="77"/>
  <c r="H20" i="77"/>
  <c r="D20" i="77"/>
  <c r="L20" i="77" s="1"/>
  <c r="N20" i="77" s="1"/>
  <c r="B20" i="77"/>
  <c r="T19" i="77"/>
  <c r="P19" i="77"/>
  <c r="X19" i="77" s="1"/>
  <c r="Z19" i="77" s="1"/>
  <c r="H19" i="77"/>
  <c r="D19" i="77"/>
  <c r="L19" i="77" s="1"/>
  <c r="B19" i="77"/>
  <c r="T18" i="77"/>
  <c r="P18" i="77"/>
  <c r="X18" i="77" s="1"/>
  <c r="L18" i="77"/>
  <c r="N18" i="77" s="1"/>
  <c r="H18" i="77"/>
  <c r="D18" i="77"/>
  <c r="B18" i="77"/>
  <c r="X17" i="77"/>
  <c r="T17" i="77"/>
  <c r="Z17" i="77" s="1"/>
  <c r="P17" i="77"/>
  <c r="H17" i="77"/>
  <c r="N17" i="77" s="1"/>
  <c r="D17" i="77"/>
  <c r="L17" i="77" s="1"/>
  <c r="B17" i="77"/>
  <c r="T16" i="77"/>
  <c r="Z16" i="77" s="1"/>
  <c r="P16" i="77"/>
  <c r="X16" i="77" s="1"/>
  <c r="H16" i="77"/>
  <c r="D16" i="77"/>
  <c r="B16" i="77"/>
  <c r="X15" i="77"/>
  <c r="T15" i="77"/>
  <c r="Z15" i="77" s="1"/>
  <c r="P15" i="77"/>
  <c r="H15" i="77"/>
  <c r="D15" i="77"/>
  <c r="L15" i="77" s="1"/>
  <c r="B15" i="77"/>
  <c r="T14" i="77"/>
  <c r="P14" i="77"/>
  <c r="H14" i="77"/>
  <c r="L14" i="77" s="1"/>
  <c r="D14" i="77"/>
  <c r="B14" i="77"/>
  <c r="T13" i="77"/>
  <c r="T12" i="77" s="1"/>
  <c r="P13" i="77"/>
  <c r="H13" i="77"/>
  <c r="D13" i="77"/>
  <c r="B13" i="77"/>
  <c r="D6" i="77"/>
  <c r="D4" i="77"/>
  <c r="X81" i="76"/>
  <c r="Z81" i="76" s="1"/>
  <c r="N81" i="76"/>
  <c r="L81" i="76"/>
  <c r="X77" i="76"/>
  <c r="T77" i="76"/>
  <c r="P77" i="76"/>
  <c r="H77" i="76"/>
  <c r="D77" i="76"/>
  <c r="B77" i="76"/>
  <c r="X76" i="76"/>
  <c r="Z76" i="76" s="1"/>
  <c r="T76" i="76"/>
  <c r="P76" i="76"/>
  <c r="H76" i="76"/>
  <c r="Z74" i="76"/>
  <c r="X74" i="76"/>
  <c r="R74" i="76"/>
  <c r="N74" i="76"/>
  <c r="L74" i="76"/>
  <c r="B74" i="76"/>
  <c r="Z73" i="76"/>
  <c r="T73" i="76"/>
  <c r="P73" i="76"/>
  <c r="X73" i="76" s="1"/>
  <c r="N73" i="76"/>
  <c r="H73" i="76"/>
  <c r="D73" i="76"/>
  <c r="L73" i="76" s="1"/>
  <c r="B73" i="76"/>
  <c r="Z72" i="76"/>
  <c r="X72" i="76"/>
  <c r="L72" i="76"/>
  <c r="N72" i="76" s="1"/>
  <c r="B72" i="76"/>
  <c r="X71" i="76"/>
  <c r="T71" i="76"/>
  <c r="Z71" i="76" s="1"/>
  <c r="P71" i="76"/>
  <c r="L71" i="76"/>
  <c r="H71" i="76"/>
  <c r="N71" i="76" s="1"/>
  <c r="D71" i="76"/>
  <c r="B71" i="76"/>
  <c r="X70" i="76"/>
  <c r="Z70" i="76" s="1"/>
  <c r="N70" i="76"/>
  <c r="L70" i="76"/>
  <c r="B70" i="76"/>
  <c r="Z69" i="76"/>
  <c r="X69" i="76"/>
  <c r="L69" i="76"/>
  <c r="N69" i="76" s="1"/>
  <c r="B69" i="76"/>
  <c r="X68" i="76"/>
  <c r="Z68" i="76" s="1"/>
  <c r="L68" i="76"/>
  <c r="N68" i="76" s="1"/>
  <c r="B68" i="76"/>
  <c r="X67" i="76"/>
  <c r="Z67" i="76" s="1"/>
  <c r="N67" i="76"/>
  <c r="L67" i="76"/>
  <c r="B67" i="76"/>
  <c r="X66" i="76"/>
  <c r="Z66" i="76" s="1"/>
  <c r="N66" i="76"/>
  <c r="L66" i="76"/>
  <c r="B66" i="76"/>
  <c r="T65" i="76"/>
  <c r="P65" i="76"/>
  <c r="H65" i="76"/>
  <c r="D65" i="76"/>
  <c r="B65" i="76"/>
  <c r="X64" i="76"/>
  <c r="Z64" i="76" s="1"/>
  <c r="N64" i="76"/>
  <c r="L64" i="76"/>
  <c r="B64" i="76"/>
  <c r="Z63" i="76"/>
  <c r="T63" i="76"/>
  <c r="P63" i="76"/>
  <c r="X63" i="76" s="1"/>
  <c r="H63" i="76"/>
  <c r="N63" i="76" s="1"/>
  <c r="D63" i="76"/>
  <c r="L63" i="76" s="1"/>
  <c r="B63" i="76"/>
  <c r="Z62" i="76"/>
  <c r="X62" i="76"/>
  <c r="N62" i="76"/>
  <c r="L62" i="76"/>
  <c r="B62" i="76"/>
  <c r="X61" i="76"/>
  <c r="Z61" i="76" s="1"/>
  <c r="N61" i="76"/>
  <c r="L61" i="76"/>
  <c r="B61" i="76"/>
  <c r="T60" i="76"/>
  <c r="P60" i="76"/>
  <c r="X60" i="76" s="1"/>
  <c r="Z60" i="76" s="1"/>
  <c r="L60" i="76"/>
  <c r="H60" i="76"/>
  <c r="N60" i="76" s="1"/>
  <c r="D60" i="76"/>
  <c r="B60" i="76"/>
  <c r="X59" i="76"/>
  <c r="Z59" i="76" s="1"/>
  <c r="L59" i="76"/>
  <c r="N59" i="76" s="1"/>
  <c r="B59" i="76"/>
  <c r="T58" i="76"/>
  <c r="P58" i="76"/>
  <c r="X58" i="76" s="1"/>
  <c r="Z58" i="76" s="1"/>
  <c r="H58" i="76"/>
  <c r="D58" i="76"/>
  <c r="L58" i="76" s="1"/>
  <c r="N58" i="76" s="1"/>
  <c r="B58" i="76"/>
  <c r="Z57" i="76"/>
  <c r="X57" i="76"/>
  <c r="R57" i="76"/>
  <c r="N57" i="76"/>
  <c r="L57" i="76"/>
  <c r="B57" i="76"/>
  <c r="T56" i="76"/>
  <c r="Z56" i="76" s="1"/>
  <c r="P56" i="76"/>
  <c r="N56" i="76"/>
  <c r="L56" i="76"/>
  <c r="H56" i="76"/>
  <c r="D56" i="76"/>
  <c r="B56" i="76"/>
  <c r="X55" i="76"/>
  <c r="Z55" i="76" s="1"/>
  <c r="L55" i="76"/>
  <c r="N55" i="76" s="1"/>
  <c r="B55" i="76"/>
  <c r="X54" i="76"/>
  <c r="T54" i="76"/>
  <c r="Z54" i="76" s="1"/>
  <c r="P54" i="76"/>
  <c r="N54" i="76"/>
  <c r="H54" i="76"/>
  <c r="D54" i="76"/>
  <c r="L54" i="76" s="1"/>
  <c r="B54" i="76"/>
  <c r="Z53" i="76"/>
  <c r="X53" i="76"/>
  <c r="N53" i="76"/>
  <c r="L53" i="76"/>
  <c r="B53" i="76"/>
  <c r="T52" i="76"/>
  <c r="P52" i="76"/>
  <c r="L52" i="76"/>
  <c r="N52" i="76" s="1"/>
  <c r="H52" i="76"/>
  <c r="D52" i="76"/>
  <c r="B52" i="76"/>
  <c r="Z51" i="76"/>
  <c r="X51" i="76"/>
  <c r="N51" i="76"/>
  <c r="L51" i="76"/>
  <c r="B51" i="76"/>
  <c r="T50" i="76"/>
  <c r="Z50" i="76" s="1"/>
  <c r="P50" i="76"/>
  <c r="X50" i="76" s="1"/>
  <c r="L50" i="76"/>
  <c r="H50" i="76"/>
  <c r="N50" i="76" s="1"/>
  <c r="D50" i="76"/>
  <c r="B50" i="76"/>
  <c r="Z49" i="76"/>
  <c r="X49" i="76"/>
  <c r="N49" i="76"/>
  <c r="L49" i="76"/>
  <c r="B49" i="76"/>
  <c r="T48" i="76"/>
  <c r="P48" i="76"/>
  <c r="L48" i="76"/>
  <c r="N48" i="76" s="1"/>
  <c r="H48" i="76"/>
  <c r="D48" i="76"/>
  <c r="B48" i="76"/>
  <c r="X47" i="76"/>
  <c r="Z47" i="76" s="1"/>
  <c r="N47" i="76"/>
  <c r="L47" i="76"/>
  <c r="B47" i="76"/>
  <c r="X46" i="76"/>
  <c r="Z46" i="76" s="1"/>
  <c r="R46" i="76"/>
  <c r="L46" i="76"/>
  <c r="N46" i="76" s="1"/>
  <c r="B46" i="76"/>
  <c r="X45" i="76"/>
  <c r="Z45" i="76" s="1"/>
  <c r="N45" i="76"/>
  <c r="L45" i="76"/>
  <c r="B45" i="76"/>
  <c r="Z44" i="76"/>
  <c r="X44" i="76"/>
  <c r="L44" i="76"/>
  <c r="N44" i="76" s="1"/>
  <c r="B44" i="76"/>
  <c r="T43" i="76"/>
  <c r="P43" i="76"/>
  <c r="X43" i="76" s="1"/>
  <c r="Z43" i="76" s="1"/>
  <c r="L43" i="76"/>
  <c r="H43" i="76"/>
  <c r="N43" i="76" s="1"/>
  <c r="D43" i="76"/>
  <c r="B43" i="76"/>
  <c r="X42" i="76"/>
  <c r="Z42" i="76" s="1"/>
  <c r="N42" i="76"/>
  <c r="L42" i="76"/>
  <c r="B42" i="76"/>
  <c r="Z41" i="76"/>
  <c r="X41" i="76"/>
  <c r="L41" i="76"/>
  <c r="N41" i="76" s="1"/>
  <c r="B41" i="76"/>
  <c r="X40" i="76"/>
  <c r="Z40" i="76" s="1"/>
  <c r="L40" i="76"/>
  <c r="N40" i="76" s="1"/>
  <c r="B40" i="76"/>
  <c r="X39" i="76"/>
  <c r="Z39" i="76" s="1"/>
  <c r="N39" i="76"/>
  <c r="L39" i="76"/>
  <c r="B39" i="76"/>
  <c r="X38" i="76"/>
  <c r="Z38" i="76" s="1"/>
  <c r="N38" i="76"/>
  <c r="L38" i="76"/>
  <c r="B38" i="76"/>
  <c r="Z37" i="76"/>
  <c r="X37" i="76"/>
  <c r="L37" i="76"/>
  <c r="N37" i="76" s="1"/>
  <c r="B37" i="76"/>
  <c r="X36" i="76"/>
  <c r="Z36" i="76" s="1"/>
  <c r="L36" i="76"/>
  <c r="N36" i="76" s="1"/>
  <c r="B36" i="76"/>
  <c r="X35" i="76"/>
  <c r="Z35" i="76" s="1"/>
  <c r="N35" i="76"/>
  <c r="L35" i="76"/>
  <c r="B35" i="76"/>
  <c r="T34" i="76"/>
  <c r="X34" i="76" s="1"/>
  <c r="P34" i="76"/>
  <c r="H34" i="76"/>
  <c r="D34" i="76"/>
  <c r="L34" i="76" s="1"/>
  <c r="B34" i="76"/>
  <c r="T33" i="76"/>
  <c r="P33" i="76"/>
  <c r="H33" i="76"/>
  <c r="L33" i="76" s="1"/>
  <c r="N33" i="76" s="1"/>
  <c r="D33" i="76"/>
  <c r="T29" i="76"/>
  <c r="Z29" i="76" s="1"/>
  <c r="P29" i="76"/>
  <c r="N29" i="76"/>
  <c r="H29" i="76"/>
  <c r="L29" i="76" s="1"/>
  <c r="D29" i="76"/>
  <c r="T27" i="76"/>
  <c r="Z27" i="76" s="1"/>
  <c r="P27" i="76"/>
  <c r="X27" i="76" s="1"/>
  <c r="H27" i="76"/>
  <c r="N27" i="76" s="1"/>
  <c r="D27" i="76"/>
  <c r="B27" i="76"/>
  <c r="Z26" i="76"/>
  <c r="X26" i="76"/>
  <c r="T26" i="76"/>
  <c r="P26" i="76"/>
  <c r="H26" i="76"/>
  <c r="N26" i="76" s="1"/>
  <c r="D26" i="76"/>
  <c r="B26" i="76"/>
  <c r="Z25" i="76"/>
  <c r="T25" i="76"/>
  <c r="P25" i="76"/>
  <c r="X25" i="76" s="1"/>
  <c r="N25" i="76"/>
  <c r="H25" i="76"/>
  <c r="D25" i="76"/>
  <c r="L25" i="76" s="1"/>
  <c r="B25" i="76"/>
  <c r="T24" i="76"/>
  <c r="P24" i="76"/>
  <c r="X24" i="76" s="1"/>
  <c r="Z24" i="76" s="1"/>
  <c r="H24" i="76"/>
  <c r="N24" i="76" s="1"/>
  <c r="D24" i="76"/>
  <c r="L24" i="76" s="1"/>
  <c r="B24" i="76"/>
  <c r="T23" i="76"/>
  <c r="Z23" i="76" s="1"/>
  <c r="P23" i="76"/>
  <c r="X23" i="76" s="1"/>
  <c r="H23" i="76"/>
  <c r="N23" i="76" s="1"/>
  <c r="D23" i="76"/>
  <c r="B23" i="76"/>
  <c r="X22" i="76"/>
  <c r="Z22" i="76" s="1"/>
  <c r="T22" i="76"/>
  <c r="P22" i="76"/>
  <c r="H22" i="76"/>
  <c r="N22" i="76" s="1"/>
  <c r="D22" i="76"/>
  <c r="B22" i="76"/>
  <c r="T21" i="76"/>
  <c r="P21" i="76"/>
  <c r="X21" i="76" s="1"/>
  <c r="Z21" i="76" s="1"/>
  <c r="N21" i="76"/>
  <c r="H21" i="76"/>
  <c r="D21" i="76"/>
  <c r="L21" i="76" s="1"/>
  <c r="B21" i="76"/>
  <c r="T20" i="76"/>
  <c r="P20" i="76"/>
  <c r="X20" i="76" s="1"/>
  <c r="Z20" i="76" s="1"/>
  <c r="H20" i="76"/>
  <c r="D20" i="76"/>
  <c r="L20" i="76" s="1"/>
  <c r="B20" i="76"/>
  <c r="T19" i="76"/>
  <c r="P19" i="76"/>
  <c r="X19" i="76" s="1"/>
  <c r="H19" i="76"/>
  <c r="D19" i="76"/>
  <c r="B19" i="76"/>
  <c r="X18" i="76"/>
  <c r="Z18" i="76" s="1"/>
  <c r="T18" i="76"/>
  <c r="P18" i="76"/>
  <c r="H18" i="76"/>
  <c r="N18" i="76" s="1"/>
  <c r="D18" i="76"/>
  <c r="B18" i="76"/>
  <c r="T17" i="76"/>
  <c r="P17" i="76"/>
  <c r="X17" i="76" s="1"/>
  <c r="Z17" i="76" s="1"/>
  <c r="N17" i="76"/>
  <c r="H17" i="76"/>
  <c r="D17" i="76"/>
  <c r="L17" i="76" s="1"/>
  <c r="B17" i="76"/>
  <c r="Z16" i="76"/>
  <c r="T16" i="76"/>
  <c r="P16" i="76"/>
  <c r="X16" i="76" s="1"/>
  <c r="H16" i="76"/>
  <c r="N16" i="76" s="1"/>
  <c r="D16" i="76"/>
  <c r="L16" i="76" s="1"/>
  <c r="B16" i="76"/>
  <c r="T15" i="76"/>
  <c r="P15" i="76"/>
  <c r="X15" i="76" s="1"/>
  <c r="H15" i="76"/>
  <c r="D15" i="76"/>
  <c r="B15" i="76"/>
  <c r="X14" i="76"/>
  <c r="Z14" i="76" s="1"/>
  <c r="T14" i="76"/>
  <c r="P14" i="76"/>
  <c r="H14" i="76"/>
  <c r="D14" i="76"/>
  <c r="B14" i="76"/>
  <c r="T13" i="76"/>
  <c r="T12" i="76" s="1"/>
  <c r="P13" i="76"/>
  <c r="X13" i="76" s="1"/>
  <c r="Z13" i="76" s="1"/>
  <c r="H13" i="76"/>
  <c r="D13" i="76"/>
  <c r="L13" i="76" s="1"/>
  <c r="N13" i="76" s="1"/>
  <c r="B13" i="76"/>
  <c r="P12" i="76"/>
  <c r="R68" i="76" s="1"/>
  <c r="D6" i="76"/>
  <c r="D4" i="76"/>
  <c r="Z117" i="75"/>
  <c r="X117" i="75"/>
  <c r="L117" i="75"/>
  <c r="N117" i="75" s="1"/>
  <c r="X113" i="75"/>
  <c r="Z113" i="75" s="1"/>
  <c r="T113" i="75"/>
  <c r="P113" i="75"/>
  <c r="H113" i="75"/>
  <c r="N113" i="75" s="1"/>
  <c r="D113" i="75"/>
  <c r="L113" i="75" s="1"/>
  <c r="B113" i="75"/>
  <c r="T112" i="75"/>
  <c r="P112" i="75"/>
  <c r="X112" i="75" s="1"/>
  <c r="Z112" i="75" s="1"/>
  <c r="Z110" i="75"/>
  <c r="X110" i="75"/>
  <c r="L110" i="75"/>
  <c r="N110" i="75" s="1"/>
  <c r="B110" i="75"/>
  <c r="Z109" i="75"/>
  <c r="X109" i="75"/>
  <c r="R109" i="75"/>
  <c r="N109" i="75"/>
  <c r="L109" i="75"/>
  <c r="B109" i="75"/>
  <c r="X108" i="75"/>
  <c r="T108" i="75"/>
  <c r="Z108" i="75" s="1"/>
  <c r="P108" i="75"/>
  <c r="H108" i="75"/>
  <c r="D108" i="75"/>
  <c r="L108" i="75" s="1"/>
  <c r="N108" i="75" s="1"/>
  <c r="B108" i="75"/>
  <c r="X107" i="75"/>
  <c r="Z107" i="75" s="1"/>
  <c r="N107" i="75"/>
  <c r="L107" i="75"/>
  <c r="B107" i="75"/>
  <c r="X106" i="75"/>
  <c r="T106" i="75"/>
  <c r="Z106" i="75" s="1"/>
  <c r="P106" i="75"/>
  <c r="N106" i="75"/>
  <c r="J106" i="75"/>
  <c r="H106" i="75"/>
  <c r="D106" i="75"/>
  <c r="L106" i="75" s="1"/>
  <c r="B106" i="75"/>
  <c r="Z105" i="75"/>
  <c r="X105" i="75"/>
  <c r="L105" i="75"/>
  <c r="N105" i="75" s="1"/>
  <c r="B105" i="75"/>
  <c r="T104" i="75"/>
  <c r="P104" i="75"/>
  <c r="H104" i="75"/>
  <c r="L104" i="75" s="1"/>
  <c r="N104" i="75" s="1"/>
  <c r="D104" i="75"/>
  <c r="B104" i="75"/>
  <c r="Z103" i="75"/>
  <c r="X103" i="75"/>
  <c r="N103" i="75"/>
  <c r="L103" i="75"/>
  <c r="B103" i="75"/>
  <c r="Z102" i="75"/>
  <c r="X102" i="75"/>
  <c r="L102" i="75"/>
  <c r="N102" i="75" s="1"/>
  <c r="B102" i="75"/>
  <c r="X101" i="75"/>
  <c r="Z101" i="75" s="1"/>
  <c r="R101" i="75"/>
  <c r="N101" i="75"/>
  <c r="L101" i="75"/>
  <c r="B101" i="75"/>
  <c r="X100" i="75"/>
  <c r="Z100" i="75" s="1"/>
  <c r="N100" i="75"/>
  <c r="L100" i="75"/>
  <c r="J100" i="75"/>
  <c r="B100" i="75"/>
  <c r="Z99" i="75"/>
  <c r="X99" i="75"/>
  <c r="N99" i="75"/>
  <c r="L99" i="75"/>
  <c r="B99" i="75"/>
  <c r="T98" i="75"/>
  <c r="P98" i="75"/>
  <c r="X98" i="75" s="1"/>
  <c r="Z98" i="75" s="1"/>
  <c r="L98" i="75"/>
  <c r="J98" i="75"/>
  <c r="H98" i="75"/>
  <c r="N98" i="75" s="1"/>
  <c r="D98" i="75"/>
  <c r="B98" i="75"/>
  <c r="X97" i="75"/>
  <c r="Z97" i="75" s="1"/>
  <c r="N97" i="75"/>
  <c r="L97" i="75"/>
  <c r="B97" i="75"/>
  <c r="Z96" i="75"/>
  <c r="X96" i="75"/>
  <c r="N96" i="75"/>
  <c r="L96" i="75"/>
  <c r="B96" i="75"/>
  <c r="T95" i="75"/>
  <c r="P95" i="75"/>
  <c r="X95" i="75" s="1"/>
  <c r="H95" i="75"/>
  <c r="L95" i="75" s="1"/>
  <c r="D95" i="75"/>
  <c r="B95" i="75"/>
  <c r="Z94" i="75"/>
  <c r="X94" i="75"/>
  <c r="N94" i="75"/>
  <c r="L94" i="75"/>
  <c r="B94" i="75"/>
  <c r="Z93" i="75"/>
  <c r="X93" i="75"/>
  <c r="L93" i="75"/>
  <c r="N93" i="75" s="1"/>
  <c r="B93" i="75"/>
  <c r="T92" i="75"/>
  <c r="P92" i="75"/>
  <c r="H92" i="75"/>
  <c r="L92" i="75" s="1"/>
  <c r="N92" i="75" s="1"/>
  <c r="D92" i="75"/>
  <c r="B92" i="75"/>
  <c r="Z91" i="75"/>
  <c r="X91" i="75"/>
  <c r="N91" i="75"/>
  <c r="L91" i="75"/>
  <c r="B91" i="75"/>
  <c r="Z90" i="75"/>
  <c r="X90" i="75"/>
  <c r="N90" i="75"/>
  <c r="L90" i="75"/>
  <c r="B90" i="75"/>
  <c r="X89" i="75"/>
  <c r="Z89" i="75" s="1"/>
  <c r="R89" i="75"/>
  <c r="N89" i="75"/>
  <c r="L89" i="75"/>
  <c r="B89" i="75"/>
  <c r="X88" i="75"/>
  <c r="T88" i="75"/>
  <c r="Z88" i="75" s="1"/>
  <c r="P88" i="75"/>
  <c r="N88" i="75"/>
  <c r="H88" i="75"/>
  <c r="D88" i="75"/>
  <c r="L88" i="75" s="1"/>
  <c r="B88" i="75"/>
  <c r="Z87" i="75"/>
  <c r="X87" i="75"/>
  <c r="N87" i="75"/>
  <c r="L87" i="75"/>
  <c r="B87" i="75"/>
  <c r="X86" i="75"/>
  <c r="T86" i="75"/>
  <c r="Z86" i="75" s="1"/>
  <c r="P86" i="75"/>
  <c r="N86" i="75"/>
  <c r="J86" i="75"/>
  <c r="H86" i="75"/>
  <c r="D86" i="75"/>
  <c r="L86" i="75" s="1"/>
  <c r="B86" i="75"/>
  <c r="Z85" i="75"/>
  <c r="X85" i="75"/>
  <c r="L85" i="75"/>
  <c r="N85" i="75" s="1"/>
  <c r="B85" i="75"/>
  <c r="T84" i="75"/>
  <c r="P84" i="75"/>
  <c r="H84" i="75"/>
  <c r="L84" i="75" s="1"/>
  <c r="N84" i="75" s="1"/>
  <c r="D84" i="75"/>
  <c r="B84" i="75"/>
  <c r="Z83" i="75"/>
  <c r="X83" i="75"/>
  <c r="N83" i="75"/>
  <c r="L83" i="75"/>
  <c r="B83" i="75"/>
  <c r="Z82" i="75"/>
  <c r="T82" i="75"/>
  <c r="P82" i="75"/>
  <c r="X82" i="75" s="1"/>
  <c r="L82" i="75"/>
  <c r="J82" i="75"/>
  <c r="H82" i="75"/>
  <c r="N82" i="75" s="1"/>
  <c r="D82" i="75"/>
  <c r="B82" i="75"/>
  <c r="Z81" i="75"/>
  <c r="X81" i="75"/>
  <c r="N81" i="75"/>
  <c r="L81" i="75"/>
  <c r="B81" i="75"/>
  <c r="Z80" i="75"/>
  <c r="X80" i="75"/>
  <c r="N80" i="75"/>
  <c r="L80" i="75"/>
  <c r="B80" i="75"/>
  <c r="T79" i="75"/>
  <c r="P79" i="75"/>
  <c r="X79" i="75" s="1"/>
  <c r="H79" i="75"/>
  <c r="L79" i="75" s="1"/>
  <c r="D79" i="75"/>
  <c r="B79" i="75"/>
  <c r="Z78" i="75"/>
  <c r="X78" i="75"/>
  <c r="N78" i="75"/>
  <c r="L78" i="75"/>
  <c r="B78" i="75"/>
  <c r="T77" i="75"/>
  <c r="P77" i="75"/>
  <c r="X77" i="75" s="1"/>
  <c r="L77" i="75"/>
  <c r="N77" i="75" s="1"/>
  <c r="H77" i="75"/>
  <c r="D77" i="75"/>
  <c r="B77" i="75"/>
  <c r="X76" i="75"/>
  <c r="Z76" i="75" s="1"/>
  <c r="N76" i="75"/>
  <c r="L76" i="75"/>
  <c r="J76" i="75"/>
  <c r="B76" i="75"/>
  <c r="Z75" i="75"/>
  <c r="X75" i="75"/>
  <c r="L75" i="75"/>
  <c r="N75" i="75" s="1"/>
  <c r="B75" i="75"/>
  <c r="T74" i="75"/>
  <c r="P74" i="75"/>
  <c r="X74" i="75" s="1"/>
  <c r="Z74" i="75" s="1"/>
  <c r="L74" i="75"/>
  <c r="J74" i="75"/>
  <c r="H74" i="75"/>
  <c r="N74" i="75" s="1"/>
  <c r="D74" i="75"/>
  <c r="B74" i="75"/>
  <c r="X73" i="75"/>
  <c r="Z73" i="75" s="1"/>
  <c r="N73" i="75"/>
  <c r="L73" i="75"/>
  <c r="B73" i="75"/>
  <c r="T72" i="75"/>
  <c r="P72" i="75"/>
  <c r="X72" i="75" s="1"/>
  <c r="Z72" i="75" s="1"/>
  <c r="L72" i="75"/>
  <c r="H72" i="75"/>
  <c r="N72" i="75" s="1"/>
  <c r="D72" i="75"/>
  <c r="B72" i="75"/>
  <c r="X71" i="75"/>
  <c r="Z71" i="75" s="1"/>
  <c r="N71" i="75"/>
  <c r="L71" i="75"/>
  <c r="B71" i="75"/>
  <c r="Z70" i="75"/>
  <c r="X70" i="75"/>
  <c r="N70" i="75"/>
  <c r="L70" i="75"/>
  <c r="B70" i="75"/>
  <c r="Z69" i="75"/>
  <c r="X69" i="75"/>
  <c r="L69" i="75"/>
  <c r="N69" i="75" s="1"/>
  <c r="B69" i="75"/>
  <c r="X68" i="75"/>
  <c r="Z68" i="75" s="1"/>
  <c r="L68" i="75"/>
  <c r="N68" i="75" s="1"/>
  <c r="J68" i="75"/>
  <c r="B68" i="75"/>
  <c r="Z67" i="75"/>
  <c r="X67" i="75"/>
  <c r="N67" i="75"/>
  <c r="L67" i="75"/>
  <c r="B67" i="75"/>
  <c r="Z66" i="75"/>
  <c r="X66" i="75"/>
  <c r="N66" i="75"/>
  <c r="L66" i="75"/>
  <c r="B66" i="75"/>
  <c r="T65" i="75"/>
  <c r="P65" i="75"/>
  <c r="L65" i="75"/>
  <c r="N65" i="75" s="1"/>
  <c r="H65" i="75"/>
  <c r="D65" i="75"/>
  <c r="B65" i="75"/>
  <c r="X64" i="75"/>
  <c r="Z64" i="75" s="1"/>
  <c r="N64" i="75"/>
  <c r="L64" i="75"/>
  <c r="J64" i="75"/>
  <c r="B64" i="75"/>
  <c r="Z63" i="75"/>
  <c r="X63" i="75"/>
  <c r="L63" i="75"/>
  <c r="N63" i="75" s="1"/>
  <c r="B63" i="75"/>
  <c r="Z62" i="75"/>
  <c r="X62" i="75"/>
  <c r="L62" i="75"/>
  <c r="N62" i="75" s="1"/>
  <c r="B62" i="75"/>
  <c r="X61" i="75"/>
  <c r="Z61" i="75" s="1"/>
  <c r="R61" i="75"/>
  <c r="L61" i="75"/>
  <c r="N61" i="75" s="1"/>
  <c r="B61" i="75"/>
  <c r="X60" i="75"/>
  <c r="Z60" i="75" s="1"/>
  <c r="N60" i="75"/>
  <c r="L60" i="75"/>
  <c r="J60" i="75"/>
  <c r="B60" i="75"/>
  <c r="Z59" i="75"/>
  <c r="X59" i="75"/>
  <c r="L59" i="75"/>
  <c r="N59" i="75" s="1"/>
  <c r="B59" i="75"/>
  <c r="Z58" i="75"/>
  <c r="X58" i="75"/>
  <c r="L58" i="75"/>
  <c r="N58" i="75" s="1"/>
  <c r="B58" i="75"/>
  <c r="X57" i="75"/>
  <c r="Z57" i="75" s="1"/>
  <c r="R57" i="75"/>
  <c r="L57" i="75"/>
  <c r="N57" i="75" s="1"/>
  <c r="B57" i="75"/>
  <c r="X56" i="75"/>
  <c r="T56" i="75"/>
  <c r="Z56" i="75" s="1"/>
  <c r="P56" i="75"/>
  <c r="H56" i="75"/>
  <c r="D56" i="75"/>
  <c r="L56" i="75" s="1"/>
  <c r="N56" i="75" s="1"/>
  <c r="B56" i="75"/>
  <c r="T55" i="75"/>
  <c r="P55" i="75"/>
  <c r="X55" i="75" s="1"/>
  <c r="H55" i="75"/>
  <c r="L55" i="75" s="1"/>
  <c r="D55" i="75"/>
  <c r="X51" i="75"/>
  <c r="Z51" i="75" s="1"/>
  <c r="L51" i="75"/>
  <c r="N51" i="75" s="1"/>
  <c r="B51" i="75"/>
  <c r="X50" i="75"/>
  <c r="Z50" i="75" s="1"/>
  <c r="N50" i="75"/>
  <c r="L50" i="75"/>
  <c r="B50" i="75"/>
  <c r="X49" i="75"/>
  <c r="Z49" i="75" s="1"/>
  <c r="N49" i="75"/>
  <c r="L49" i="75"/>
  <c r="B49" i="75"/>
  <c r="Z48" i="75"/>
  <c r="X48" i="75"/>
  <c r="L48" i="75"/>
  <c r="N48" i="75" s="1"/>
  <c r="B48" i="75"/>
  <c r="X47" i="75"/>
  <c r="Z47" i="75" s="1"/>
  <c r="L47" i="75"/>
  <c r="N47" i="75" s="1"/>
  <c r="B47" i="75"/>
  <c r="X46" i="75"/>
  <c r="Z46" i="75" s="1"/>
  <c r="N46" i="75"/>
  <c r="L46" i="75"/>
  <c r="B46" i="75"/>
  <c r="Z45" i="75"/>
  <c r="X45" i="75"/>
  <c r="N45" i="75"/>
  <c r="L45" i="75"/>
  <c r="B45" i="75"/>
  <c r="Z44" i="75"/>
  <c r="X44" i="75"/>
  <c r="L44" i="75"/>
  <c r="N44" i="75" s="1"/>
  <c r="B44" i="75"/>
  <c r="X43" i="75"/>
  <c r="Z43" i="75" s="1"/>
  <c r="L43" i="75"/>
  <c r="N43" i="75" s="1"/>
  <c r="B43" i="75"/>
  <c r="X42" i="75"/>
  <c r="Z42" i="75" s="1"/>
  <c r="N42" i="75"/>
  <c r="L42" i="75"/>
  <c r="B42" i="75"/>
  <c r="X41" i="75"/>
  <c r="Z41" i="75" s="1"/>
  <c r="N41" i="75"/>
  <c r="L41" i="75"/>
  <c r="B41" i="75"/>
  <c r="Z40" i="75"/>
  <c r="X40" i="75"/>
  <c r="L40" i="75"/>
  <c r="N40" i="75" s="1"/>
  <c r="B40" i="75"/>
  <c r="X39" i="75"/>
  <c r="Z39" i="75" s="1"/>
  <c r="L39" i="75"/>
  <c r="N39" i="75" s="1"/>
  <c r="B39" i="75"/>
  <c r="X38" i="75"/>
  <c r="Z38" i="75" s="1"/>
  <c r="N38" i="75"/>
  <c r="L38" i="75"/>
  <c r="B38" i="75"/>
  <c r="X37" i="75"/>
  <c r="Z37" i="75" s="1"/>
  <c r="N37" i="75"/>
  <c r="L37" i="75"/>
  <c r="B37" i="75"/>
  <c r="Z36" i="75"/>
  <c r="X36" i="75"/>
  <c r="L36" i="75"/>
  <c r="N36" i="75" s="1"/>
  <c r="B36" i="75"/>
  <c r="T35" i="75"/>
  <c r="P35" i="75"/>
  <c r="X35" i="75" s="1"/>
  <c r="H35" i="75"/>
  <c r="L35" i="75" s="1"/>
  <c r="D35" i="75"/>
  <c r="X33" i="75"/>
  <c r="Z33" i="75" s="1"/>
  <c r="T33" i="75"/>
  <c r="P33" i="75"/>
  <c r="L33" i="75"/>
  <c r="N33" i="75" s="1"/>
  <c r="H33" i="75"/>
  <c r="D33" i="75"/>
  <c r="B33" i="75"/>
  <c r="X32" i="75"/>
  <c r="Z32" i="75" s="1"/>
  <c r="T32" i="75"/>
  <c r="P32" i="75"/>
  <c r="N32" i="75"/>
  <c r="H32" i="75"/>
  <c r="D32" i="75"/>
  <c r="L32" i="75" s="1"/>
  <c r="B32" i="75"/>
  <c r="T31" i="75"/>
  <c r="P31" i="75"/>
  <c r="X31" i="75" s="1"/>
  <c r="H31" i="75"/>
  <c r="D31" i="75"/>
  <c r="L31" i="75" s="1"/>
  <c r="N31" i="75" s="1"/>
  <c r="B31" i="75"/>
  <c r="T30" i="75"/>
  <c r="P30" i="75"/>
  <c r="H30" i="75"/>
  <c r="D30" i="75"/>
  <c r="L30" i="75" s="1"/>
  <c r="B30" i="75"/>
  <c r="X29" i="75"/>
  <c r="Z29" i="75" s="1"/>
  <c r="T29" i="75"/>
  <c r="P29" i="75"/>
  <c r="L29" i="75"/>
  <c r="N29" i="75" s="1"/>
  <c r="H29" i="75"/>
  <c r="D29" i="75"/>
  <c r="B29" i="75"/>
  <c r="X28" i="75"/>
  <c r="Z28" i="75" s="1"/>
  <c r="T28" i="75"/>
  <c r="P28" i="75"/>
  <c r="N28" i="75"/>
  <c r="H28" i="75"/>
  <c r="D28" i="75"/>
  <c r="L28" i="75" s="1"/>
  <c r="B28" i="75"/>
  <c r="T27" i="75"/>
  <c r="P27" i="75"/>
  <c r="X27" i="75" s="1"/>
  <c r="H27" i="75"/>
  <c r="D27" i="75"/>
  <c r="L27" i="75" s="1"/>
  <c r="N27" i="75" s="1"/>
  <c r="B27" i="75"/>
  <c r="T26" i="75"/>
  <c r="P26" i="75"/>
  <c r="H26" i="75"/>
  <c r="D26" i="75"/>
  <c r="L26" i="75" s="1"/>
  <c r="B26" i="75"/>
  <c r="X25" i="75"/>
  <c r="Z25" i="75" s="1"/>
  <c r="T25" i="75"/>
  <c r="P25" i="75"/>
  <c r="L25" i="75"/>
  <c r="N25" i="75" s="1"/>
  <c r="H25" i="75"/>
  <c r="D25" i="75"/>
  <c r="B25" i="75"/>
  <c r="X24" i="75"/>
  <c r="Z24" i="75" s="1"/>
  <c r="T24" i="75"/>
  <c r="P24" i="75"/>
  <c r="N24" i="75"/>
  <c r="H24" i="75"/>
  <c r="D24" i="75"/>
  <c r="L24" i="75" s="1"/>
  <c r="B24" i="75"/>
  <c r="T23" i="75"/>
  <c r="P23" i="75"/>
  <c r="X23" i="75" s="1"/>
  <c r="H23" i="75"/>
  <c r="D23" i="75"/>
  <c r="L23" i="75" s="1"/>
  <c r="N23" i="75" s="1"/>
  <c r="B23" i="75"/>
  <c r="T22" i="75"/>
  <c r="P22" i="75"/>
  <c r="H22" i="75"/>
  <c r="N22" i="75" s="1"/>
  <c r="D22" i="75"/>
  <c r="L22" i="75" s="1"/>
  <c r="B22" i="75"/>
  <c r="X21" i="75"/>
  <c r="Z21" i="75" s="1"/>
  <c r="T21" i="75"/>
  <c r="P21" i="75"/>
  <c r="L21" i="75"/>
  <c r="N21" i="75" s="1"/>
  <c r="H21" i="75"/>
  <c r="D21" i="75"/>
  <c r="B21" i="75"/>
  <c r="X20" i="75"/>
  <c r="Z20" i="75" s="1"/>
  <c r="T20" i="75"/>
  <c r="P20" i="75"/>
  <c r="N20" i="75"/>
  <c r="H20" i="75"/>
  <c r="D20" i="75"/>
  <c r="L20" i="75" s="1"/>
  <c r="B20" i="75"/>
  <c r="T19" i="75"/>
  <c r="P19" i="75"/>
  <c r="X19" i="75" s="1"/>
  <c r="H19" i="75"/>
  <c r="D19" i="75"/>
  <c r="L19" i="75" s="1"/>
  <c r="N19" i="75" s="1"/>
  <c r="B19" i="75"/>
  <c r="T18" i="75"/>
  <c r="P18" i="75"/>
  <c r="H18" i="75"/>
  <c r="D18" i="75"/>
  <c r="L18" i="75" s="1"/>
  <c r="B18" i="75"/>
  <c r="X17" i="75"/>
  <c r="Z17" i="75" s="1"/>
  <c r="T17" i="75"/>
  <c r="P17" i="75"/>
  <c r="L17" i="75"/>
  <c r="N17" i="75" s="1"/>
  <c r="H17" i="75"/>
  <c r="D17" i="75"/>
  <c r="B17" i="75"/>
  <c r="X16" i="75"/>
  <c r="Z16" i="75" s="1"/>
  <c r="T16" i="75"/>
  <c r="P16" i="75"/>
  <c r="N16" i="75"/>
  <c r="H16" i="75"/>
  <c r="D16" i="75"/>
  <c r="L16" i="75" s="1"/>
  <c r="B16" i="75"/>
  <c r="T15" i="75"/>
  <c r="P15" i="75"/>
  <c r="X15" i="75" s="1"/>
  <c r="H15" i="75"/>
  <c r="D15" i="75"/>
  <c r="L15" i="75" s="1"/>
  <c r="N15" i="75" s="1"/>
  <c r="B15" i="75"/>
  <c r="T14" i="75"/>
  <c r="P14" i="75"/>
  <c r="H14" i="75"/>
  <c r="D14" i="75"/>
  <c r="L14" i="75" s="1"/>
  <c r="B14" i="75"/>
  <c r="X13" i="75"/>
  <c r="Z13" i="75" s="1"/>
  <c r="T13" i="75"/>
  <c r="T12" i="75" s="1"/>
  <c r="P13" i="75"/>
  <c r="P12" i="75" s="1"/>
  <c r="L13" i="75"/>
  <c r="N13" i="75" s="1"/>
  <c r="H13" i="75"/>
  <c r="D13" i="75"/>
  <c r="B13" i="75"/>
  <c r="H12" i="75"/>
  <c r="J108" i="75" s="1"/>
  <c r="D6" i="75"/>
  <c r="D4" i="75"/>
  <c r="X96" i="74"/>
  <c r="Z96" i="74" s="1"/>
  <c r="L96" i="74"/>
  <c r="N96" i="74" s="1"/>
  <c r="Z92" i="74"/>
  <c r="T92" i="74"/>
  <c r="P92" i="74"/>
  <c r="X92" i="74" s="1"/>
  <c r="N92" i="74"/>
  <c r="L92" i="74"/>
  <c r="H92" i="74"/>
  <c r="D92" i="74"/>
  <c r="Z90" i="74"/>
  <c r="X90" i="74"/>
  <c r="N90" i="74"/>
  <c r="L90" i="74"/>
  <c r="B90" i="74"/>
  <c r="T89" i="74"/>
  <c r="Z89" i="74" s="1"/>
  <c r="P89" i="74"/>
  <c r="X89" i="74" s="1"/>
  <c r="H89" i="74"/>
  <c r="L89" i="74" s="1"/>
  <c r="D89" i="74"/>
  <c r="B89" i="74"/>
  <c r="Z88" i="74"/>
  <c r="X88" i="74"/>
  <c r="N88" i="74"/>
  <c r="L88" i="74"/>
  <c r="B88" i="74"/>
  <c r="T87" i="74"/>
  <c r="Z87" i="74" s="1"/>
  <c r="P87" i="74"/>
  <c r="N87" i="74"/>
  <c r="L87" i="74"/>
  <c r="H87" i="74"/>
  <c r="D87" i="74"/>
  <c r="B87" i="74"/>
  <c r="X86" i="74"/>
  <c r="Z86" i="74" s="1"/>
  <c r="N86" i="74"/>
  <c r="L86" i="74"/>
  <c r="B86" i="74"/>
  <c r="T85" i="74"/>
  <c r="P85" i="74"/>
  <c r="X85" i="74" s="1"/>
  <c r="Z85" i="74" s="1"/>
  <c r="H85" i="74"/>
  <c r="D85" i="74"/>
  <c r="B85" i="74"/>
  <c r="Z84" i="74"/>
  <c r="X84" i="74"/>
  <c r="N84" i="74"/>
  <c r="L84" i="74"/>
  <c r="B84" i="74"/>
  <c r="X83" i="74"/>
  <c r="Z83" i="74" s="1"/>
  <c r="N83" i="74"/>
  <c r="L83" i="74"/>
  <c r="B83" i="74"/>
  <c r="Z82" i="74"/>
  <c r="X82" i="74"/>
  <c r="N82" i="74"/>
  <c r="L82" i="74"/>
  <c r="B82" i="74"/>
  <c r="T81" i="74"/>
  <c r="P81" i="74"/>
  <c r="X81" i="74" s="1"/>
  <c r="H81" i="74"/>
  <c r="L81" i="74" s="1"/>
  <c r="D81" i="74"/>
  <c r="B81" i="74"/>
  <c r="Z80" i="74"/>
  <c r="X80" i="74"/>
  <c r="N80" i="74"/>
  <c r="L80" i="74"/>
  <c r="B80" i="74"/>
  <c r="T79" i="74"/>
  <c r="P79" i="74"/>
  <c r="X79" i="74" s="1"/>
  <c r="N79" i="74"/>
  <c r="L79" i="74"/>
  <c r="H79" i="74"/>
  <c r="D79" i="74"/>
  <c r="B79" i="74"/>
  <c r="X78" i="74"/>
  <c r="Z78" i="74" s="1"/>
  <c r="N78" i="74"/>
  <c r="L78" i="74"/>
  <c r="B78" i="74"/>
  <c r="T77" i="74"/>
  <c r="P77" i="74"/>
  <c r="X77" i="74" s="1"/>
  <c r="Z77" i="74" s="1"/>
  <c r="H77" i="74"/>
  <c r="D77" i="74"/>
  <c r="B77" i="74"/>
  <c r="X76" i="74"/>
  <c r="Z76" i="74" s="1"/>
  <c r="N76" i="74"/>
  <c r="L76" i="74"/>
  <c r="B76" i="74"/>
  <c r="T75" i="74"/>
  <c r="X75" i="74" s="1"/>
  <c r="P75" i="74"/>
  <c r="L75" i="74"/>
  <c r="H75" i="74"/>
  <c r="N75" i="74" s="1"/>
  <c r="D75" i="74"/>
  <c r="B75" i="74"/>
  <c r="X74" i="74"/>
  <c r="Z74" i="74" s="1"/>
  <c r="L74" i="74"/>
  <c r="N74" i="74" s="1"/>
  <c r="B74" i="74"/>
  <c r="X73" i="74"/>
  <c r="Z73" i="74" s="1"/>
  <c r="L73" i="74"/>
  <c r="N73" i="74" s="1"/>
  <c r="B73" i="74"/>
  <c r="Z72" i="74"/>
  <c r="T72" i="74"/>
  <c r="X72" i="74" s="1"/>
  <c r="P72" i="74"/>
  <c r="H72" i="74"/>
  <c r="D72" i="74"/>
  <c r="B72" i="74"/>
  <c r="X71" i="74"/>
  <c r="Z71" i="74" s="1"/>
  <c r="L71" i="74"/>
  <c r="N71" i="74" s="1"/>
  <c r="B71" i="74"/>
  <c r="X70" i="74"/>
  <c r="T70" i="74"/>
  <c r="Z70" i="74" s="1"/>
  <c r="P70" i="74"/>
  <c r="H70" i="74"/>
  <c r="D70" i="74"/>
  <c r="L70" i="74" s="1"/>
  <c r="N70" i="74" s="1"/>
  <c r="B70" i="74"/>
  <c r="X69" i="74"/>
  <c r="Z69" i="74" s="1"/>
  <c r="L69" i="74"/>
  <c r="N69" i="74" s="1"/>
  <c r="B69" i="74"/>
  <c r="Z68" i="74"/>
  <c r="X68" i="74"/>
  <c r="N68" i="74"/>
  <c r="L68" i="74"/>
  <c r="B68" i="74"/>
  <c r="Z67" i="74"/>
  <c r="X67" i="74"/>
  <c r="N67" i="74"/>
  <c r="L67" i="74"/>
  <c r="B67" i="74"/>
  <c r="Z66" i="74"/>
  <c r="X66" i="74"/>
  <c r="L66" i="74"/>
  <c r="N66" i="74" s="1"/>
  <c r="B66" i="74"/>
  <c r="T65" i="74"/>
  <c r="P65" i="74"/>
  <c r="X65" i="74" s="1"/>
  <c r="H65" i="74"/>
  <c r="D65" i="74"/>
  <c r="B65" i="74"/>
  <c r="Z64" i="74"/>
  <c r="X64" i="74"/>
  <c r="N64" i="74"/>
  <c r="L64" i="74"/>
  <c r="B64" i="74"/>
  <c r="Z63" i="74"/>
  <c r="X63" i="74"/>
  <c r="L63" i="74"/>
  <c r="N63" i="74" s="1"/>
  <c r="B63" i="74"/>
  <c r="X62" i="74"/>
  <c r="Z62" i="74" s="1"/>
  <c r="L62" i="74"/>
  <c r="N62" i="74" s="1"/>
  <c r="B62" i="74"/>
  <c r="Z61" i="74"/>
  <c r="X61" i="74"/>
  <c r="N61" i="74"/>
  <c r="L61" i="74"/>
  <c r="B61" i="74"/>
  <c r="Z60" i="74"/>
  <c r="X60" i="74"/>
  <c r="N60" i="74"/>
  <c r="L60" i="74"/>
  <c r="B60" i="74"/>
  <c r="Z59" i="74"/>
  <c r="X59" i="74"/>
  <c r="L59" i="74"/>
  <c r="N59" i="74" s="1"/>
  <c r="B59" i="74"/>
  <c r="X58" i="74"/>
  <c r="Z58" i="74" s="1"/>
  <c r="L58" i="74"/>
  <c r="N58" i="74" s="1"/>
  <c r="B58" i="74"/>
  <c r="X57" i="74"/>
  <c r="Z57" i="74" s="1"/>
  <c r="N57" i="74"/>
  <c r="L57" i="74"/>
  <c r="B57" i="74"/>
  <c r="Z56" i="74"/>
  <c r="X56" i="74"/>
  <c r="N56" i="74"/>
  <c r="L56" i="74"/>
  <c r="B56" i="74"/>
  <c r="T55" i="74"/>
  <c r="P55" i="74"/>
  <c r="H55" i="74"/>
  <c r="D55" i="74"/>
  <c r="L55" i="74" s="1"/>
  <c r="N55" i="74" s="1"/>
  <c r="B55" i="74"/>
  <c r="X54" i="74"/>
  <c r="T54" i="74"/>
  <c r="Z54" i="74" s="1"/>
  <c r="P54" i="74"/>
  <c r="H54" i="74"/>
  <c r="D54" i="74"/>
  <c r="L54" i="74" s="1"/>
  <c r="X50" i="74"/>
  <c r="Z50" i="74" s="1"/>
  <c r="N50" i="74"/>
  <c r="L50" i="74"/>
  <c r="B50" i="74"/>
  <c r="X49" i="74"/>
  <c r="Z49" i="74" s="1"/>
  <c r="L49" i="74"/>
  <c r="N49" i="74" s="1"/>
  <c r="B49" i="74"/>
  <c r="Z48" i="74"/>
  <c r="X48" i="74"/>
  <c r="N48" i="74"/>
  <c r="L48" i="74"/>
  <c r="B48" i="74"/>
  <c r="X47" i="74"/>
  <c r="Z47" i="74" s="1"/>
  <c r="L47" i="74"/>
  <c r="N47" i="74" s="1"/>
  <c r="B47" i="74"/>
  <c r="Z46" i="74"/>
  <c r="X46" i="74"/>
  <c r="N46" i="74"/>
  <c r="L46" i="74"/>
  <c r="B46" i="74"/>
  <c r="X45" i="74"/>
  <c r="Z45" i="74" s="1"/>
  <c r="L45" i="74"/>
  <c r="N45" i="74" s="1"/>
  <c r="B45" i="74"/>
  <c r="Z44" i="74"/>
  <c r="X44" i="74"/>
  <c r="L44" i="74"/>
  <c r="N44" i="74" s="1"/>
  <c r="B44" i="74"/>
  <c r="X43" i="74"/>
  <c r="Z43" i="74" s="1"/>
  <c r="N43" i="74"/>
  <c r="L43" i="74"/>
  <c r="B43" i="74"/>
  <c r="X42" i="74"/>
  <c r="Z42" i="74" s="1"/>
  <c r="N42" i="74"/>
  <c r="L42" i="74"/>
  <c r="B42" i="74"/>
  <c r="Z41" i="74"/>
  <c r="X41" i="74"/>
  <c r="L41" i="74"/>
  <c r="N41" i="74" s="1"/>
  <c r="B41" i="74"/>
  <c r="Z40" i="74"/>
  <c r="X40" i="74"/>
  <c r="L40" i="74"/>
  <c r="N40" i="74" s="1"/>
  <c r="B40" i="74"/>
  <c r="X39" i="74"/>
  <c r="Z39" i="74" s="1"/>
  <c r="L39" i="74"/>
  <c r="N39" i="74" s="1"/>
  <c r="B39" i="74"/>
  <c r="X38" i="74"/>
  <c r="Z38" i="74" s="1"/>
  <c r="L38" i="74"/>
  <c r="N38" i="74" s="1"/>
  <c r="B38" i="74"/>
  <c r="X37" i="74"/>
  <c r="Z37" i="74" s="1"/>
  <c r="N37" i="74"/>
  <c r="L37" i="74"/>
  <c r="B37" i="74"/>
  <c r="Z36" i="74"/>
  <c r="X36" i="74"/>
  <c r="N36" i="74"/>
  <c r="L36" i="74"/>
  <c r="B36" i="74"/>
  <c r="X35" i="74"/>
  <c r="T35" i="74"/>
  <c r="P35" i="74"/>
  <c r="L35" i="74"/>
  <c r="N35" i="74" s="1"/>
  <c r="H35" i="74"/>
  <c r="D35" i="74"/>
  <c r="T33" i="74"/>
  <c r="P33" i="74"/>
  <c r="X33" i="74" s="1"/>
  <c r="H33" i="74"/>
  <c r="D33" i="74"/>
  <c r="B33" i="74"/>
  <c r="T32" i="74"/>
  <c r="X32" i="74" s="1"/>
  <c r="P32" i="74"/>
  <c r="N32" i="74"/>
  <c r="L32" i="74"/>
  <c r="H32" i="74"/>
  <c r="D32" i="74"/>
  <c r="B32" i="74"/>
  <c r="X31" i="74"/>
  <c r="Z31" i="74" s="1"/>
  <c r="T31" i="74"/>
  <c r="P31" i="74"/>
  <c r="H31" i="74"/>
  <c r="D31" i="74"/>
  <c r="L31" i="74" s="1"/>
  <c r="N31" i="74" s="1"/>
  <c r="B31" i="74"/>
  <c r="T30" i="74"/>
  <c r="P30" i="74"/>
  <c r="X30" i="74" s="1"/>
  <c r="Z30" i="74" s="1"/>
  <c r="H30" i="74"/>
  <c r="D30" i="74"/>
  <c r="L30" i="74" s="1"/>
  <c r="N30" i="74" s="1"/>
  <c r="B30" i="74"/>
  <c r="T29" i="74"/>
  <c r="P29" i="74"/>
  <c r="X29" i="74" s="1"/>
  <c r="H29" i="74"/>
  <c r="D29" i="74"/>
  <c r="B29" i="74"/>
  <c r="X28" i="74"/>
  <c r="T28" i="74"/>
  <c r="P28" i="74"/>
  <c r="L28" i="74"/>
  <c r="N28" i="74" s="1"/>
  <c r="H28" i="74"/>
  <c r="D28" i="74"/>
  <c r="B28" i="74"/>
  <c r="Z27" i="74"/>
  <c r="X27" i="74"/>
  <c r="T27" i="74"/>
  <c r="P27" i="74"/>
  <c r="N27" i="74"/>
  <c r="L27" i="74"/>
  <c r="H27" i="74"/>
  <c r="D27" i="74"/>
  <c r="B27" i="74"/>
  <c r="T26" i="74"/>
  <c r="P26" i="74"/>
  <c r="X26" i="74" s="1"/>
  <c r="Z26" i="74" s="1"/>
  <c r="H26" i="74"/>
  <c r="D26" i="74"/>
  <c r="L26" i="74" s="1"/>
  <c r="N26" i="74" s="1"/>
  <c r="B26" i="74"/>
  <c r="T25" i="74"/>
  <c r="P25" i="74"/>
  <c r="H25" i="74"/>
  <c r="D25" i="74"/>
  <c r="B25" i="74"/>
  <c r="T24" i="74"/>
  <c r="P24" i="74"/>
  <c r="H24" i="74"/>
  <c r="D24" i="74"/>
  <c r="B24" i="74"/>
  <c r="X23" i="74"/>
  <c r="Z23" i="74" s="1"/>
  <c r="T23" i="74"/>
  <c r="P23" i="74"/>
  <c r="L23" i="74"/>
  <c r="N23" i="74" s="1"/>
  <c r="H23" i="74"/>
  <c r="D23" i="74"/>
  <c r="B23" i="74"/>
  <c r="Z22" i="74"/>
  <c r="T22" i="74"/>
  <c r="P22" i="74"/>
  <c r="X22" i="74" s="1"/>
  <c r="L22" i="74"/>
  <c r="N22" i="74" s="1"/>
  <c r="H22" i="74"/>
  <c r="D22" i="74"/>
  <c r="B22" i="74"/>
  <c r="X21" i="74"/>
  <c r="T21" i="74"/>
  <c r="P21" i="74"/>
  <c r="H21" i="74"/>
  <c r="D21" i="74"/>
  <c r="L21" i="74" s="1"/>
  <c r="B21" i="74"/>
  <c r="X20" i="74"/>
  <c r="T20" i="74"/>
  <c r="P20" i="74"/>
  <c r="H20" i="74"/>
  <c r="L20" i="74" s="1"/>
  <c r="D20" i="74"/>
  <c r="B20" i="74"/>
  <c r="T19" i="74"/>
  <c r="P19" i="74"/>
  <c r="N19" i="74"/>
  <c r="L19" i="74"/>
  <c r="H19" i="74"/>
  <c r="D19" i="74"/>
  <c r="B19" i="74"/>
  <c r="Z18" i="74"/>
  <c r="T18" i="74"/>
  <c r="P18" i="74"/>
  <c r="X18" i="74" s="1"/>
  <c r="H18" i="74"/>
  <c r="D18" i="74"/>
  <c r="L18" i="74" s="1"/>
  <c r="N18" i="74" s="1"/>
  <c r="B18" i="74"/>
  <c r="T17" i="74"/>
  <c r="P17" i="74"/>
  <c r="H17" i="74"/>
  <c r="D17" i="74"/>
  <c r="L17" i="74" s="1"/>
  <c r="B17" i="74"/>
  <c r="X16" i="74"/>
  <c r="T16" i="74"/>
  <c r="P16" i="74"/>
  <c r="H16" i="74"/>
  <c r="L16" i="74" s="1"/>
  <c r="N16" i="74" s="1"/>
  <c r="D16" i="74"/>
  <c r="B16" i="74"/>
  <c r="T15" i="74"/>
  <c r="X15" i="74" s="1"/>
  <c r="P15" i="74"/>
  <c r="H15" i="74"/>
  <c r="D15" i="74"/>
  <c r="L15" i="74" s="1"/>
  <c r="N15" i="74" s="1"/>
  <c r="B15" i="74"/>
  <c r="T14" i="74"/>
  <c r="P14" i="74"/>
  <c r="X14" i="74" s="1"/>
  <c r="Z14" i="74" s="1"/>
  <c r="N14" i="74"/>
  <c r="H14" i="74"/>
  <c r="D14" i="74"/>
  <c r="L14" i="74" s="1"/>
  <c r="B14" i="74"/>
  <c r="T13" i="74"/>
  <c r="T12" i="74" s="1"/>
  <c r="P13" i="74"/>
  <c r="H13" i="74"/>
  <c r="D13" i="74"/>
  <c r="B13" i="74"/>
  <c r="D6" i="74"/>
  <c r="D4" i="74"/>
  <c r="X86" i="73"/>
  <c r="Z86" i="73" s="1"/>
  <c r="N86" i="73"/>
  <c r="L86" i="73"/>
  <c r="T82" i="73"/>
  <c r="Z82" i="73" s="1"/>
  <c r="P82" i="73"/>
  <c r="H82" i="73"/>
  <c r="N82" i="73" s="1"/>
  <c r="D82" i="73"/>
  <c r="L82" i="73" s="1"/>
  <c r="Z80" i="73"/>
  <c r="X80" i="73"/>
  <c r="N80" i="73"/>
  <c r="L80" i="73"/>
  <c r="B80" i="73"/>
  <c r="T79" i="73"/>
  <c r="P79" i="73"/>
  <c r="X79" i="73" s="1"/>
  <c r="N79" i="73"/>
  <c r="H79" i="73"/>
  <c r="D79" i="73"/>
  <c r="L79" i="73" s="1"/>
  <c r="B79" i="73"/>
  <c r="Z78" i="73"/>
  <c r="X78" i="73"/>
  <c r="N78" i="73"/>
  <c r="L78" i="73"/>
  <c r="B78" i="73"/>
  <c r="T77" i="73"/>
  <c r="X77" i="73" s="1"/>
  <c r="P77" i="73"/>
  <c r="H77" i="73"/>
  <c r="D77" i="73"/>
  <c r="B77" i="73"/>
  <c r="Z76" i="73"/>
  <c r="X76" i="73"/>
  <c r="N76" i="73"/>
  <c r="L76" i="73"/>
  <c r="B76" i="73"/>
  <c r="Z75" i="73"/>
  <c r="X75" i="73"/>
  <c r="R75" i="73"/>
  <c r="L75" i="73"/>
  <c r="N75" i="73" s="1"/>
  <c r="B75" i="73"/>
  <c r="Z74" i="73"/>
  <c r="X74" i="73"/>
  <c r="N74" i="73"/>
  <c r="L74" i="73"/>
  <c r="F74" i="73"/>
  <c r="B74" i="73"/>
  <c r="X73" i="73"/>
  <c r="Z73" i="73" s="1"/>
  <c r="N73" i="73"/>
  <c r="L73" i="73"/>
  <c r="B73" i="73"/>
  <c r="X72" i="73"/>
  <c r="Z72" i="73" s="1"/>
  <c r="R72" i="73"/>
  <c r="N72" i="73"/>
  <c r="L72" i="73"/>
  <c r="B72" i="73"/>
  <c r="Z71" i="73"/>
  <c r="X71" i="73"/>
  <c r="N71" i="73"/>
  <c r="L71" i="73"/>
  <c r="J71" i="73"/>
  <c r="B71" i="73"/>
  <c r="X70" i="73"/>
  <c r="Z70" i="73" s="1"/>
  <c r="T70" i="73"/>
  <c r="P70" i="73"/>
  <c r="N70" i="73"/>
  <c r="L70" i="73"/>
  <c r="H70" i="73"/>
  <c r="F70" i="73"/>
  <c r="D70" i="73"/>
  <c r="B70" i="73"/>
  <c r="X69" i="73"/>
  <c r="Z69" i="73" s="1"/>
  <c r="N69" i="73"/>
  <c r="L69" i="73"/>
  <c r="B69" i="73"/>
  <c r="Z68" i="73"/>
  <c r="X68" i="73"/>
  <c r="N68" i="73"/>
  <c r="L68" i="73"/>
  <c r="B68" i="73"/>
  <c r="X67" i="73"/>
  <c r="T67" i="73"/>
  <c r="Z67" i="73" s="1"/>
  <c r="P67" i="73"/>
  <c r="N67" i="73"/>
  <c r="H67" i="73"/>
  <c r="D67" i="73"/>
  <c r="L67" i="73" s="1"/>
  <c r="B67" i="73"/>
  <c r="X66" i="73"/>
  <c r="Z66" i="73" s="1"/>
  <c r="N66" i="73"/>
  <c r="L66" i="73"/>
  <c r="B66" i="73"/>
  <c r="X65" i="73"/>
  <c r="Z65" i="73" s="1"/>
  <c r="N65" i="73"/>
  <c r="L65" i="73"/>
  <c r="B65" i="73"/>
  <c r="X64" i="73"/>
  <c r="Z64" i="73" s="1"/>
  <c r="T64" i="73"/>
  <c r="P64" i="73"/>
  <c r="H64" i="73"/>
  <c r="D64" i="73"/>
  <c r="L64" i="73" s="1"/>
  <c r="N64" i="73" s="1"/>
  <c r="B64" i="73"/>
  <c r="Z63" i="73"/>
  <c r="X63" i="73"/>
  <c r="N63" i="73"/>
  <c r="L63" i="73"/>
  <c r="B63" i="73"/>
  <c r="Z62" i="73"/>
  <c r="X62" i="73"/>
  <c r="N62" i="73"/>
  <c r="L62" i="73"/>
  <c r="B62" i="73"/>
  <c r="Z61" i="73"/>
  <c r="X61" i="73"/>
  <c r="N61" i="73"/>
  <c r="L61" i="73"/>
  <c r="B61" i="73"/>
  <c r="T60" i="73"/>
  <c r="X60" i="73" s="1"/>
  <c r="Z60" i="73" s="1"/>
  <c r="P60" i="73"/>
  <c r="H60" i="73"/>
  <c r="N60" i="73" s="1"/>
  <c r="D60" i="73"/>
  <c r="L60" i="73" s="1"/>
  <c r="B60" i="73"/>
  <c r="Z59" i="73"/>
  <c r="X59" i="73"/>
  <c r="L59" i="73"/>
  <c r="N59" i="73" s="1"/>
  <c r="B59" i="73"/>
  <c r="T58" i="73"/>
  <c r="P58" i="73"/>
  <c r="X58" i="73" s="1"/>
  <c r="H58" i="73"/>
  <c r="D58" i="73"/>
  <c r="B58" i="73"/>
  <c r="X57" i="73"/>
  <c r="Z57" i="73" s="1"/>
  <c r="N57" i="73"/>
  <c r="L57" i="73"/>
  <c r="B57" i="73"/>
  <c r="X56" i="73"/>
  <c r="Z56" i="73" s="1"/>
  <c r="L56" i="73"/>
  <c r="N56" i="73" s="1"/>
  <c r="B56" i="73"/>
  <c r="X55" i="73"/>
  <c r="T55" i="73"/>
  <c r="P55" i="73"/>
  <c r="H55" i="73"/>
  <c r="D55" i="73"/>
  <c r="L55" i="73" s="1"/>
  <c r="N55" i="73" s="1"/>
  <c r="B55" i="73"/>
  <c r="X54" i="73"/>
  <c r="Z54" i="73" s="1"/>
  <c r="N54" i="73"/>
  <c r="L54" i="73"/>
  <c r="B54" i="73"/>
  <c r="T53" i="73"/>
  <c r="P53" i="73"/>
  <c r="X53" i="73" s="1"/>
  <c r="Z53" i="73" s="1"/>
  <c r="H53" i="73"/>
  <c r="N53" i="73" s="1"/>
  <c r="D53" i="73"/>
  <c r="B53" i="73"/>
  <c r="Z52" i="73"/>
  <c r="X52" i="73"/>
  <c r="L52" i="73"/>
  <c r="N52" i="73" s="1"/>
  <c r="B52" i="73"/>
  <c r="X51" i="73"/>
  <c r="Z51" i="73" s="1"/>
  <c r="T51" i="73"/>
  <c r="P51" i="73"/>
  <c r="N51" i="73"/>
  <c r="L51" i="73"/>
  <c r="H51" i="73"/>
  <c r="F51" i="73"/>
  <c r="D51" i="73"/>
  <c r="B51" i="73"/>
  <c r="X50" i="73"/>
  <c r="Z50" i="73" s="1"/>
  <c r="L50" i="73"/>
  <c r="N50" i="73" s="1"/>
  <c r="B50" i="73"/>
  <c r="X49" i="73"/>
  <c r="T49" i="73"/>
  <c r="P49" i="73"/>
  <c r="H49" i="73"/>
  <c r="D49" i="73"/>
  <c r="B49" i="73"/>
  <c r="X48" i="73"/>
  <c r="Z48" i="73" s="1"/>
  <c r="N48" i="73"/>
  <c r="L48" i="73"/>
  <c r="B48" i="73"/>
  <c r="T47" i="73"/>
  <c r="P47" i="73"/>
  <c r="X47" i="73" s="1"/>
  <c r="Z47" i="73" s="1"/>
  <c r="H47" i="73"/>
  <c r="L47" i="73" s="1"/>
  <c r="D47" i="73"/>
  <c r="B47" i="73"/>
  <c r="X46" i="73"/>
  <c r="Z46" i="73" s="1"/>
  <c r="L46" i="73"/>
  <c r="N46" i="73" s="1"/>
  <c r="B46" i="73"/>
  <c r="T45" i="73"/>
  <c r="P45" i="73"/>
  <c r="X45" i="73" s="1"/>
  <c r="Z45" i="73" s="1"/>
  <c r="H45" i="73"/>
  <c r="D45" i="73"/>
  <c r="B45" i="73"/>
  <c r="X44" i="73"/>
  <c r="Z44" i="73" s="1"/>
  <c r="L44" i="73"/>
  <c r="N44" i="73" s="1"/>
  <c r="B44" i="73"/>
  <c r="X43" i="73"/>
  <c r="Z43" i="73" s="1"/>
  <c r="L43" i="73"/>
  <c r="N43" i="73" s="1"/>
  <c r="B43" i="73"/>
  <c r="Z42" i="73"/>
  <c r="X42" i="73"/>
  <c r="N42" i="73"/>
  <c r="L42" i="73"/>
  <c r="B42" i="73"/>
  <c r="Z41" i="73"/>
  <c r="X41" i="73"/>
  <c r="N41" i="73"/>
  <c r="L41" i="73"/>
  <c r="B41" i="73"/>
  <c r="Z40" i="73"/>
  <c r="X40" i="73"/>
  <c r="N40" i="73"/>
  <c r="L40" i="73"/>
  <c r="B40" i="73"/>
  <c r="X39" i="73"/>
  <c r="Z39" i="73" s="1"/>
  <c r="N39" i="73"/>
  <c r="L39" i="73"/>
  <c r="B39" i="73"/>
  <c r="T38" i="73"/>
  <c r="P38" i="73"/>
  <c r="X38" i="73" s="1"/>
  <c r="Z38" i="73" s="1"/>
  <c r="L38" i="73"/>
  <c r="H38" i="73"/>
  <c r="D38" i="73"/>
  <c r="B38" i="73"/>
  <c r="X37" i="73"/>
  <c r="Z37" i="73" s="1"/>
  <c r="N37" i="73"/>
  <c r="L37" i="73"/>
  <c r="J37" i="73"/>
  <c r="B37" i="73"/>
  <c r="X36" i="73"/>
  <c r="Z36" i="73" s="1"/>
  <c r="L36" i="73"/>
  <c r="N36" i="73" s="1"/>
  <c r="B36" i="73"/>
  <c r="Z35" i="73"/>
  <c r="X35" i="73"/>
  <c r="N35" i="73"/>
  <c r="L35" i="73"/>
  <c r="B35" i="73"/>
  <c r="X34" i="73"/>
  <c r="Z34" i="73" s="1"/>
  <c r="R34" i="73"/>
  <c r="L34" i="73"/>
  <c r="N34" i="73" s="1"/>
  <c r="B34" i="73"/>
  <c r="X33" i="73"/>
  <c r="Z33" i="73" s="1"/>
  <c r="N33" i="73"/>
  <c r="L33" i="73"/>
  <c r="B33" i="73"/>
  <c r="X32" i="73"/>
  <c r="Z32" i="73" s="1"/>
  <c r="L32" i="73"/>
  <c r="N32" i="73" s="1"/>
  <c r="B32" i="73"/>
  <c r="Z31" i="73"/>
  <c r="X31" i="73"/>
  <c r="N31" i="73"/>
  <c r="L31" i="73"/>
  <c r="B31" i="73"/>
  <c r="X30" i="73"/>
  <c r="Z30" i="73" s="1"/>
  <c r="R30" i="73"/>
  <c r="L30" i="73"/>
  <c r="N30" i="73" s="1"/>
  <c r="B30" i="73"/>
  <c r="T29" i="73"/>
  <c r="P29" i="73"/>
  <c r="N29" i="73"/>
  <c r="H29" i="73"/>
  <c r="D29" i="73"/>
  <c r="L29" i="73" s="1"/>
  <c r="B29" i="73"/>
  <c r="T28" i="73"/>
  <c r="P28" i="73"/>
  <c r="X28" i="73" s="1"/>
  <c r="H28" i="73"/>
  <c r="L28" i="73" s="1"/>
  <c r="D28" i="73"/>
  <c r="P26" i="73"/>
  <c r="X24" i="73"/>
  <c r="Z24" i="73" s="1"/>
  <c r="L24" i="73"/>
  <c r="N24" i="73" s="1"/>
  <c r="B24" i="73"/>
  <c r="Z23" i="73"/>
  <c r="X23" i="73"/>
  <c r="N23" i="73"/>
  <c r="L23" i="73"/>
  <c r="B23" i="73"/>
  <c r="T22" i="73"/>
  <c r="X22" i="73" s="1"/>
  <c r="P22" i="73"/>
  <c r="H22" i="73"/>
  <c r="N22" i="73" s="1"/>
  <c r="D22" i="73"/>
  <c r="L22" i="73" s="1"/>
  <c r="T20" i="73"/>
  <c r="P20" i="73"/>
  <c r="X20" i="73" s="1"/>
  <c r="H20" i="73"/>
  <c r="N20" i="73" s="1"/>
  <c r="D20" i="73"/>
  <c r="L20" i="73" s="1"/>
  <c r="B20" i="73"/>
  <c r="T19" i="73"/>
  <c r="P19" i="73"/>
  <c r="H19" i="73"/>
  <c r="D19" i="73"/>
  <c r="B19" i="73"/>
  <c r="X18" i="73"/>
  <c r="T18" i="73"/>
  <c r="Z18" i="73" s="1"/>
  <c r="P18" i="73"/>
  <c r="N18" i="73"/>
  <c r="L18" i="73"/>
  <c r="H18" i="73"/>
  <c r="D18" i="73"/>
  <c r="B18" i="73"/>
  <c r="Z17" i="73"/>
  <c r="T17" i="73"/>
  <c r="P17" i="73"/>
  <c r="X17" i="73" s="1"/>
  <c r="N17" i="73"/>
  <c r="H17" i="73"/>
  <c r="L17" i="73" s="1"/>
  <c r="D17" i="73"/>
  <c r="B17" i="73"/>
  <c r="T16" i="73"/>
  <c r="P16" i="73"/>
  <c r="X16" i="73" s="1"/>
  <c r="H16" i="73"/>
  <c r="D16" i="73"/>
  <c r="L16" i="73" s="1"/>
  <c r="B16" i="73"/>
  <c r="T15" i="73"/>
  <c r="P15" i="73"/>
  <c r="H15" i="73"/>
  <c r="D15" i="73"/>
  <c r="B15" i="73"/>
  <c r="X14" i="73"/>
  <c r="T14" i="73"/>
  <c r="Z14" i="73" s="1"/>
  <c r="P14" i="73"/>
  <c r="N14" i="73"/>
  <c r="L14" i="73"/>
  <c r="H14" i="73"/>
  <c r="D14" i="73"/>
  <c r="B14" i="73"/>
  <c r="T13" i="73"/>
  <c r="P13" i="73"/>
  <c r="X13" i="73" s="1"/>
  <c r="Z13" i="73" s="1"/>
  <c r="H13" i="73"/>
  <c r="H12" i="73" s="1"/>
  <c r="J79" i="73" s="1"/>
  <c r="D13" i="73"/>
  <c r="B13" i="73"/>
  <c r="P12" i="73"/>
  <c r="R56" i="73" s="1"/>
  <c r="D12" i="73"/>
  <c r="F82" i="73" s="1"/>
  <c r="D6" i="73"/>
  <c r="D4" i="73"/>
  <c r="Z123" i="71"/>
  <c r="X123" i="71"/>
  <c r="L123" i="71"/>
  <c r="N123" i="71" s="1"/>
  <c r="T119" i="71"/>
  <c r="X119" i="71" s="1"/>
  <c r="P119" i="71"/>
  <c r="H119" i="71"/>
  <c r="D119" i="71"/>
  <c r="B119" i="71"/>
  <c r="Z118" i="71"/>
  <c r="X118" i="71"/>
  <c r="T118" i="71"/>
  <c r="P118" i="71"/>
  <c r="N118" i="71"/>
  <c r="L118" i="71"/>
  <c r="H118" i="71"/>
  <c r="D118" i="71"/>
  <c r="B118" i="71"/>
  <c r="T117" i="71"/>
  <c r="P117" i="71"/>
  <c r="X117" i="71" s="1"/>
  <c r="Z117" i="71" s="1"/>
  <c r="H117" i="71"/>
  <c r="D117" i="71"/>
  <c r="B117" i="71"/>
  <c r="Z114" i="71"/>
  <c r="X114" i="71"/>
  <c r="N114" i="71"/>
  <c r="L114" i="71"/>
  <c r="B114" i="71"/>
  <c r="T113" i="71"/>
  <c r="X113" i="71" s="1"/>
  <c r="P113" i="71"/>
  <c r="H113" i="71"/>
  <c r="N113" i="71" s="1"/>
  <c r="D113" i="71"/>
  <c r="L113" i="71" s="1"/>
  <c r="B113" i="71"/>
  <c r="X112" i="71"/>
  <c r="Z112" i="71" s="1"/>
  <c r="L112" i="71"/>
  <c r="N112" i="71" s="1"/>
  <c r="B112" i="71"/>
  <c r="X111" i="71"/>
  <c r="T111" i="71"/>
  <c r="Z111" i="71" s="1"/>
  <c r="P111" i="71"/>
  <c r="H111" i="71"/>
  <c r="N111" i="71" s="1"/>
  <c r="D111" i="71"/>
  <c r="L111" i="71" s="1"/>
  <c r="B111" i="71"/>
  <c r="Z110" i="71"/>
  <c r="X110" i="71"/>
  <c r="N110" i="71"/>
  <c r="L110" i="71"/>
  <c r="B110" i="71"/>
  <c r="X109" i="71"/>
  <c r="Z109" i="71" s="1"/>
  <c r="L109" i="71"/>
  <c r="N109" i="71" s="1"/>
  <c r="B109" i="71"/>
  <c r="T108" i="71"/>
  <c r="P108" i="71"/>
  <c r="N108" i="71"/>
  <c r="H108" i="71"/>
  <c r="D108" i="71"/>
  <c r="L108" i="71" s="1"/>
  <c r="B108" i="71"/>
  <c r="X107" i="71"/>
  <c r="Z107" i="71" s="1"/>
  <c r="L107" i="71"/>
  <c r="N107" i="71" s="1"/>
  <c r="B107" i="71"/>
  <c r="Z106" i="71"/>
  <c r="X106" i="71"/>
  <c r="N106" i="71"/>
  <c r="L106" i="71"/>
  <c r="B106" i="71"/>
  <c r="X105" i="71"/>
  <c r="Z105" i="71" s="1"/>
  <c r="N105" i="71"/>
  <c r="L105" i="71"/>
  <c r="B105" i="71"/>
  <c r="Z104" i="71"/>
  <c r="X104" i="71"/>
  <c r="N104" i="71"/>
  <c r="L104" i="71"/>
  <c r="B104" i="71"/>
  <c r="T103" i="71"/>
  <c r="P103" i="71"/>
  <c r="X103" i="71" s="1"/>
  <c r="H103" i="71"/>
  <c r="L103" i="71" s="1"/>
  <c r="D103" i="71"/>
  <c r="B103" i="71"/>
  <c r="Z102" i="71"/>
  <c r="X102" i="71"/>
  <c r="N102" i="71"/>
  <c r="L102" i="71"/>
  <c r="B102" i="71"/>
  <c r="Z101" i="71"/>
  <c r="X101" i="71"/>
  <c r="L101" i="71"/>
  <c r="N101" i="71" s="1"/>
  <c r="B101" i="71"/>
  <c r="X100" i="71"/>
  <c r="Z100" i="71" s="1"/>
  <c r="T100" i="71"/>
  <c r="P100" i="71"/>
  <c r="N100" i="71"/>
  <c r="L100" i="71"/>
  <c r="H100" i="71"/>
  <c r="D100" i="71"/>
  <c r="B100" i="71"/>
  <c r="X99" i="71"/>
  <c r="Z99" i="71" s="1"/>
  <c r="L99" i="71"/>
  <c r="N99" i="71" s="1"/>
  <c r="B99" i="71"/>
  <c r="Z98" i="71"/>
  <c r="X98" i="71"/>
  <c r="N98" i="71"/>
  <c r="L98" i="71"/>
  <c r="B98" i="71"/>
  <c r="X97" i="71"/>
  <c r="Z97" i="71" s="1"/>
  <c r="N97" i="71"/>
  <c r="L97" i="71"/>
  <c r="B97" i="71"/>
  <c r="T96" i="71"/>
  <c r="P96" i="71"/>
  <c r="N96" i="71"/>
  <c r="H96" i="71"/>
  <c r="D96" i="71"/>
  <c r="L96" i="71" s="1"/>
  <c r="B96" i="71"/>
  <c r="X95" i="71"/>
  <c r="Z95" i="71" s="1"/>
  <c r="L95" i="71"/>
  <c r="N95" i="71" s="1"/>
  <c r="B95" i="71"/>
  <c r="T94" i="71"/>
  <c r="P94" i="71"/>
  <c r="X94" i="71" s="1"/>
  <c r="Z94" i="71" s="1"/>
  <c r="H94" i="71"/>
  <c r="D94" i="71"/>
  <c r="L94" i="71" s="1"/>
  <c r="N94" i="71" s="1"/>
  <c r="B94" i="71"/>
  <c r="Z93" i="71"/>
  <c r="X93" i="71"/>
  <c r="L93" i="71"/>
  <c r="N93" i="71" s="1"/>
  <c r="B93" i="71"/>
  <c r="X92" i="71"/>
  <c r="Z92" i="71" s="1"/>
  <c r="T92" i="71"/>
  <c r="P92" i="71"/>
  <c r="N92" i="71"/>
  <c r="L92" i="71"/>
  <c r="H92" i="71"/>
  <c r="D92" i="71"/>
  <c r="B92" i="71"/>
  <c r="X91" i="71"/>
  <c r="Z91" i="71" s="1"/>
  <c r="N91" i="71"/>
  <c r="L91" i="71"/>
  <c r="B91" i="71"/>
  <c r="Z90" i="71"/>
  <c r="X90" i="71"/>
  <c r="N90" i="71"/>
  <c r="L90" i="71"/>
  <c r="B90" i="71"/>
  <c r="T89" i="71"/>
  <c r="P89" i="71"/>
  <c r="H89" i="71"/>
  <c r="D89" i="71"/>
  <c r="L89" i="71" s="1"/>
  <c r="N89" i="71" s="1"/>
  <c r="B89" i="71"/>
  <c r="Z88" i="71"/>
  <c r="X88" i="71"/>
  <c r="L88" i="71"/>
  <c r="N88" i="71" s="1"/>
  <c r="B88" i="71"/>
  <c r="T87" i="71"/>
  <c r="Z87" i="71" s="1"/>
  <c r="P87" i="71"/>
  <c r="X87" i="71" s="1"/>
  <c r="H87" i="71"/>
  <c r="L87" i="71" s="1"/>
  <c r="D87" i="71"/>
  <c r="B87" i="71"/>
  <c r="Z86" i="71"/>
  <c r="X86" i="71"/>
  <c r="N86" i="71"/>
  <c r="L86" i="71"/>
  <c r="B86" i="71"/>
  <c r="T85" i="71"/>
  <c r="P85" i="71"/>
  <c r="X85" i="71" s="1"/>
  <c r="L85" i="71"/>
  <c r="H85" i="71"/>
  <c r="N85" i="71" s="1"/>
  <c r="D85" i="71"/>
  <c r="B85" i="71"/>
  <c r="X84" i="71"/>
  <c r="Z84" i="71" s="1"/>
  <c r="N84" i="71"/>
  <c r="L84" i="71"/>
  <c r="B84" i="71"/>
  <c r="X83" i="71"/>
  <c r="Z83" i="71" s="1"/>
  <c r="L83" i="71"/>
  <c r="N83" i="71" s="1"/>
  <c r="B83" i="71"/>
  <c r="T82" i="71"/>
  <c r="P82" i="71"/>
  <c r="X82" i="71" s="1"/>
  <c r="Z82" i="71" s="1"/>
  <c r="H82" i="71"/>
  <c r="D82" i="71"/>
  <c r="B82" i="71"/>
  <c r="X81" i="71"/>
  <c r="Z81" i="71" s="1"/>
  <c r="N81" i="71"/>
  <c r="L81" i="71"/>
  <c r="B81" i="71"/>
  <c r="T80" i="71"/>
  <c r="P80" i="71"/>
  <c r="X80" i="71" s="1"/>
  <c r="Z80" i="71" s="1"/>
  <c r="H80" i="71"/>
  <c r="D80" i="71"/>
  <c r="L80" i="71" s="1"/>
  <c r="N80" i="71" s="1"/>
  <c r="B80" i="71"/>
  <c r="X79" i="71"/>
  <c r="Z79" i="71" s="1"/>
  <c r="L79" i="71"/>
  <c r="N79" i="71" s="1"/>
  <c r="B79" i="71"/>
  <c r="Z78" i="71"/>
  <c r="X78" i="71"/>
  <c r="N78" i="71"/>
  <c r="L78" i="71"/>
  <c r="B78" i="71"/>
  <c r="Z77" i="71"/>
  <c r="X77" i="71"/>
  <c r="L77" i="71"/>
  <c r="N77" i="71" s="1"/>
  <c r="B77" i="71"/>
  <c r="X76" i="71"/>
  <c r="Z76" i="71" s="1"/>
  <c r="L76" i="71"/>
  <c r="N76" i="71" s="1"/>
  <c r="B76" i="71"/>
  <c r="X75" i="71"/>
  <c r="Z75" i="71" s="1"/>
  <c r="L75" i="71"/>
  <c r="N75" i="71" s="1"/>
  <c r="B75" i="71"/>
  <c r="Z74" i="71"/>
  <c r="X74" i="71"/>
  <c r="T74" i="71"/>
  <c r="P74" i="71"/>
  <c r="L74" i="71"/>
  <c r="N74" i="71" s="1"/>
  <c r="H74" i="71"/>
  <c r="D74" i="71"/>
  <c r="B74" i="71"/>
  <c r="X73" i="71"/>
  <c r="Z73" i="71" s="1"/>
  <c r="L73" i="71"/>
  <c r="N73" i="71" s="1"/>
  <c r="B73" i="71"/>
  <c r="X72" i="71"/>
  <c r="Z72" i="71" s="1"/>
  <c r="N72" i="71"/>
  <c r="L72" i="71"/>
  <c r="B72" i="71"/>
  <c r="X71" i="71"/>
  <c r="Z71" i="71" s="1"/>
  <c r="L71" i="71"/>
  <c r="N71" i="71" s="1"/>
  <c r="B71" i="71"/>
  <c r="Z70" i="71"/>
  <c r="X70" i="71"/>
  <c r="N70" i="71"/>
  <c r="L70" i="71"/>
  <c r="B70" i="71"/>
  <c r="X69" i="71"/>
  <c r="Z69" i="71" s="1"/>
  <c r="L69" i="71"/>
  <c r="N69" i="71" s="1"/>
  <c r="B69" i="71"/>
  <c r="X68" i="71"/>
  <c r="Z68" i="71" s="1"/>
  <c r="N68" i="71"/>
  <c r="L68" i="71"/>
  <c r="B68" i="71"/>
  <c r="X67" i="71"/>
  <c r="Z67" i="71" s="1"/>
  <c r="L67" i="71"/>
  <c r="N67" i="71" s="1"/>
  <c r="B67" i="71"/>
  <c r="Z66" i="71"/>
  <c r="X66" i="71"/>
  <c r="N66" i="71"/>
  <c r="L66" i="71"/>
  <c r="B66" i="71"/>
  <c r="X65" i="71"/>
  <c r="Z65" i="71" s="1"/>
  <c r="L65" i="71"/>
  <c r="N65" i="71" s="1"/>
  <c r="B65" i="71"/>
  <c r="T64" i="71"/>
  <c r="P64" i="71"/>
  <c r="X64" i="71" s="1"/>
  <c r="N64" i="71"/>
  <c r="H64" i="71"/>
  <c r="D64" i="71"/>
  <c r="L64" i="71" s="1"/>
  <c r="B64" i="71"/>
  <c r="T63" i="71"/>
  <c r="P63" i="71"/>
  <c r="X63" i="71" s="1"/>
  <c r="H63" i="71"/>
  <c r="L63" i="71" s="1"/>
  <c r="D63" i="71"/>
  <c r="Z59" i="71"/>
  <c r="X59" i="71"/>
  <c r="N59" i="71"/>
  <c r="L59" i="71"/>
  <c r="B59" i="71"/>
  <c r="Z58" i="71"/>
  <c r="X58" i="71"/>
  <c r="N58" i="71"/>
  <c r="L58" i="71"/>
  <c r="B58" i="71"/>
  <c r="X57" i="71"/>
  <c r="Z57" i="71" s="1"/>
  <c r="N57" i="71"/>
  <c r="L57" i="71"/>
  <c r="B57" i="71"/>
  <c r="Z56" i="71"/>
  <c r="X56" i="71"/>
  <c r="L56" i="71"/>
  <c r="N56" i="71" s="1"/>
  <c r="B56" i="71"/>
  <c r="X55" i="71"/>
  <c r="Z55" i="71" s="1"/>
  <c r="L55" i="71"/>
  <c r="N55" i="71" s="1"/>
  <c r="B55" i="71"/>
  <c r="Z54" i="71"/>
  <c r="X54" i="71"/>
  <c r="N54" i="71"/>
  <c r="L54" i="71"/>
  <c r="B54" i="71"/>
  <c r="X53" i="71"/>
  <c r="Z53" i="71" s="1"/>
  <c r="N53" i="71"/>
  <c r="L53" i="71"/>
  <c r="B53" i="71"/>
  <c r="Z52" i="71"/>
  <c r="X52" i="71"/>
  <c r="L52" i="71"/>
  <c r="N52" i="71" s="1"/>
  <c r="B52" i="71"/>
  <c r="X51" i="71"/>
  <c r="Z51" i="71" s="1"/>
  <c r="N51" i="71"/>
  <c r="L51" i="71"/>
  <c r="B51" i="71"/>
  <c r="Z50" i="71"/>
  <c r="X50" i="71"/>
  <c r="N50" i="71"/>
  <c r="L50" i="71"/>
  <c r="B50" i="71"/>
  <c r="X49" i="71"/>
  <c r="Z49" i="71" s="1"/>
  <c r="N49" i="71"/>
  <c r="L49" i="71"/>
  <c r="B49" i="71"/>
  <c r="Z48" i="71"/>
  <c r="X48" i="71"/>
  <c r="L48" i="71"/>
  <c r="N48" i="71" s="1"/>
  <c r="B48" i="71"/>
  <c r="X47" i="71"/>
  <c r="Z47" i="71" s="1"/>
  <c r="L47" i="71"/>
  <c r="N47" i="71" s="1"/>
  <c r="B47" i="71"/>
  <c r="Z46" i="71"/>
  <c r="X46" i="71"/>
  <c r="N46" i="71"/>
  <c r="L46" i="71"/>
  <c r="B46" i="71"/>
  <c r="X45" i="71"/>
  <c r="Z45" i="71" s="1"/>
  <c r="N45" i="71"/>
  <c r="L45" i="71"/>
  <c r="B45" i="71"/>
  <c r="Z44" i="71"/>
  <c r="X44" i="71"/>
  <c r="L44" i="71"/>
  <c r="N44" i="71" s="1"/>
  <c r="B44" i="71"/>
  <c r="T43" i="71"/>
  <c r="P43" i="71"/>
  <c r="X43" i="71" s="1"/>
  <c r="H43" i="71"/>
  <c r="L43" i="71" s="1"/>
  <c r="D43" i="71"/>
  <c r="X41" i="71"/>
  <c r="T41" i="71"/>
  <c r="Z41" i="71" s="1"/>
  <c r="P41" i="71"/>
  <c r="N41" i="71"/>
  <c r="L41" i="71"/>
  <c r="H41" i="71"/>
  <c r="D41" i="71"/>
  <c r="B41" i="71"/>
  <c r="Z40" i="71"/>
  <c r="X40" i="71"/>
  <c r="T40" i="71"/>
  <c r="P40" i="71"/>
  <c r="N40" i="71"/>
  <c r="H40" i="71"/>
  <c r="L40" i="71" s="1"/>
  <c r="D40" i="71"/>
  <c r="B40" i="71"/>
  <c r="T39" i="71"/>
  <c r="Z39" i="71" s="1"/>
  <c r="P39" i="71"/>
  <c r="X39" i="71" s="1"/>
  <c r="H39" i="71"/>
  <c r="D39" i="71"/>
  <c r="L39" i="71" s="1"/>
  <c r="N39" i="71" s="1"/>
  <c r="B39" i="71"/>
  <c r="T38" i="71"/>
  <c r="P38" i="71"/>
  <c r="H38" i="71"/>
  <c r="N38" i="71" s="1"/>
  <c r="D38" i="71"/>
  <c r="B38" i="71"/>
  <c r="X37" i="71"/>
  <c r="T37" i="71"/>
  <c r="Z37" i="71" s="1"/>
  <c r="P37" i="71"/>
  <c r="N37" i="71"/>
  <c r="L37" i="71"/>
  <c r="H37" i="71"/>
  <c r="D37" i="71"/>
  <c r="B37" i="71"/>
  <c r="Z36" i="71"/>
  <c r="X36" i="71"/>
  <c r="T36" i="71"/>
  <c r="P36" i="71"/>
  <c r="H36" i="71"/>
  <c r="L36" i="71" s="1"/>
  <c r="N36" i="71" s="1"/>
  <c r="D36" i="71"/>
  <c r="B36" i="71"/>
  <c r="T35" i="71"/>
  <c r="Z35" i="71" s="1"/>
  <c r="P35" i="71"/>
  <c r="X35" i="71" s="1"/>
  <c r="H35" i="71"/>
  <c r="D35" i="71"/>
  <c r="L35" i="71" s="1"/>
  <c r="N35" i="71" s="1"/>
  <c r="B35" i="71"/>
  <c r="T34" i="71"/>
  <c r="P34" i="71"/>
  <c r="H34" i="71"/>
  <c r="D34" i="71"/>
  <c r="B34" i="71"/>
  <c r="X33" i="71"/>
  <c r="T33" i="71"/>
  <c r="P33" i="71"/>
  <c r="N33" i="71"/>
  <c r="L33" i="71"/>
  <c r="H33" i="71"/>
  <c r="D33" i="71"/>
  <c r="B33" i="71"/>
  <c r="Z32" i="71"/>
  <c r="X32" i="71"/>
  <c r="T32" i="71"/>
  <c r="P32" i="71"/>
  <c r="N32" i="71"/>
  <c r="H32" i="71"/>
  <c r="L32" i="71" s="1"/>
  <c r="D32" i="71"/>
  <c r="B32" i="71"/>
  <c r="T31" i="71"/>
  <c r="P31" i="71"/>
  <c r="X31" i="71" s="1"/>
  <c r="N31" i="71"/>
  <c r="H31" i="71"/>
  <c r="D31" i="71"/>
  <c r="L31" i="71" s="1"/>
  <c r="B31" i="71"/>
  <c r="T30" i="71"/>
  <c r="P30" i="71"/>
  <c r="H30" i="71"/>
  <c r="D30" i="71"/>
  <c r="B30" i="71"/>
  <c r="X29" i="71"/>
  <c r="T29" i="71"/>
  <c r="Z29" i="71" s="1"/>
  <c r="P29" i="71"/>
  <c r="L29" i="71"/>
  <c r="N29" i="71" s="1"/>
  <c r="H29" i="71"/>
  <c r="D29" i="71"/>
  <c r="B29" i="71"/>
  <c r="Z28" i="71"/>
  <c r="X28" i="71"/>
  <c r="T28" i="71"/>
  <c r="P28" i="71"/>
  <c r="N28" i="71"/>
  <c r="H28" i="71"/>
  <c r="L28" i="71" s="1"/>
  <c r="D28" i="71"/>
  <c r="B28" i="71"/>
  <c r="T27" i="71"/>
  <c r="P27" i="71"/>
  <c r="X27" i="71" s="1"/>
  <c r="N27" i="71"/>
  <c r="H27" i="71"/>
  <c r="D27" i="71"/>
  <c r="L27" i="71" s="1"/>
  <c r="B27" i="71"/>
  <c r="T26" i="71"/>
  <c r="P26" i="71"/>
  <c r="H26" i="71"/>
  <c r="D26" i="71"/>
  <c r="B26" i="71"/>
  <c r="X25" i="71"/>
  <c r="T25" i="71"/>
  <c r="P25" i="71"/>
  <c r="L25" i="71"/>
  <c r="N25" i="71" s="1"/>
  <c r="H25" i="71"/>
  <c r="D25" i="71"/>
  <c r="B25" i="71"/>
  <c r="Z24" i="71"/>
  <c r="X24" i="71"/>
  <c r="T24" i="71"/>
  <c r="P24" i="71"/>
  <c r="H24" i="71"/>
  <c r="L24" i="71" s="1"/>
  <c r="N24" i="71" s="1"/>
  <c r="D24" i="71"/>
  <c r="B24" i="71"/>
  <c r="T23" i="71"/>
  <c r="P23" i="71"/>
  <c r="X23" i="71" s="1"/>
  <c r="N23" i="71"/>
  <c r="H23" i="71"/>
  <c r="D23" i="71"/>
  <c r="L23" i="71" s="1"/>
  <c r="B23" i="71"/>
  <c r="T22" i="71"/>
  <c r="P22" i="71"/>
  <c r="H22" i="71"/>
  <c r="D22" i="71"/>
  <c r="B22" i="71"/>
  <c r="X21" i="71"/>
  <c r="T21" i="71"/>
  <c r="P21" i="71"/>
  <c r="L21" i="71"/>
  <c r="N21" i="71" s="1"/>
  <c r="H21" i="71"/>
  <c r="D21" i="71"/>
  <c r="B21" i="71"/>
  <c r="Z20" i="71"/>
  <c r="X20" i="71"/>
  <c r="T20" i="71"/>
  <c r="P20" i="71"/>
  <c r="H20" i="71"/>
  <c r="L20" i="71" s="1"/>
  <c r="N20" i="71" s="1"/>
  <c r="D20" i="71"/>
  <c r="B20" i="71"/>
  <c r="T19" i="71"/>
  <c r="Z19" i="71" s="1"/>
  <c r="P19" i="71"/>
  <c r="X19" i="71" s="1"/>
  <c r="H19" i="71"/>
  <c r="D19" i="71"/>
  <c r="L19" i="71" s="1"/>
  <c r="N19" i="71" s="1"/>
  <c r="B19" i="71"/>
  <c r="T18" i="71"/>
  <c r="P18" i="71"/>
  <c r="H18" i="71"/>
  <c r="D18" i="71"/>
  <c r="B18" i="71"/>
  <c r="X17" i="71"/>
  <c r="T17" i="71"/>
  <c r="Z17" i="71" s="1"/>
  <c r="P17" i="71"/>
  <c r="N17" i="71"/>
  <c r="L17" i="71"/>
  <c r="H17" i="71"/>
  <c r="D17" i="71"/>
  <c r="B17" i="71"/>
  <c r="Z16" i="71"/>
  <c r="X16" i="71"/>
  <c r="T16" i="71"/>
  <c r="P16" i="71"/>
  <c r="N16" i="71"/>
  <c r="H16" i="71"/>
  <c r="L16" i="71" s="1"/>
  <c r="D16" i="71"/>
  <c r="B16" i="71"/>
  <c r="T15" i="71"/>
  <c r="Z15" i="71" s="1"/>
  <c r="P15" i="71"/>
  <c r="X15" i="71" s="1"/>
  <c r="N15" i="71"/>
  <c r="H15" i="71"/>
  <c r="D15" i="71"/>
  <c r="B15" i="71"/>
  <c r="T14" i="71"/>
  <c r="P14" i="71"/>
  <c r="H14" i="71"/>
  <c r="D14" i="71"/>
  <c r="B14" i="71"/>
  <c r="X13" i="71"/>
  <c r="T13" i="71"/>
  <c r="P13" i="71"/>
  <c r="L13" i="71"/>
  <c r="N13" i="71" s="1"/>
  <c r="H13" i="71"/>
  <c r="D13" i="71"/>
  <c r="B13" i="71"/>
  <c r="D6" i="71"/>
  <c r="D4" i="71"/>
  <c r="X76" i="70"/>
  <c r="Z76" i="70" s="1"/>
  <c r="L76" i="70"/>
  <c r="N76" i="70" s="1"/>
  <c r="Z72" i="70"/>
  <c r="T72" i="70"/>
  <c r="P72" i="70"/>
  <c r="X72" i="70" s="1"/>
  <c r="N72" i="70"/>
  <c r="H72" i="70"/>
  <c r="D72" i="70"/>
  <c r="L72" i="70" s="1"/>
  <c r="Z70" i="70"/>
  <c r="X70" i="70"/>
  <c r="L70" i="70"/>
  <c r="N70" i="70" s="1"/>
  <c r="B70" i="70"/>
  <c r="X69" i="70"/>
  <c r="T69" i="70"/>
  <c r="Z69" i="70" s="1"/>
  <c r="P69" i="70"/>
  <c r="H69" i="70"/>
  <c r="D69" i="70"/>
  <c r="B69" i="70"/>
  <c r="Z68" i="70"/>
  <c r="X68" i="70"/>
  <c r="N68" i="70"/>
  <c r="L68" i="70"/>
  <c r="B68" i="70"/>
  <c r="Z67" i="70"/>
  <c r="X67" i="70"/>
  <c r="L67" i="70"/>
  <c r="N67" i="70" s="1"/>
  <c r="B67" i="70"/>
  <c r="X66" i="70"/>
  <c r="Z66" i="70" s="1"/>
  <c r="N66" i="70"/>
  <c r="L66" i="70"/>
  <c r="B66" i="70"/>
  <c r="X65" i="70"/>
  <c r="Z65" i="70" s="1"/>
  <c r="L65" i="70"/>
  <c r="N65" i="70" s="1"/>
  <c r="B65" i="70"/>
  <c r="Z64" i="70"/>
  <c r="X64" i="70"/>
  <c r="N64" i="70"/>
  <c r="L64" i="70"/>
  <c r="B64" i="70"/>
  <c r="Z63" i="70"/>
  <c r="X63" i="70"/>
  <c r="N63" i="70"/>
  <c r="L63" i="70"/>
  <c r="B63" i="70"/>
  <c r="X62" i="70"/>
  <c r="Z62" i="70" s="1"/>
  <c r="L62" i="70"/>
  <c r="N62" i="70" s="1"/>
  <c r="B62" i="70"/>
  <c r="T61" i="70"/>
  <c r="P61" i="70"/>
  <c r="X61" i="70" s="1"/>
  <c r="Z61" i="70" s="1"/>
  <c r="H61" i="70"/>
  <c r="D61" i="70"/>
  <c r="L61" i="70" s="1"/>
  <c r="B61" i="70"/>
  <c r="Z60" i="70"/>
  <c r="X60" i="70"/>
  <c r="N60" i="70"/>
  <c r="L60" i="70"/>
  <c r="B60" i="70"/>
  <c r="T59" i="70"/>
  <c r="P59" i="70"/>
  <c r="N59" i="70"/>
  <c r="H59" i="70"/>
  <c r="D59" i="70"/>
  <c r="L59" i="70" s="1"/>
  <c r="B59" i="70"/>
  <c r="Z58" i="70"/>
  <c r="X58" i="70"/>
  <c r="N58" i="70"/>
  <c r="L58" i="70"/>
  <c r="B58" i="70"/>
  <c r="X57" i="70"/>
  <c r="Z57" i="70" s="1"/>
  <c r="L57" i="70"/>
  <c r="N57" i="70" s="1"/>
  <c r="B57" i="70"/>
  <c r="Z56" i="70"/>
  <c r="X56" i="70"/>
  <c r="N56" i="70"/>
  <c r="L56" i="70"/>
  <c r="B56" i="70"/>
  <c r="T55" i="70"/>
  <c r="P55" i="70"/>
  <c r="H55" i="70"/>
  <c r="D55" i="70"/>
  <c r="L55" i="70" s="1"/>
  <c r="B55" i="70"/>
  <c r="X54" i="70"/>
  <c r="Z54" i="70" s="1"/>
  <c r="L54" i="70"/>
  <c r="N54" i="70" s="1"/>
  <c r="B54" i="70"/>
  <c r="X53" i="70"/>
  <c r="Z53" i="70" s="1"/>
  <c r="N53" i="70"/>
  <c r="L53" i="70"/>
  <c r="B53" i="70"/>
  <c r="Z52" i="70"/>
  <c r="X52" i="70"/>
  <c r="T52" i="70"/>
  <c r="P52" i="70"/>
  <c r="L52" i="70"/>
  <c r="H52" i="70"/>
  <c r="N52" i="70" s="1"/>
  <c r="D52" i="70"/>
  <c r="B52" i="70"/>
  <c r="X51" i="70"/>
  <c r="Z51" i="70" s="1"/>
  <c r="L51" i="70"/>
  <c r="N51" i="70" s="1"/>
  <c r="B51" i="70"/>
  <c r="T50" i="70"/>
  <c r="P50" i="70"/>
  <c r="N50" i="70"/>
  <c r="H50" i="70"/>
  <c r="D50" i="70"/>
  <c r="L50" i="70" s="1"/>
  <c r="B50" i="70"/>
  <c r="Z49" i="70"/>
  <c r="X49" i="70"/>
  <c r="N49" i="70"/>
  <c r="L49" i="70"/>
  <c r="B49" i="70"/>
  <c r="Z48" i="70"/>
  <c r="T48" i="70"/>
  <c r="P48" i="70"/>
  <c r="X48" i="70" s="1"/>
  <c r="N48" i="70"/>
  <c r="H48" i="70"/>
  <c r="D48" i="70"/>
  <c r="L48" i="70" s="1"/>
  <c r="B48" i="70"/>
  <c r="Z47" i="70"/>
  <c r="X47" i="70"/>
  <c r="N47" i="70"/>
  <c r="L47" i="70"/>
  <c r="B47" i="70"/>
  <c r="X46" i="70"/>
  <c r="T46" i="70"/>
  <c r="Z46" i="70" s="1"/>
  <c r="P46" i="70"/>
  <c r="N46" i="70"/>
  <c r="L46" i="70"/>
  <c r="J46" i="70"/>
  <c r="H46" i="70"/>
  <c r="D46" i="70"/>
  <c r="B46" i="70"/>
  <c r="Z45" i="70"/>
  <c r="X45" i="70"/>
  <c r="L45" i="70"/>
  <c r="N45" i="70" s="1"/>
  <c r="B45" i="70"/>
  <c r="T44" i="70"/>
  <c r="P44" i="70"/>
  <c r="H44" i="70"/>
  <c r="D44" i="70"/>
  <c r="B44" i="70"/>
  <c r="X43" i="70"/>
  <c r="Z43" i="70" s="1"/>
  <c r="N43" i="70"/>
  <c r="L43" i="70"/>
  <c r="B43" i="70"/>
  <c r="T42" i="70"/>
  <c r="P42" i="70"/>
  <c r="X42" i="70" s="1"/>
  <c r="Z42" i="70" s="1"/>
  <c r="H42" i="70"/>
  <c r="D42" i="70"/>
  <c r="L42" i="70" s="1"/>
  <c r="N42" i="70" s="1"/>
  <c r="B42" i="70"/>
  <c r="X41" i="70"/>
  <c r="Z41" i="70" s="1"/>
  <c r="N41" i="70"/>
  <c r="L41" i="70"/>
  <c r="B41" i="70"/>
  <c r="Z40" i="70"/>
  <c r="X40" i="70"/>
  <c r="T40" i="70"/>
  <c r="P40" i="70"/>
  <c r="L40" i="70"/>
  <c r="H40" i="70"/>
  <c r="D40" i="70"/>
  <c r="B40" i="70"/>
  <c r="X39" i="70"/>
  <c r="Z39" i="70" s="1"/>
  <c r="N39" i="70"/>
  <c r="L39" i="70"/>
  <c r="B39" i="70"/>
  <c r="T38" i="70"/>
  <c r="P38" i="70"/>
  <c r="H38" i="70"/>
  <c r="N38" i="70" s="1"/>
  <c r="D38" i="70"/>
  <c r="L38" i="70" s="1"/>
  <c r="B38" i="70"/>
  <c r="X37" i="70"/>
  <c r="Z37" i="70" s="1"/>
  <c r="N37" i="70"/>
  <c r="L37" i="70"/>
  <c r="B37" i="70"/>
  <c r="Z36" i="70"/>
  <c r="X36" i="70"/>
  <c r="N36" i="70"/>
  <c r="L36" i="70"/>
  <c r="B36" i="70"/>
  <c r="X35" i="70"/>
  <c r="Z35" i="70" s="1"/>
  <c r="N35" i="70"/>
  <c r="L35" i="70"/>
  <c r="B35" i="70"/>
  <c r="Z34" i="70"/>
  <c r="X34" i="70"/>
  <c r="L34" i="70"/>
  <c r="N34" i="70" s="1"/>
  <c r="B34" i="70"/>
  <c r="X33" i="70"/>
  <c r="Z33" i="70" s="1"/>
  <c r="L33" i="70"/>
  <c r="N33" i="70" s="1"/>
  <c r="B33" i="70"/>
  <c r="Z32" i="70"/>
  <c r="T32" i="70"/>
  <c r="P32" i="70"/>
  <c r="X32" i="70" s="1"/>
  <c r="H32" i="70"/>
  <c r="D32" i="70"/>
  <c r="L32" i="70" s="1"/>
  <c r="N32" i="70" s="1"/>
  <c r="B32" i="70"/>
  <c r="Z31" i="70"/>
  <c r="X31" i="70"/>
  <c r="L31" i="70"/>
  <c r="N31" i="70" s="1"/>
  <c r="B31" i="70"/>
  <c r="X30" i="70"/>
  <c r="Z30" i="70" s="1"/>
  <c r="L30" i="70"/>
  <c r="N30" i="70" s="1"/>
  <c r="B30" i="70"/>
  <c r="X29" i="70"/>
  <c r="Z29" i="70" s="1"/>
  <c r="L29" i="70"/>
  <c r="N29" i="70" s="1"/>
  <c r="B29" i="70"/>
  <c r="Z28" i="70"/>
  <c r="X28" i="70"/>
  <c r="V28" i="70"/>
  <c r="N28" i="70"/>
  <c r="L28" i="70"/>
  <c r="B28" i="70"/>
  <c r="Z27" i="70"/>
  <c r="X27" i="70"/>
  <c r="L27" i="70"/>
  <c r="N27" i="70" s="1"/>
  <c r="B27" i="70"/>
  <c r="X26" i="70"/>
  <c r="Z26" i="70" s="1"/>
  <c r="V26" i="70"/>
  <c r="L26" i="70"/>
  <c r="N26" i="70" s="1"/>
  <c r="B26" i="70"/>
  <c r="X25" i="70"/>
  <c r="Z25" i="70" s="1"/>
  <c r="N25" i="70"/>
  <c r="L25" i="70"/>
  <c r="B25" i="70"/>
  <c r="Z24" i="70"/>
  <c r="X24" i="70"/>
  <c r="N24" i="70"/>
  <c r="L24" i="70"/>
  <c r="B24" i="70"/>
  <c r="T23" i="70"/>
  <c r="P23" i="70"/>
  <c r="L23" i="70"/>
  <c r="N23" i="70" s="1"/>
  <c r="H23" i="70"/>
  <c r="D23" i="70"/>
  <c r="B23" i="70"/>
  <c r="T22" i="70"/>
  <c r="Z22" i="70" s="1"/>
  <c r="P22" i="70"/>
  <c r="X22" i="70" s="1"/>
  <c r="H22" i="70"/>
  <c r="D22" i="70"/>
  <c r="X18" i="70"/>
  <c r="Z18" i="70" s="1"/>
  <c r="N18" i="70"/>
  <c r="L18" i="70"/>
  <c r="B18" i="70"/>
  <c r="X17" i="70"/>
  <c r="Z17" i="70" s="1"/>
  <c r="L17" i="70"/>
  <c r="N17" i="70" s="1"/>
  <c r="B17" i="70"/>
  <c r="T16" i="70"/>
  <c r="Z16" i="70" s="1"/>
  <c r="P16" i="70"/>
  <c r="X16" i="70" s="1"/>
  <c r="H16" i="70"/>
  <c r="D16" i="70"/>
  <c r="L16" i="70" s="1"/>
  <c r="Z14" i="70"/>
  <c r="T14" i="70"/>
  <c r="P14" i="70"/>
  <c r="X14" i="70" s="1"/>
  <c r="N14" i="70"/>
  <c r="L14" i="70"/>
  <c r="H14" i="70"/>
  <c r="D14" i="70"/>
  <c r="B14" i="70"/>
  <c r="T13" i="70"/>
  <c r="P13" i="70"/>
  <c r="X13" i="70" s="1"/>
  <c r="Z13" i="70" s="1"/>
  <c r="H13" i="70"/>
  <c r="D13" i="70"/>
  <c r="B13" i="70"/>
  <c r="T12" i="70"/>
  <c r="H12" i="70"/>
  <c r="J62" i="70" s="1"/>
  <c r="D6" i="70"/>
  <c r="D4" i="70"/>
  <c r="Z130" i="69"/>
  <c r="X130" i="69"/>
  <c r="N130" i="69"/>
  <c r="L130" i="69"/>
  <c r="Z126" i="69"/>
  <c r="T126" i="69"/>
  <c r="T125" i="69" s="1"/>
  <c r="Z125" i="69" s="1"/>
  <c r="P126" i="69"/>
  <c r="H126" i="69"/>
  <c r="N126" i="69" s="1"/>
  <c r="D126" i="69"/>
  <c r="L126" i="69" s="1"/>
  <c r="B126" i="69"/>
  <c r="H125" i="69"/>
  <c r="N125" i="69" s="1"/>
  <c r="D125" i="69"/>
  <c r="L125" i="69" s="1"/>
  <c r="X123" i="69"/>
  <c r="Z123" i="69" s="1"/>
  <c r="N123" i="69"/>
  <c r="L123" i="69"/>
  <c r="B123" i="69"/>
  <c r="T122" i="69"/>
  <c r="P122" i="69"/>
  <c r="X122" i="69" s="1"/>
  <c r="Z122" i="69" s="1"/>
  <c r="N122" i="69"/>
  <c r="H122" i="69"/>
  <c r="D122" i="69"/>
  <c r="L122" i="69" s="1"/>
  <c r="B122" i="69"/>
  <c r="Z121" i="69"/>
  <c r="X121" i="69"/>
  <c r="N121" i="69"/>
  <c r="L121" i="69"/>
  <c r="B121" i="69"/>
  <c r="T120" i="69"/>
  <c r="X120" i="69" s="1"/>
  <c r="P120" i="69"/>
  <c r="H120" i="69"/>
  <c r="N120" i="69" s="1"/>
  <c r="D120" i="69"/>
  <c r="B120" i="69"/>
  <c r="Z119" i="69"/>
  <c r="X119" i="69"/>
  <c r="L119" i="69"/>
  <c r="N119" i="69" s="1"/>
  <c r="B119" i="69"/>
  <c r="T118" i="69"/>
  <c r="P118" i="69"/>
  <c r="N118" i="69"/>
  <c r="H118" i="69"/>
  <c r="D118" i="69"/>
  <c r="L118" i="69" s="1"/>
  <c r="B118" i="69"/>
  <c r="X117" i="69"/>
  <c r="Z117" i="69" s="1"/>
  <c r="N117" i="69"/>
  <c r="L117" i="69"/>
  <c r="B117" i="69"/>
  <c r="Z116" i="69"/>
  <c r="X116" i="69"/>
  <c r="N116" i="69"/>
  <c r="L116" i="69"/>
  <c r="B116" i="69"/>
  <c r="X115" i="69"/>
  <c r="Z115" i="69" s="1"/>
  <c r="N115" i="69"/>
  <c r="L115" i="69"/>
  <c r="B115" i="69"/>
  <c r="X114" i="69"/>
  <c r="Z114" i="69" s="1"/>
  <c r="T114" i="69"/>
  <c r="P114" i="69"/>
  <c r="L114" i="69"/>
  <c r="H114" i="69"/>
  <c r="N114" i="69" s="1"/>
  <c r="D114" i="69"/>
  <c r="B114" i="69"/>
  <c r="X113" i="69"/>
  <c r="Z113" i="69" s="1"/>
  <c r="N113" i="69"/>
  <c r="L113" i="69"/>
  <c r="B113" i="69"/>
  <c r="X112" i="69"/>
  <c r="Z112" i="69" s="1"/>
  <c r="N112" i="69"/>
  <c r="L112" i="69"/>
  <c r="B112" i="69"/>
  <c r="T111" i="69"/>
  <c r="P111" i="69"/>
  <c r="H111" i="69"/>
  <c r="D111" i="69"/>
  <c r="L111" i="69" s="1"/>
  <c r="N111" i="69" s="1"/>
  <c r="B111" i="69"/>
  <c r="X110" i="69"/>
  <c r="Z110" i="69" s="1"/>
  <c r="N110" i="69"/>
  <c r="L110" i="69"/>
  <c r="B110" i="69"/>
  <c r="X109" i="69"/>
  <c r="Z109" i="69" s="1"/>
  <c r="N109" i="69"/>
  <c r="L109" i="69"/>
  <c r="B109" i="69"/>
  <c r="Z108" i="69"/>
  <c r="T108" i="69"/>
  <c r="P108" i="69"/>
  <c r="X108" i="69" s="1"/>
  <c r="L108" i="69"/>
  <c r="H108" i="69"/>
  <c r="D108" i="69"/>
  <c r="B108" i="69"/>
  <c r="Z107" i="69"/>
  <c r="X107" i="69"/>
  <c r="N107" i="69"/>
  <c r="L107" i="69"/>
  <c r="B107" i="69"/>
  <c r="Z106" i="69"/>
  <c r="T106" i="69"/>
  <c r="P106" i="69"/>
  <c r="X106" i="69" s="1"/>
  <c r="N106" i="69"/>
  <c r="H106" i="69"/>
  <c r="D106" i="69"/>
  <c r="L106" i="69" s="1"/>
  <c r="B106" i="69"/>
  <c r="X105" i="69"/>
  <c r="Z105" i="69" s="1"/>
  <c r="N105" i="69"/>
  <c r="L105" i="69"/>
  <c r="B105" i="69"/>
  <c r="T104" i="69"/>
  <c r="X104" i="69" s="1"/>
  <c r="Z104" i="69" s="1"/>
  <c r="P104" i="69"/>
  <c r="N104" i="69"/>
  <c r="L104" i="69"/>
  <c r="H104" i="69"/>
  <c r="D104" i="69"/>
  <c r="B104" i="69"/>
  <c r="Z103" i="69"/>
  <c r="X103" i="69"/>
  <c r="L103" i="69"/>
  <c r="N103" i="69" s="1"/>
  <c r="B103" i="69"/>
  <c r="T102" i="69"/>
  <c r="P102" i="69"/>
  <c r="X102" i="69" s="1"/>
  <c r="H102" i="69"/>
  <c r="D102" i="69"/>
  <c r="B102" i="69"/>
  <c r="Z101" i="69"/>
  <c r="X101" i="69"/>
  <c r="N101" i="69"/>
  <c r="L101" i="69"/>
  <c r="B101" i="69"/>
  <c r="T100" i="69"/>
  <c r="Z100" i="69" s="1"/>
  <c r="P100" i="69"/>
  <c r="X100" i="69" s="1"/>
  <c r="N100" i="69"/>
  <c r="L100" i="69"/>
  <c r="H100" i="69"/>
  <c r="D100" i="69"/>
  <c r="B100" i="69"/>
  <c r="Z99" i="69"/>
  <c r="X99" i="69"/>
  <c r="N99" i="69"/>
  <c r="L99" i="69"/>
  <c r="B99" i="69"/>
  <c r="Z98" i="69"/>
  <c r="X98" i="69"/>
  <c r="L98" i="69"/>
  <c r="N98" i="69" s="1"/>
  <c r="B98" i="69"/>
  <c r="T97" i="69"/>
  <c r="P97" i="69"/>
  <c r="X97" i="69" s="1"/>
  <c r="H97" i="69"/>
  <c r="D97" i="69"/>
  <c r="B97" i="69"/>
  <c r="Z96" i="69"/>
  <c r="X96" i="69"/>
  <c r="L96" i="69"/>
  <c r="N96" i="69" s="1"/>
  <c r="B96" i="69"/>
  <c r="T95" i="69"/>
  <c r="P95" i="69"/>
  <c r="X95" i="69" s="1"/>
  <c r="Z95" i="69" s="1"/>
  <c r="L95" i="69"/>
  <c r="N95" i="69" s="1"/>
  <c r="H95" i="69"/>
  <c r="D95" i="69"/>
  <c r="B95" i="69"/>
  <c r="Z94" i="69"/>
  <c r="X94" i="69"/>
  <c r="L94" i="69"/>
  <c r="N94" i="69" s="1"/>
  <c r="B94" i="69"/>
  <c r="X93" i="69"/>
  <c r="Z93" i="69" s="1"/>
  <c r="T93" i="69"/>
  <c r="P93" i="69"/>
  <c r="H93" i="69"/>
  <c r="D93" i="69"/>
  <c r="B93" i="69"/>
  <c r="X92" i="69"/>
  <c r="Z92" i="69" s="1"/>
  <c r="N92" i="69"/>
  <c r="L92" i="69"/>
  <c r="B92" i="69"/>
  <c r="Z91" i="69"/>
  <c r="X91" i="69"/>
  <c r="N91" i="69"/>
  <c r="L91" i="69"/>
  <c r="B91" i="69"/>
  <c r="Z90" i="69"/>
  <c r="X90" i="69"/>
  <c r="N90" i="69"/>
  <c r="L90" i="69"/>
  <c r="B90" i="69"/>
  <c r="X89" i="69"/>
  <c r="Z89" i="69" s="1"/>
  <c r="N89" i="69"/>
  <c r="L89" i="69"/>
  <c r="B89" i="69"/>
  <c r="T88" i="69"/>
  <c r="P88" i="69"/>
  <c r="H88" i="69"/>
  <c r="D88" i="69"/>
  <c r="L88" i="69" s="1"/>
  <c r="N88" i="69" s="1"/>
  <c r="B88" i="69"/>
  <c r="X87" i="69"/>
  <c r="Z87" i="69" s="1"/>
  <c r="L87" i="69"/>
  <c r="N87" i="69" s="1"/>
  <c r="B87" i="69"/>
  <c r="X86" i="69"/>
  <c r="Z86" i="69" s="1"/>
  <c r="L86" i="69"/>
  <c r="N86" i="69" s="1"/>
  <c r="B86" i="69"/>
  <c r="Z85" i="69"/>
  <c r="X85" i="69"/>
  <c r="N85" i="69"/>
  <c r="L85" i="69"/>
  <c r="B85" i="69"/>
  <c r="Z84" i="69"/>
  <c r="X84" i="69"/>
  <c r="N84" i="69"/>
  <c r="L84" i="69"/>
  <c r="B84" i="69"/>
  <c r="X83" i="69"/>
  <c r="Z83" i="69" s="1"/>
  <c r="L83" i="69"/>
  <c r="N83" i="69" s="1"/>
  <c r="B83" i="69"/>
  <c r="X82" i="69"/>
  <c r="Z82" i="69" s="1"/>
  <c r="N82" i="69"/>
  <c r="L82" i="69"/>
  <c r="B82" i="69"/>
  <c r="Z81" i="69"/>
  <c r="X81" i="69"/>
  <c r="N81" i="69"/>
  <c r="L81" i="69"/>
  <c r="B81" i="69"/>
  <c r="Z80" i="69"/>
  <c r="X80" i="69"/>
  <c r="N80" i="69"/>
  <c r="L80" i="69"/>
  <c r="B80" i="69"/>
  <c r="T79" i="69"/>
  <c r="P79" i="69"/>
  <c r="X79" i="69" s="1"/>
  <c r="Z79" i="69" s="1"/>
  <c r="L79" i="69"/>
  <c r="N79" i="69" s="1"/>
  <c r="H79" i="69"/>
  <c r="D79" i="69"/>
  <c r="B79" i="69"/>
  <c r="X78" i="69"/>
  <c r="Z78" i="69" s="1"/>
  <c r="T78" i="69"/>
  <c r="P78" i="69"/>
  <c r="H78" i="69"/>
  <c r="D78" i="69"/>
  <c r="X74" i="69"/>
  <c r="Z74" i="69" s="1"/>
  <c r="N74" i="69"/>
  <c r="L74" i="69"/>
  <c r="B74" i="69"/>
  <c r="Z73" i="69"/>
  <c r="X73" i="69"/>
  <c r="L73" i="69"/>
  <c r="N73" i="69" s="1"/>
  <c r="B73" i="69"/>
  <c r="Z72" i="69"/>
  <c r="X72" i="69"/>
  <c r="N72" i="69"/>
  <c r="L72" i="69"/>
  <c r="B72" i="69"/>
  <c r="Z71" i="69"/>
  <c r="X71" i="69"/>
  <c r="N71" i="69"/>
  <c r="L71" i="69"/>
  <c r="B71" i="69"/>
  <c r="Z70" i="69"/>
  <c r="X70" i="69"/>
  <c r="L70" i="69"/>
  <c r="N70" i="69" s="1"/>
  <c r="B70" i="69"/>
  <c r="X69" i="69"/>
  <c r="Z69" i="69" s="1"/>
  <c r="N69" i="69"/>
  <c r="L69" i="69"/>
  <c r="B69" i="69"/>
  <c r="X68" i="69"/>
  <c r="Z68" i="69" s="1"/>
  <c r="N68" i="69"/>
  <c r="L68" i="69"/>
  <c r="B68" i="69"/>
  <c r="X67" i="69"/>
  <c r="Z67" i="69" s="1"/>
  <c r="N67" i="69"/>
  <c r="L67" i="69"/>
  <c r="B67" i="69"/>
  <c r="X66" i="69"/>
  <c r="Z66" i="69" s="1"/>
  <c r="N66" i="69"/>
  <c r="L66" i="69"/>
  <c r="B66" i="69"/>
  <c r="Z65" i="69"/>
  <c r="X65" i="69"/>
  <c r="N65" i="69"/>
  <c r="L65" i="69"/>
  <c r="B65" i="69"/>
  <c r="Z64" i="69"/>
  <c r="X64" i="69"/>
  <c r="N64" i="69"/>
  <c r="L64" i="69"/>
  <c r="B64" i="69"/>
  <c r="X63" i="69"/>
  <c r="Z63" i="69" s="1"/>
  <c r="N63" i="69"/>
  <c r="L63" i="69"/>
  <c r="B63" i="69"/>
  <c r="Z62" i="69"/>
  <c r="X62" i="69"/>
  <c r="L62" i="69"/>
  <c r="N62" i="69" s="1"/>
  <c r="B62" i="69"/>
  <c r="X61" i="69"/>
  <c r="Z61" i="69" s="1"/>
  <c r="L61" i="69"/>
  <c r="N61" i="69" s="1"/>
  <c r="B61" i="69"/>
  <c r="X60" i="69"/>
  <c r="Z60" i="69" s="1"/>
  <c r="N60" i="69"/>
  <c r="L60" i="69"/>
  <c r="B60" i="69"/>
  <c r="X59" i="69"/>
  <c r="Z59" i="69" s="1"/>
  <c r="N59" i="69"/>
  <c r="L59" i="69"/>
  <c r="B59" i="69"/>
  <c r="Z58" i="69"/>
  <c r="X58" i="69"/>
  <c r="L58" i="69"/>
  <c r="N58" i="69" s="1"/>
  <c r="B58" i="69"/>
  <c r="X57" i="69"/>
  <c r="Z57" i="69" s="1"/>
  <c r="L57" i="69"/>
  <c r="N57" i="69" s="1"/>
  <c r="B57" i="69"/>
  <c r="X56" i="69"/>
  <c r="Z56" i="69" s="1"/>
  <c r="N56" i="69"/>
  <c r="L56" i="69"/>
  <c r="B56" i="69"/>
  <c r="X55" i="69"/>
  <c r="Z55" i="69" s="1"/>
  <c r="N55" i="69"/>
  <c r="L55" i="69"/>
  <c r="B55" i="69"/>
  <c r="Z54" i="69"/>
  <c r="X54" i="69"/>
  <c r="N54" i="69"/>
  <c r="L54" i="69"/>
  <c r="B54" i="69"/>
  <c r="T53" i="69"/>
  <c r="P53" i="69"/>
  <c r="X53" i="69" s="1"/>
  <c r="H53" i="69"/>
  <c r="L53" i="69" s="1"/>
  <c r="D53" i="69"/>
  <c r="X51" i="69"/>
  <c r="T51" i="69"/>
  <c r="Z51" i="69" s="1"/>
  <c r="P51" i="69"/>
  <c r="N51" i="69"/>
  <c r="L51" i="69"/>
  <c r="H51" i="69"/>
  <c r="D51" i="69"/>
  <c r="B51" i="69"/>
  <c r="Z50" i="69"/>
  <c r="X50" i="69"/>
  <c r="T50" i="69"/>
  <c r="P50" i="69"/>
  <c r="N50" i="69"/>
  <c r="L50" i="69"/>
  <c r="H50" i="69"/>
  <c r="D50" i="69"/>
  <c r="B50" i="69"/>
  <c r="T49" i="69"/>
  <c r="Z49" i="69" s="1"/>
  <c r="P49" i="69"/>
  <c r="X49" i="69" s="1"/>
  <c r="H49" i="69"/>
  <c r="D49" i="69"/>
  <c r="L49" i="69" s="1"/>
  <c r="N49" i="69" s="1"/>
  <c r="B49" i="69"/>
  <c r="T48" i="69"/>
  <c r="P48" i="69"/>
  <c r="H48" i="69"/>
  <c r="N48" i="69" s="1"/>
  <c r="D48" i="69"/>
  <c r="L48" i="69" s="1"/>
  <c r="B48" i="69"/>
  <c r="X47" i="69"/>
  <c r="T47" i="69"/>
  <c r="Z47" i="69" s="1"/>
  <c r="P47" i="69"/>
  <c r="N47" i="69"/>
  <c r="L47" i="69"/>
  <c r="H47" i="69"/>
  <c r="D47" i="69"/>
  <c r="B47" i="69"/>
  <c r="X46" i="69"/>
  <c r="Z46" i="69" s="1"/>
  <c r="T46" i="69"/>
  <c r="P46" i="69"/>
  <c r="N46" i="69"/>
  <c r="L46" i="69"/>
  <c r="H46" i="69"/>
  <c r="D46" i="69"/>
  <c r="B46" i="69"/>
  <c r="T45" i="69"/>
  <c r="Z45" i="69" s="1"/>
  <c r="P45" i="69"/>
  <c r="X45" i="69" s="1"/>
  <c r="N45" i="69"/>
  <c r="H45" i="69"/>
  <c r="D45" i="69"/>
  <c r="L45" i="69" s="1"/>
  <c r="B45" i="69"/>
  <c r="T44" i="69"/>
  <c r="P44" i="69"/>
  <c r="H44" i="69"/>
  <c r="N44" i="69" s="1"/>
  <c r="D44" i="69"/>
  <c r="L44" i="69" s="1"/>
  <c r="B44" i="69"/>
  <c r="X43" i="69"/>
  <c r="T43" i="69"/>
  <c r="Z43" i="69" s="1"/>
  <c r="P43" i="69"/>
  <c r="N43" i="69"/>
  <c r="L43" i="69"/>
  <c r="H43" i="69"/>
  <c r="D43" i="69"/>
  <c r="B43" i="69"/>
  <c r="X42" i="69"/>
  <c r="Z42" i="69" s="1"/>
  <c r="T42" i="69"/>
  <c r="P42" i="69"/>
  <c r="N42" i="69"/>
  <c r="L42" i="69"/>
  <c r="H42" i="69"/>
  <c r="D42" i="69"/>
  <c r="B42" i="69"/>
  <c r="T41" i="69"/>
  <c r="Z41" i="69" s="1"/>
  <c r="P41" i="69"/>
  <c r="X41" i="69" s="1"/>
  <c r="H41" i="69"/>
  <c r="D41" i="69"/>
  <c r="L41" i="69" s="1"/>
  <c r="N41" i="69" s="1"/>
  <c r="B41" i="69"/>
  <c r="T40" i="69"/>
  <c r="P40" i="69"/>
  <c r="H40" i="69"/>
  <c r="N40" i="69" s="1"/>
  <c r="D40" i="69"/>
  <c r="L40" i="69" s="1"/>
  <c r="B40" i="69"/>
  <c r="X39" i="69"/>
  <c r="T39" i="69"/>
  <c r="Z39" i="69" s="1"/>
  <c r="P39" i="69"/>
  <c r="N39" i="69"/>
  <c r="L39" i="69"/>
  <c r="H39" i="69"/>
  <c r="D39" i="69"/>
  <c r="B39" i="69"/>
  <c r="X38" i="69"/>
  <c r="Z38" i="69" s="1"/>
  <c r="T38" i="69"/>
  <c r="P38" i="69"/>
  <c r="N38" i="69"/>
  <c r="L38" i="69"/>
  <c r="H38" i="69"/>
  <c r="D38" i="69"/>
  <c r="B38" i="69"/>
  <c r="T37" i="69"/>
  <c r="Z37" i="69" s="1"/>
  <c r="P37" i="69"/>
  <c r="X37" i="69" s="1"/>
  <c r="H37" i="69"/>
  <c r="D37" i="69"/>
  <c r="L37" i="69" s="1"/>
  <c r="N37" i="69" s="1"/>
  <c r="B37" i="69"/>
  <c r="T36" i="69"/>
  <c r="P36" i="69"/>
  <c r="H36" i="69"/>
  <c r="N36" i="69" s="1"/>
  <c r="D36" i="69"/>
  <c r="L36" i="69" s="1"/>
  <c r="B36" i="69"/>
  <c r="X35" i="69"/>
  <c r="T35" i="69"/>
  <c r="Z35" i="69" s="1"/>
  <c r="P35" i="69"/>
  <c r="N35" i="69"/>
  <c r="L35" i="69"/>
  <c r="H35" i="69"/>
  <c r="D35" i="69"/>
  <c r="B35" i="69"/>
  <c r="X34" i="69"/>
  <c r="Z34" i="69" s="1"/>
  <c r="T34" i="69"/>
  <c r="P34" i="69"/>
  <c r="N34" i="69"/>
  <c r="L34" i="69"/>
  <c r="H34" i="69"/>
  <c r="D34" i="69"/>
  <c r="B34" i="69"/>
  <c r="T33" i="69"/>
  <c r="P33" i="69"/>
  <c r="X33" i="69" s="1"/>
  <c r="N33" i="69"/>
  <c r="H33" i="69"/>
  <c r="D33" i="69"/>
  <c r="L33" i="69" s="1"/>
  <c r="B33" i="69"/>
  <c r="T32" i="69"/>
  <c r="P32" i="69"/>
  <c r="H32" i="69"/>
  <c r="N32" i="69" s="1"/>
  <c r="D32" i="69"/>
  <c r="L32" i="69" s="1"/>
  <c r="B32" i="69"/>
  <c r="X31" i="69"/>
  <c r="T31" i="69"/>
  <c r="Z31" i="69" s="1"/>
  <c r="P31" i="69"/>
  <c r="L31" i="69"/>
  <c r="N31" i="69" s="1"/>
  <c r="H31" i="69"/>
  <c r="D31" i="69"/>
  <c r="B31" i="69"/>
  <c r="X30" i="69"/>
  <c r="Z30" i="69" s="1"/>
  <c r="T30" i="69"/>
  <c r="P30" i="69"/>
  <c r="N30" i="69"/>
  <c r="L30" i="69"/>
  <c r="H30" i="69"/>
  <c r="D30" i="69"/>
  <c r="B30" i="69"/>
  <c r="T29" i="69"/>
  <c r="P29" i="69"/>
  <c r="X29" i="69" s="1"/>
  <c r="H29" i="69"/>
  <c r="D29" i="69"/>
  <c r="L29" i="69" s="1"/>
  <c r="N29" i="69" s="1"/>
  <c r="B29" i="69"/>
  <c r="T28" i="69"/>
  <c r="P28" i="69"/>
  <c r="H28" i="69"/>
  <c r="N28" i="69" s="1"/>
  <c r="D28" i="69"/>
  <c r="L28" i="69" s="1"/>
  <c r="B28" i="69"/>
  <c r="X27" i="69"/>
  <c r="T27" i="69"/>
  <c r="Z27" i="69" s="1"/>
  <c r="P27" i="69"/>
  <c r="L27" i="69"/>
  <c r="N27" i="69" s="1"/>
  <c r="H27" i="69"/>
  <c r="D27" i="69"/>
  <c r="B27" i="69"/>
  <c r="Z26" i="69"/>
  <c r="X26" i="69"/>
  <c r="T26" i="69"/>
  <c r="P26" i="69"/>
  <c r="N26" i="69"/>
  <c r="L26" i="69"/>
  <c r="H26" i="69"/>
  <c r="D26" i="69"/>
  <c r="B26" i="69"/>
  <c r="T25" i="69"/>
  <c r="P25" i="69"/>
  <c r="X25" i="69" s="1"/>
  <c r="H25" i="69"/>
  <c r="D25" i="69"/>
  <c r="L25" i="69" s="1"/>
  <c r="N25" i="69" s="1"/>
  <c r="B25" i="69"/>
  <c r="T24" i="69"/>
  <c r="P24" i="69"/>
  <c r="H24" i="69"/>
  <c r="D24" i="69"/>
  <c r="L24" i="69" s="1"/>
  <c r="B24" i="69"/>
  <c r="X23" i="69"/>
  <c r="T23" i="69"/>
  <c r="Z23" i="69" s="1"/>
  <c r="P23" i="69"/>
  <c r="L23" i="69"/>
  <c r="N23" i="69" s="1"/>
  <c r="H23" i="69"/>
  <c r="D23" i="69"/>
  <c r="B23" i="69"/>
  <c r="X22" i="69"/>
  <c r="Z22" i="69" s="1"/>
  <c r="T22" i="69"/>
  <c r="P22" i="69"/>
  <c r="N22" i="69"/>
  <c r="L22" i="69"/>
  <c r="H22" i="69"/>
  <c r="D22" i="69"/>
  <c r="B22" i="69"/>
  <c r="T21" i="69"/>
  <c r="Z21" i="69" s="1"/>
  <c r="P21" i="69"/>
  <c r="X21" i="69" s="1"/>
  <c r="H21" i="69"/>
  <c r="D21" i="69"/>
  <c r="L21" i="69" s="1"/>
  <c r="N21" i="69" s="1"/>
  <c r="B21" i="69"/>
  <c r="T20" i="69"/>
  <c r="P20" i="69"/>
  <c r="H20" i="69"/>
  <c r="D20" i="69"/>
  <c r="L20" i="69" s="1"/>
  <c r="B20" i="69"/>
  <c r="X19" i="69"/>
  <c r="T19" i="69"/>
  <c r="Z19" i="69" s="1"/>
  <c r="P19" i="69"/>
  <c r="L19" i="69"/>
  <c r="N19" i="69" s="1"/>
  <c r="H19" i="69"/>
  <c r="D19" i="69"/>
  <c r="B19" i="69"/>
  <c r="X18" i="69"/>
  <c r="Z18" i="69" s="1"/>
  <c r="T18" i="69"/>
  <c r="P18" i="69"/>
  <c r="N18" i="69"/>
  <c r="L18" i="69"/>
  <c r="H18" i="69"/>
  <c r="D18" i="69"/>
  <c r="B18" i="69"/>
  <c r="T17" i="69"/>
  <c r="P17" i="69"/>
  <c r="X17" i="69" s="1"/>
  <c r="H17" i="69"/>
  <c r="D17" i="69"/>
  <c r="L17" i="69" s="1"/>
  <c r="N17" i="69" s="1"/>
  <c r="B17" i="69"/>
  <c r="T16" i="69"/>
  <c r="P16" i="69"/>
  <c r="L16" i="69"/>
  <c r="H16" i="69"/>
  <c r="N16" i="69" s="1"/>
  <c r="D16" i="69"/>
  <c r="B16" i="69"/>
  <c r="X15" i="69"/>
  <c r="T15" i="69"/>
  <c r="Z15" i="69" s="1"/>
  <c r="P15" i="69"/>
  <c r="N15" i="69"/>
  <c r="L15" i="69"/>
  <c r="H15" i="69"/>
  <c r="D15" i="69"/>
  <c r="B15" i="69"/>
  <c r="Z14" i="69"/>
  <c r="X14" i="69"/>
  <c r="T14" i="69"/>
  <c r="P14" i="69"/>
  <c r="N14" i="69"/>
  <c r="L14" i="69"/>
  <c r="H14" i="69"/>
  <c r="H12" i="69" s="1"/>
  <c r="J130" i="69" s="1"/>
  <c r="D14" i="69"/>
  <c r="B14" i="69"/>
  <c r="T13" i="69"/>
  <c r="Z13" i="69" s="1"/>
  <c r="P13" i="69"/>
  <c r="X13" i="69" s="1"/>
  <c r="H13" i="69"/>
  <c r="D13" i="69"/>
  <c r="D12" i="69" s="1"/>
  <c r="F68" i="69" s="1"/>
  <c r="B13" i="69"/>
  <c r="T12" i="69"/>
  <c r="V62" i="69" s="1"/>
  <c r="D6" i="69"/>
  <c r="D4" i="69"/>
  <c r="R68" i="68"/>
  <c r="R65" i="68"/>
  <c r="Z63" i="68"/>
  <c r="X63" i="68"/>
  <c r="R63" i="68"/>
  <c r="N63" i="68"/>
  <c r="L63" i="68"/>
  <c r="R61" i="68"/>
  <c r="J61" i="68"/>
  <c r="Z59" i="68"/>
  <c r="T59" i="68"/>
  <c r="R59" i="68"/>
  <c r="P59" i="68"/>
  <c r="X59" i="68" s="1"/>
  <c r="N59" i="68"/>
  <c r="J59" i="68"/>
  <c r="H59" i="68"/>
  <c r="D59" i="68"/>
  <c r="L59" i="68" s="1"/>
  <c r="X57" i="68"/>
  <c r="Z57" i="68" s="1"/>
  <c r="R57" i="68"/>
  <c r="N57" i="68"/>
  <c r="L57" i="68"/>
  <c r="B57" i="68"/>
  <c r="T56" i="68"/>
  <c r="X56" i="68" s="1"/>
  <c r="R56" i="68"/>
  <c r="P56" i="68"/>
  <c r="H56" i="68"/>
  <c r="N56" i="68" s="1"/>
  <c r="D56" i="68"/>
  <c r="L56" i="68" s="1"/>
  <c r="B56" i="68"/>
  <c r="X55" i="68"/>
  <c r="Z55" i="68" s="1"/>
  <c r="R55" i="68"/>
  <c r="L55" i="68"/>
  <c r="N55" i="68" s="1"/>
  <c r="B55" i="68"/>
  <c r="X54" i="68"/>
  <c r="Z54" i="68" s="1"/>
  <c r="T54" i="68"/>
  <c r="R54" i="68"/>
  <c r="P54" i="68"/>
  <c r="H54" i="68"/>
  <c r="D54" i="68"/>
  <c r="L54" i="68" s="1"/>
  <c r="B54" i="68"/>
  <c r="Z53" i="68"/>
  <c r="X53" i="68"/>
  <c r="R53" i="68"/>
  <c r="N53" i="68"/>
  <c r="L53" i="68"/>
  <c r="B53" i="68"/>
  <c r="Z52" i="68"/>
  <c r="X52" i="68"/>
  <c r="R52" i="68"/>
  <c r="N52" i="68"/>
  <c r="L52" i="68"/>
  <c r="B52" i="68"/>
  <c r="X51" i="68"/>
  <c r="Z51" i="68" s="1"/>
  <c r="R51" i="68"/>
  <c r="N51" i="68"/>
  <c r="L51" i="68"/>
  <c r="J51" i="68"/>
  <c r="B51" i="68"/>
  <c r="Z50" i="68"/>
  <c r="X50" i="68"/>
  <c r="N50" i="68"/>
  <c r="L50" i="68"/>
  <c r="B50" i="68"/>
  <c r="Z49" i="68"/>
  <c r="X49" i="68"/>
  <c r="R49" i="68"/>
  <c r="N49" i="68"/>
  <c r="L49" i="68"/>
  <c r="B49" i="68"/>
  <c r="T48" i="68"/>
  <c r="P48" i="68"/>
  <c r="H48" i="68"/>
  <c r="D48" i="68"/>
  <c r="L48" i="68" s="1"/>
  <c r="N48" i="68" s="1"/>
  <c r="B48" i="68"/>
  <c r="Z47" i="68"/>
  <c r="X47" i="68"/>
  <c r="V47" i="68"/>
  <c r="N47" i="68"/>
  <c r="L47" i="68"/>
  <c r="B47" i="68"/>
  <c r="X46" i="68"/>
  <c r="Z46" i="68" s="1"/>
  <c r="R46" i="68"/>
  <c r="N46" i="68"/>
  <c r="L46" i="68"/>
  <c r="B46" i="68"/>
  <c r="T45" i="68"/>
  <c r="R45" i="68"/>
  <c r="P45" i="68"/>
  <c r="X45" i="68" s="1"/>
  <c r="Z45" i="68" s="1"/>
  <c r="N45" i="68"/>
  <c r="J45" i="68"/>
  <c r="H45" i="68"/>
  <c r="D45" i="68"/>
  <c r="L45" i="68" s="1"/>
  <c r="B45" i="68"/>
  <c r="Z44" i="68"/>
  <c r="X44" i="68"/>
  <c r="R44" i="68"/>
  <c r="N44" i="68"/>
  <c r="L44" i="68"/>
  <c r="F44" i="68"/>
  <c r="B44" i="68"/>
  <c r="T43" i="68"/>
  <c r="Z43" i="68" s="1"/>
  <c r="P43" i="68"/>
  <c r="N43" i="68"/>
  <c r="L43" i="68"/>
  <c r="H43" i="68"/>
  <c r="F43" i="68"/>
  <c r="D43" i="68"/>
  <c r="B43" i="68"/>
  <c r="Z42" i="68"/>
  <c r="X42" i="68"/>
  <c r="N42" i="68"/>
  <c r="L42" i="68"/>
  <c r="B42" i="68"/>
  <c r="T41" i="68"/>
  <c r="R41" i="68"/>
  <c r="P41" i="68"/>
  <c r="X41" i="68" s="1"/>
  <c r="Z41" i="68" s="1"/>
  <c r="H41" i="68"/>
  <c r="N41" i="68" s="1"/>
  <c r="D41" i="68"/>
  <c r="L41" i="68" s="1"/>
  <c r="B41" i="68"/>
  <c r="X40" i="68"/>
  <c r="Z40" i="68" s="1"/>
  <c r="R40" i="68"/>
  <c r="N40" i="68"/>
  <c r="L40" i="68"/>
  <c r="F40" i="68"/>
  <c r="B40" i="68"/>
  <c r="V39" i="68"/>
  <c r="T39" i="68"/>
  <c r="R39" i="68"/>
  <c r="P39" i="68"/>
  <c r="X39" i="68" s="1"/>
  <c r="Z39" i="68" s="1"/>
  <c r="N39" i="68"/>
  <c r="H39" i="68"/>
  <c r="F39" i="68"/>
  <c r="D39" i="68"/>
  <c r="L39" i="68" s="1"/>
  <c r="B39" i="68"/>
  <c r="X38" i="68"/>
  <c r="Z38" i="68" s="1"/>
  <c r="R38" i="68"/>
  <c r="N38" i="68"/>
  <c r="L38" i="68"/>
  <c r="B38" i="68"/>
  <c r="Z37" i="68"/>
  <c r="X37" i="68"/>
  <c r="T37" i="68"/>
  <c r="R37" i="68"/>
  <c r="P37" i="68"/>
  <c r="H37" i="68"/>
  <c r="N37" i="68" s="1"/>
  <c r="D37" i="68"/>
  <c r="B37" i="68"/>
  <c r="Z36" i="68"/>
  <c r="X36" i="68"/>
  <c r="R36" i="68"/>
  <c r="L36" i="68"/>
  <c r="N36" i="68" s="1"/>
  <c r="B36" i="68"/>
  <c r="V35" i="68"/>
  <c r="T35" i="68"/>
  <c r="R35" i="68"/>
  <c r="P35" i="68"/>
  <c r="X35" i="68" s="1"/>
  <c r="H35" i="68"/>
  <c r="D35" i="68"/>
  <c r="L35" i="68" s="1"/>
  <c r="N35" i="68" s="1"/>
  <c r="B35" i="68"/>
  <c r="X34" i="68"/>
  <c r="Z34" i="68" s="1"/>
  <c r="R34" i="68"/>
  <c r="L34" i="68"/>
  <c r="N34" i="68" s="1"/>
  <c r="B34" i="68"/>
  <c r="X33" i="68"/>
  <c r="Z33" i="68" s="1"/>
  <c r="R33" i="68"/>
  <c r="N33" i="68"/>
  <c r="L33" i="68"/>
  <c r="B33" i="68"/>
  <c r="X32" i="68"/>
  <c r="Z32" i="68" s="1"/>
  <c r="R32" i="68"/>
  <c r="N32" i="68"/>
  <c r="L32" i="68"/>
  <c r="F32" i="68"/>
  <c r="B32" i="68"/>
  <c r="Z31" i="68"/>
  <c r="X31" i="68"/>
  <c r="V31" i="68"/>
  <c r="L31" i="68"/>
  <c r="N31" i="68" s="1"/>
  <c r="F31" i="68"/>
  <c r="B31" i="68"/>
  <c r="X30" i="68"/>
  <c r="Z30" i="68" s="1"/>
  <c r="R30" i="68"/>
  <c r="L30" i="68"/>
  <c r="N30" i="68" s="1"/>
  <c r="B30" i="68"/>
  <c r="T29" i="68"/>
  <c r="R29" i="68"/>
  <c r="P29" i="68"/>
  <c r="X29" i="68" s="1"/>
  <c r="Z29" i="68" s="1"/>
  <c r="J29" i="68"/>
  <c r="H29" i="68"/>
  <c r="D29" i="68"/>
  <c r="L29" i="68" s="1"/>
  <c r="N29" i="68" s="1"/>
  <c r="B29" i="68"/>
  <c r="Z28" i="68"/>
  <c r="X28" i="68"/>
  <c r="R28" i="68"/>
  <c r="N28" i="68"/>
  <c r="L28" i="68"/>
  <c r="F28" i="68"/>
  <c r="B28" i="68"/>
  <c r="X27" i="68"/>
  <c r="Z27" i="68" s="1"/>
  <c r="R27" i="68"/>
  <c r="L27" i="68"/>
  <c r="N27" i="68" s="1"/>
  <c r="J27" i="68"/>
  <c r="F27" i="68"/>
  <c r="B27" i="68"/>
  <c r="X26" i="68"/>
  <c r="Z26" i="68" s="1"/>
  <c r="R26" i="68"/>
  <c r="N26" i="68"/>
  <c r="L26" i="68"/>
  <c r="B26" i="68"/>
  <c r="Z25" i="68"/>
  <c r="X25" i="68"/>
  <c r="R25" i="68"/>
  <c r="N25" i="68"/>
  <c r="L25" i="68"/>
  <c r="F25" i="68"/>
  <c r="B25" i="68"/>
  <c r="Z24" i="68"/>
  <c r="X24" i="68"/>
  <c r="R24" i="68"/>
  <c r="N24" i="68"/>
  <c r="L24" i="68"/>
  <c r="F24" i="68"/>
  <c r="B24" i="68"/>
  <c r="X23" i="68"/>
  <c r="Z23" i="68" s="1"/>
  <c r="R23" i="68"/>
  <c r="L23" i="68"/>
  <c r="N23" i="68" s="1"/>
  <c r="J23" i="68"/>
  <c r="F23" i="68"/>
  <c r="B23" i="68"/>
  <c r="X22" i="68"/>
  <c r="Z22" i="68" s="1"/>
  <c r="R22" i="68"/>
  <c r="N22" i="68"/>
  <c r="L22" i="68"/>
  <c r="B22" i="68"/>
  <c r="Z21" i="68"/>
  <c r="X21" i="68"/>
  <c r="R21" i="68"/>
  <c r="N21" i="68"/>
  <c r="L21" i="68"/>
  <c r="F21" i="68"/>
  <c r="B21" i="68"/>
  <c r="Z20" i="68"/>
  <c r="X20" i="68"/>
  <c r="R20" i="68"/>
  <c r="N20" i="68"/>
  <c r="L20" i="68"/>
  <c r="F20" i="68"/>
  <c r="B20" i="68"/>
  <c r="T19" i="68"/>
  <c r="P19" i="68"/>
  <c r="N19" i="68"/>
  <c r="L19" i="68"/>
  <c r="H19" i="68"/>
  <c r="F19" i="68"/>
  <c r="D19" i="68"/>
  <c r="B19" i="68"/>
  <c r="T18" i="68"/>
  <c r="R18" i="68"/>
  <c r="P18" i="68"/>
  <c r="X18" i="68" s="1"/>
  <c r="Z18" i="68" s="1"/>
  <c r="H18" i="68"/>
  <c r="D18" i="68"/>
  <c r="R16" i="68"/>
  <c r="H16" i="68"/>
  <c r="Z14" i="68"/>
  <c r="T14" i="68"/>
  <c r="R14" i="68"/>
  <c r="P14" i="68"/>
  <c r="X14" i="68" s="1"/>
  <c r="H14" i="68"/>
  <c r="D14" i="68"/>
  <c r="T12" i="68"/>
  <c r="V53" i="68" s="1"/>
  <c r="P12" i="68"/>
  <c r="R50" i="68" s="1"/>
  <c r="L12" i="68"/>
  <c r="H12" i="68"/>
  <c r="J63" i="68" s="1"/>
  <c r="D12" i="68"/>
  <c r="F61" i="68" s="1"/>
  <c r="D6" i="68"/>
  <c r="D4" i="68"/>
  <c r="Z103" i="64"/>
  <c r="X103" i="64"/>
  <c r="N103" i="64"/>
  <c r="L103" i="64"/>
  <c r="T99" i="64"/>
  <c r="P99" i="64"/>
  <c r="X99" i="64" s="1"/>
  <c r="Z99" i="64" s="1"/>
  <c r="H99" i="64"/>
  <c r="D99" i="64"/>
  <c r="B99" i="64"/>
  <c r="X98" i="64"/>
  <c r="Z98" i="64" s="1"/>
  <c r="T98" i="64"/>
  <c r="P98" i="64"/>
  <c r="J98" i="64"/>
  <c r="H98" i="64"/>
  <c r="D98" i="64"/>
  <c r="L98" i="64" s="1"/>
  <c r="N98" i="64" s="1"/>
  <c r="B98" i="64"/>
  <c r="T97" i="64"/>
  <c r="Z97" i="64" s="1"/>
  <c r="P97" i="64"/>
  <c r="X97" i="64" s="1"/>
  <c r="L97" i="64"/>
  <c r="N97" i="64" s="1"/>
  <c r="H97" i="64"/>
  <c r="D97" i="64"/>
  <c r="B97" i="64"/>
  <c r="D96" i="64"/>
  <c r="X94" i="64"/>
  <c r="Z94" i="64" s="1"/>
  <c r="N94" i="64"/>
  <c r="L94" i="64"/>
  <c r="B94" i="64"/>
  <c r="T93" i="64"/>
  <c r="P93" i="64"/>
  <c r="X93" i="64" s="1"/>
  <c r="Z93" i="64" s="1"/>
  <c r="H93" i="64"/>
  <c r="D93" i="64"/>
  <c r="B93" i="64"/>
  <c r="X92" i="64"/>
  <c r="Z92" i="64" s="1"/>
  <c r="N92" i="64"/>
  <c r="L92" i="64"/>
  <c r="B92" i="64"/>
  <c r="Z91" i="64"/>
  <c r="X91" i="64"/>
  <c r="N91" i="64"/>
  <c r="L91" i="64"/>
  <c r="B91" i="64"/>
  <c r="Z90" i="64"/>
  <c r="X90" i="64"/>
  <c r="L90" i="64"/>
  <c r="N90" i="64" s="1"/>
  <c r="B90" i="64"/>
  <c r="T89" i="64"/>
  <c r="P89" i="64"/>
  <c r="X89" i="64" s="1"/>
  <c r="H89" i="64"/>
  <c r="L89" i="64" s="1"/>
  <c r="D89" i="64"/>
  <c r="B89" i="64"/>
  <c r="Z88" i="64"/>
  <c r="X88" i="64"/>
  <c r="N88" i="64"/>
  <c r="L88" i="64"/>
  <c r="B88" i="64"/>
  <c r="T87" i="64"/>
  <c r="P87" i="64"/>
  <c r="L87" i="64"/>
  <c r="H87" i="64"/>
  <c r="N87" i="64" s="1"/>
  <c r="D87" i="64"/>
  <c r="B87" i="64"/>
  <c r="X86" i="64"/>
  <c r="Z86" i="64" s="1"/>
  <c r="N86" i="64"/>
  <c r="L86" i="64"/>
  <c r="B86" i="64"/>
  <c r="T85" i="64"/>
  <c r="P85" i="64"/>
  <c r="X85" i="64" s="1"/>
  <c r="Z85" i="64" s="1"/>
  <c r="H85" i="64"/>
  <c r="D85" i="64"/>
  <c r="B85" i="64"/>
  <c r="X84" i="64"/>
  <c r="Z84" i="64" s="1"/>
  <c r="N84" i="64"/>
  <c r="L84" i="64"/>
  <c r="B84" i="64"/>
  <c r="X83" i="64"/>
  <c r="Z83" i="64" s="1"/>
  <c r="N83" i="64"/>
  <c r="L83" i="64"/>
  <c r="F83" i="64"/>
  <c r="B83" i="64"/>
  <c r="Z82" i="64"/>
  <c r="X82" i="64"/>
  <c r="N82" i="64"/>
  <c r="L82" i="64"/>
  <c r="B82" i="64"/>
  <c r="X81" i="64"/>
  <c r="Z81" i="64" s="1"/>
  <c r="L81" i="64"/>
  <c r="N81" i="64" s="1"/>
  <c r="B81" i="64"/>
  <c r="X80" i="64"/>
  <c r="Z80" i="64" s="1"/>
  <c r="N80" i="64"/>
  <c r="L80" i="64"/>
  <c r="B80" i="64"/>
  <c r="X79" i="64"/>
  <c r="Z79" i="64" s="1"/>
  <c r="N79" i="64"/>
  <c r="L79" i="64"/>
  <c r="B79" i="64"/>
  <c r="T78" i="64"/>
  <c r="P78" i="64"/>
  <c r="X78" i="64" s="1"/>
  <c r="Z78" i="64" s="1"/>
  <c r="L78" i="64"/>
  <c r="N78" i="64" s="1"/>
  <c r="H78" i="64"/>
  <c r="D78" i="64"/>
  <c r="B78" i="64"/>
  <c r="X77" i="64"/>
  <c r="Z77" i="64" s="1"/>
  <c r="N77" i="64"/>
  <c r="L77" i="64"/>
  <c r="B77" i="64"/>
  <c r="Z76" i="64"/>
  <c r="X76" i="64"/>
  <c r="N76" i="64"/>
  <c r="L76" i="64"/>
  <c r="B76" i="64"/>
  <c r="T75" i="64"/>
  <c r="P75" i="64"/>
  <c r="X75" i="64" s="1"/>
  <c r="L75" i="64"/>
  <c r="H75" i="64"/>
  <c r="D75" i="64"/>
  <c r="B75" i="64"/>
  <c r="X74" i="64"/>
  <c r="Z74" i="64" s="1"/>
  <c r="N74" i="64"/>
  <c r="L74" i="64"/>
  <c r="B74" i="64"/>
  <c r="Z73" i="64"/>
  <c r="X73" i="64"/>
  <c r="L73" i="64"/>
  <c r="N73" i="64" s="1"/>
  <c r="B73" i="64"/>
  <c r="Z72" i="64"/>
  <c r="X72" i="64"/>
  <c r="L72" i="64"/>
  <c r="N72" i="64" s="1"/>
  <c r="B72" i="64"/>
  <c r="T71" i="64"/>
  <c r="P71" i="64"/>
  <c r="H71" i="64"/>
  <c r="D71" i="64"/>
  <c r="L71" i="64" s="1"/>
  <c r="N71" i="64" s="1"/>
  <c r="B71" i="64"/>
  <c r="Z70" i="64"/>
  <c r="X70" i="64"/>
  <c r="N70" i="64"/>
  <c r="L70" i="64"/>
  <c r="B70" i="64"/>
  <c r="X69" i="64"/>
  <c r="T69" i="64"/>
  <c r="P69" i="64"/>
  <c r="H69" i="64"/>
  <c r="L69" i="64" s="1"/>
  <c r="D69" i="64"/>
  <c r="B69" i="64"/>
  <c r="Z68" i="64"/>
  <c r="X68" i="64"/>
  <c r="N68" i="64"/>
  <c r="L68" i="64"/>
  <c r="B68" i="64"/>
  <c r="Z67" i="64"/>
  <c r="X67" i="64"/>
  <c r="N67" i="64"/>
  <c r="L67" i="64"/>
  <c r="F67" i="64"/>
  <c r="B67" i="64"/>
  <c r="X66" i="64"/>
  <c r="Z66" i="64" s="1"/>
  <c r="N66" i="64"/>
  <c r="L66" i="64"/>
  <c r="B66" i="64"/>
  <c r="X65" i="64"/>
  <c r="Z65" i="64" s="1"/>
  <c r="N65" i="64"/>
  <c r="L65" i="64"/>
  <c r="B65" i="64"/>
  <c r="Z64" i="64"/>
  <c r="X64" i="64"/>
  <c r="T64" i="64"/>
  <c r="P64" i="64"/>
  <c r="H64" i="64"/>
  <c r="D64" i="64"/>
  <c r="B64" i="64"/>
  <c r="Z63" i="64"/>
  <c r="X63" i="64"/>
  <c r="L63" i="64"/>
  <c r="N63" i="64" s="1"/>
  <c r="B63" i="64"/>
  <c r="V62" i="64"/>
  <c r="T62" i="64"/>
  <c r="P62" i="64"/>
  <c r="N62" i="64"/>
  <c r="H62" i="64"/>
  <c r="D62" i="64"/>
  <c r="L62" i="64" s="1"/>
  <c r="B62" i="64"/>
  <c r="X61" i="64"/>
  <c r="Z61" i="64" s="1"/>
  <c r="N61" i="64"/>
  <c r="L61" i="64"/>
  <c r="B61" i="64"/>
  <c r="X60" i="64"/>
  <c r="Z60" i="64" s="1"/>
  <c r="T60" i="64"/>
  <c r="P60" i="64"/>
  <c r="N60" i="64"/>
  <c r="H60" i="64"/>
  <c r="D60" i="64"/>
  <c r="L60" i="64" s="1"/>
  <c r="B60" i="64"/>
  <c r="Z59" i="64"/>
  <c r="X59" i="64"/>
  <c r="N59" i="64"/>
  <c r="L59" i="64"/>
  <c r="B59" i="64"/>
  <c r="T58" i="64"/>
  <c r="P58" i="64"/>
  <c r="N58" i="64"/>
  <c r="L58" i="64"/>
  <c r="H58" i="64"/>
  <c r="D58" i="64"/>
  <c r="B58" i="64"/>
  <c r="Z57" i="64"/>
  <c r="X57" i="64"/>
  <c r="L57" i="64"/>
  <c r="N57" i="64" s="1"/>
  <c r="B57" i="64"/>
  <c r="Z56" i="64"/>
  <c r="T56" i="64"/>
  <c r="P56" i="64"/>
  <c r="X56" i="64" s="1"/>
  <c r="H56" i="64"/>
  <c r="D56" i="64"/>
  <c r="B56" i="64"/>
  <c r="X55" i="64"/>
  <c r="Z55" i="64" s="1"/>
  <c r="N55" i="64"/>
  <c r="L55" i="64"/>
  <c r="B55" i="64"/>
  <c r="T54" i="64"/>
  <c r="P54" i="64"/>
  <c r="X54" i="64" s="1"/>
  <c r="Z54" i="64" s="1"/>
  <c r="N54" i="64"/>
  <c r="L54" i="64"/>
  <c r="H54" i="64"/>
  <c r="D54" i="64"/>
  <c r="B54" i="64"/>
  <c r="X53" i="64"/>
  <c r="Z53" i="64" s="1"/>
  <c r="N53" i="64"/>
  <c r="L53" i="64"/>
  <c r="B53" i="64"/>
  <c r="Z52" i="64"/>
  <c r="X52" i="64"/>
  <c r="T52" i="64"/>
  <c r="P52" i="64"/>
  <c r="H52" i="64"/>
  <c r="D52" i="64"/>
  <c r="B52" i="64"/>
  <c r="Z51" i="64"/>
  <c r="X51" i="64"/>
  <c r="L51" i="64"/>
  <c r="N51" i="64" s="1"/>
  <c r="B51" i="64"/>
  <c r="T50" i="64"/>
  <c r="P50" i="64"/>
  <c r="N50" i="64"/>
  <c r="H50" i="64"/>
  <c r="D50" i="64"/>
  <c r="L50" i="64" s="1"/>
  <c r="B50" i="64"/>
  <c r="X49" i="64"/>
  <c r="Z49" i="64" s="1"/>
  <c r="L49" i="64"/>
  <c r="N49" i="64" s="1"/>
  <c r="B49" i="64"/>
  <c r="X48" i="64"/>
  <c r="Z48" i="64" s="1"/>
  <c r="N48" i="64"/>
  <c r="L48" i="64"/>
  <c r="B48" i="64"/>
  <c r="T47" i="64"/>
  <c r="X47" i="64" s="1"/>
  <c r="P47" i="64"/>
  <c r="L47" i="64"/>
  <c r="H47" i="64"/>
  <c r="D47" i="64"/>
  <c r="B47" i="64"/>
  <c r="X46" i="64"/>
  <c r="Z46" i="64" s="1"/>
  <c r="L46" i="64"/>
  <c r="N46" i="64" s="1"/>
  <c r="J46" i="64"/>
  <c r="B46" i="64"/>
  <c r="X45" i="64"/>
  <c r="Z45" i="64" s="1"/>
  <c r="N45" i="64"/>
  <c r="L45" i="64"/>
  <c r="B45" i="64"/>
  <c r="Z44" i="64"/>
  <c r="X44" i="64"/>
  <c r="T44" i="64"/>
  <c r="R44" i="64"/>
  <c r="P44" i="64"/>
  <c r="H44" i="64"/>
  <c r="D44" i="64"/>
  <c r="B44" i="64"/>
  <c r="Z43" i="64"/>
  <c r="X43" i="64"/>
  <c r="L43" i="64"/>
  <c r="N43" i="64" s="1"/>
  <c r="B43" i="64"/>
  <c r="T42" i="64"/>
  <c r="P42" i="64"/>
  <c r="H42" i="64"/>
  <c r="D42" i="64"/>
  <c r="L42" i="64" s="1"/>
  <c r="N42" i="64" s="1"/>
  <c r="B42" i="64"/>
  <c r="Z41" i="64"/>
  <c r="X41" i="64"/>
  <c r="N41" i="64"/>
  <c r="L41" i="64"/>
  <c r="B41" i="64"/>
  <c r="X40" i="64"/>
  <c r="Z40" i="64" s="1"/>
  <c r="N40" i="64"/>
  <c r="L40" i="64"/>
  <c r="B40" i="64"/>
  <c r="T39" i="64"/>
  <c r="X39" i="64" s="1"/>
  <c r="P39" i="64"/>
  <c r="L39" i="64"/>
  <c r="H39" i="64"/>
  <c r="D39" i="64"/>
  <c r="B39" i="64"/>
  <c r="X38" i="64"/>
  <c r="Z38" i="64" s="1"/>
  <c r="L38" i="64"/>
  <c r="N38" i="64" s="1"/>
  <c r="J38" i="64"/>
  <c r="B38" i="64"/>
  <c r="X37" i="64"/>
  <c r="T37" i="64"/>
  <c r="Z37" i="64" s="1"/>
  <c r="P37" i="64"/>
  <c r="N37" i="64"/>
  <c r="H37" i="64"/>
  <c r="D37" i="64"/>
  <c r="L37" i="64" s="1"/>
  <c r="B37" i="64"/>
  <c r="Z36" i="64"/>
  <c r="X36" i="64"/>
  <c r="L36" i="64"/>
  <c r="N36" i="64" s="1"/>
  <c r="B36" i="64"/>
  <c r="Z35" i="64"/>
  <c r="X35" i="64"/>
  <c r="L35" i="64"/>
  <c r="N35" i="64" s="1"/>
  <c r="B35" i="64"/>
  <c r="X34" i="64"/>
  <c r="Z34" i="64" s="1"/>
  <c r="N34" i="64"/>
  <c r="L34" i="64"/>
  <c r="J34" i="64"/>
  <c r="B34" i="64"/>
  <c r="Z33" i="64"/>
  <c r="X33" i="64"/>
  <c r="L33" i="64"/>
  <c r="N33" i="64" s="1"/>
  <c r="B33" i="64"/>
  <c r="Z32" i="64"/>
  <c r="X32" i="64"/>
  <c r="N32" i="64"/>
  <c r="L32" i="64"/>
  <c r="B32" i="64"/>
  <c r="Z31" i="64"/>
  <c r="X31" i="64"/>
  <c r="R31" i="64"/>
  <c r="L31" i="64"/>
  <c r="N31" i="64" s="1"/>
  <c r="B31" i="64"/>
  <c r="X30" i="64"/>
  <c r="Z30" i="64" s="1"/>
  <c r="N30" i="64"/>
  <c r="L30" i="64"/>
  <c r="B30" i="64"/>
  <c r="T29" i="64"/>
  <c r="P29" i="64"/>
  <c r="X29" i="64" s="1"/>
  <c r="Z29" i="64" s="1"/>
  <c r="H29" i="64"/>
  <c r="D29" i="64"/>
  <c r="B29" i="64"/>
  <c r="X28" i="64"/>
  <c r="Z28" i="64" s="1"/>
  <c r="N28" i="64"/>
  <c r="L28" i="64"/>
  <c r="B28" i="64"/>
  <c r="X27" i="64"/>
  <c r="Z27" i="64" s="1"/>
  <c r="N27" i="64"/>
  <c r="L27" i="64"/>
  <c r="B27" i="64"/>
  <c r="Z26" i="64"/>
  <c r="X26" i="64"/>
  <c r="L26" i="64"/>
  <c r="N26" i="64" s="1"/>
  <c r="B26" i="64"/>
  <c r="X25" i="64"/>
  <c r="Z25" i="64" s="1"/>
  <c r="L25" i="64"/>
  <c r="N25" i="64" s="1"/>
  <c r="B25" i="64"/>
  <c r="X24" i="64"/>
  <c r="Z24" i="64" s="1"/>
  <c r="N24" i="64"/>
  <c r="L24" i="64"/>
  <c r="B24" i="64"/>
  <c r="X23" i="64"/>
  <c r="Z23" i="64" s="1"/>
  <c r="N23" i="64"/>
  <c r="L23" i="64"/>
  <c r="B23" i="64"/>
  <c r="Z22" i="64"/>
  <c r="X22" i="64"/>
  <c r="L22" i="64"/>
  <c r="N22" i="64" s="1"/>
  <c r="B22" i="64"/>
  <c r="X21" i="64"/>
  <c r="Z21" i="64" s="1"/>
  <c r="L21" i="64"/>
  <c r="N21" i="64" s="1"/>
  <c r="B21" i="64"/>
  <c r="X20" i="64"/>
  <c r="Z20" i="64" s="1"/>
  <c r="T20" i="64"/>
  <c r="P20" i="64"/>
  <c r="J20" i="64"/>
  <c r="H20" i="64"/>
  <c r="D20" i="64"/>
  <c r="L20" i="64" s="1"/>
  <c r="N20" i="64" s="1"/>
  <c r="B20" i="64"/>
  <c r="Z19" i="64"/>
  <c r="T19" i="64"/>
  <c r="P19" i="64"/>
  <c r="X19" i="64" s="1"/>
  <c r="L19" i="64"/>
  <c r="H19" i="64"/>
  <c r="D19" i="64"/>
  <c r="T17" i="64"/>
  <c r="P17" i="64"/>
  <c r="F17" i="64"/>
  <c r="Z15" i="64"/>
  <c r="X15" i="64"/>
  <c r="L15" i="64"/>
  <c r="N15" i="64" s="1"/>
  <c r="B15" i="64"/>
  <c r="Z14" i="64"/>
  <c r="X14" i="64"/>
  <c r="T14" i="64"/>
  <c r="P14" i="64"/>
  <c r="L14" i="64"/>
  <c r="N14" i="64" s="1"/>
  <c r="J14" i="64"/>
  <c r="H14" i="64"/>
  <c r="D14" i="64"/>
  <c r="X12" i="64"/>
  <c r="T12" i="64"/>
  <c r="V90" i="64" s="1"/>
  <c r="P12" i="64"/>
  <c r="R60" i="64" s="1"/>
  <c r="H12" i="64"/>
  <c r="D12" i="64"/>
  <c r="D6" i="64"/>
  <c r="D4" i="64"/>
  <c r="V60" i="61"/>
  <c r="J60" i="61"/>
  <c r="F60" i="61"/>
  <c r="V57" i="61"/>
  <c r="J57" i="61"/>
  <c r="F57" i="61"/>
  <c r="Z55" i="61"/>
  <c r="X55" i="61"/>
  <c r="V55" i="61"/>
  <c r="N55" i="61"/>
  <c r="L55" i="61"/>
  <c r="F55" i="61"/>
  <c r="V53" i="61"/>
  <c r="J53" i="61"/>
  <c r="Z51" i="61"/>
  <c r="X51" i="61"/>
  <c r="V51" i="61"/>
  <c r="T51" i="61"/>
  <c r="P51" i="61"/>
  <c r="N51" i="61"/>
  <c r="L51" i="61"/>
  <c r="J51" i="61"/>
  <c r="H51" i="61"/>
  <c r="D51" i="61"/>
  <c r="X49" i="61"/>
  <c r="Z49" i="61" s="1"/>
  <c r="V49" i="61"/>
  <c r="N49" i="61"/>
  <c r="L49" i="61"/>
  <c r="F49" i="61"/>
  <c r="B49" i="61"/>
  <c r="V48" i="61"/>
  <c r="T48" i="61"/>
  <c r="R48" i="61"/>
  <c r="P48" i="61"/>
  <c r="H48" i="61"/>
  <c r="F48" i="61"/>
  <c r="D48" i="61"/>
  <c r="L48" i="61" s="1"/>
  <c r="B48" i="61"/>
  <c r="X47" i="61"/>
  <c r="Z47" i="61" s="1"/>
  <c r="V47" i="61"/>
  <c r="N47" i="61"/>
  <c r="L47" i="61"/>
  <c r="J47" i="61"/>
  <c r="B47" i="61"/>
  <c r="X46" i="61"/>
  <c r="Z46" i="61" s="1"/>
  <c r="V46" i="61"/>
  <c r="T46" i="61"/>
  <c r="P46" i="61"/>
  <c r="L46" i="61"/>
  <c r="J46" i="61"/>
  <c r="H46" i="61"/>
  <c r="N46" i="61" s="1"/>
  <c r="D46" i="61"/>
  <c r="B46" i="61"/>
  <c r="Z45" i="61"/>
  <c r="X45" i="61"/>
  <c r="N45" i="61"/>
  <c r="L45" i="61"/>
  <c r="F45" i="61"/>
  <c r="B45" i="61"/>
  <c r="X44" i="61"/>
  <c r="Z44" i="61" s="1"/>
  <c r="V44" i="61"/>
  <c r="N44" i="61"/>
  <c r="L44" i="61"/>
  <c r="F44" i="61"/>
  <c r="B44" i="61"/>
  <c r="V43" i="61"/>
  <c r="T43" i="61"/>
  <c r="P43" i="61"/>
  <c r="X43" i="61" s="1"/>
  <c r="Z43" i="61" s="1"/>
  <c r="N43" i="61"/>
  <c r="L43" i="61"/>
  <c r="H43" i="61"/>
  <c r="F43" i="61"/>
  <c r="D43" i="61"/>
  <c r="B43" i="61"/>
  <c r="Z42" i="61"/>
  <c r="X42" i="61"/>
  <c r="N42" i="61"/>
  <c r="L42" i="61"/>
  <c r="J42" i="61"/>
  <c r="B42" i="61"/>
  <c r="Z41" i="61"/>
  <c r="X41" i="61"/>
  <c r="V41" i="61"/>
  <c r="T41" i="61"/>
  <c r="P41" i="61"/>
  <c r="N41" i="61"/>
  <c r="H41" i="61"/>
  <c r="D41" i="61"/>
  <c r="L41" i="61" s="1"/>
  <c r="B41" i="61"/>
  <c r="Z40" i="61"/>
  <c r="X40" i="61"/>
  <c r="V40" i="61"/>
  <c r="N40" i="61"/>
  <c r="L40" i="61"/>
  <c r="J40" i="61"/>
  <c r="F40" i="61"/>
  <c r="B40" i="61"/>
  <c r="V39" i="61"/>
  <c r="T39" i="61"/>
  <c r="Z39" i="61" s="1"/>
  <c r="P39" i="61"/>
  <c r="X39" i="61" s="1"/>
  <c r="N39" i="61"/>
  <c r="H39" i="61"/>
  <c r="F39" i="61"/>
  <c r="D39" i="61"/>
  <c r="L39" i="61" s="1"/>
  <c r="B39" i="61"/>
  <c r="X38" i="61"/>
  <c r="Z38" i="61" s="1"/>
  <c r="V38" i="61"/>
  <c r="R38" i="61"/>
  <c r="N38" i="61"/>
  <c r="L38" i="61"/>
  <c r="F38" i="61"/>
  <c r="B38" i="61"/>
  <c r="T37" i="61"/>
  <c r="P37" i="61"/>
  <c r="J37" i="61"/>
  <c r="H37" i="61"/>
  <c r="F37" i="61"/>
  <c r="D37" i="61"/>
  <c r="L37" i="61" s="1"/>
  <c r="N37" i="61" s="1"/>
  <c r="B37" i="61"/>
  <c r="Z36" i="61"/>
  <c r="X36" i="61"/>
  <c r="V36" i="61"/>
  <c r="L36" i="61"/>
  <c r="N36" i="61" s="1"/>
  <c r="J36" i="61"/>
  <c r="F36" i="61"/>
  <c r="B36" i="61"/>
  <c r="X35" i="61"/>
  <c r="Z35" i="61" s="1"/>
  <c r="V35" i="61"/>
  <c r="T35" i="61"/>
  <c r="P35" i="61"/>
  <c r="N35" i="61"/>
  <c r="L35" i="61"/>
  <c r="H35" i="61"/>
  <c r="F35" i="61"/>
  <c r="D35" i="61"/>
  <c r="B35" i="61"/>
  <c r="Z34" i="61"/>
  <c r="X34" i="61"/>
  <c r="V34" i="61"/>
  <c r="N34" i="61"/>
  <c r="L34" i="61"/>
  <c r="J34" i="61"/>
  <c r="F34" i="61"/>
  <c r="B34" i="61"/>
  <c r="Z33" i="61"/>
  <c r="X33" i="61"/>
  <c r="V33" i="61"/>
  <c r="R33" i="61"/>
  <c r="L33" i="61"/>
  <c r="N33" i="61" s="1"/>
  <c r="F33" i="61"/>
  <c r="B33" i="61"/>
  <c r="X32" i="61"/>
  <c r="Z32" i="61" s="1"/>
  <c r="V32" i="61"/>
  <c r="L32" i="61"/>
  <c r="N32" i="61" s="1"/>
  <c r="J32" i="61"/>
  <c r="F32" i="61"/>
  <c r="B32" i="61"/>
  <c r="X31" i="61"/>
  <c r="Z31" i="61" s="1"/>
  <c r="V31" i="61"/>
  <c r="L31" i="61"/>
  <c r="N31" i="61" s="1"/>
  <c r="J31" i="61"/>
  <c r="B31" i="61"/>
  <c r="X30" i="61"/>
  <c r="Z30" i="61" s="1"/>
  <c r="V30" i="61"/>
  <c r="L30" i="61"/>
  <c r="N30" i="61" s="1"/>
  <c r="F30" i="61"/>
  <c r="B30" i="61"/>
  <c r="Z29" i="61"/>
  <c r="X29" i="61"/>
  <c r="V29" i="61"/>
  <c r="L29" i="61"/>
  <c r="N29" i="61" s="1"/>
  <c r="F29" i="61"/>
  <c r="B29" i="61"/>
  <c r="Z28" i="61"/>
  <c r="X28" i="61"/>
  <c r="V28" i="61"/>
  <c r="T28" i="61"/>
  <c r="P28" i="61"/>
  <c r="H28" i="61"/>
  <c r="F28" i="61"/>
  <c r="D28" i="61"/>
  <c r="L28" i="61" s="1"/>
  <c r="N28" i="61" s="1"/>
  <c r="B28" i="61"/>
  <c r="Z27" i="61"/>
  <c r="X27" i="61"/>
  <c r="V27" i="61"/>
  <c r="L27" i="61"/>
  <c r="N27" i="61" s="1"/>
  <c r="J27" i="61"/>
  <c r="F27" i="61"/>
  <c r="B27" i="61"/>
  <c r="X26" i="61"/>
  <c r="Z26" i="61" s="1"/>
  <c r="V26" i="61"/>
  <c r="R26" i="61"/>
  <c r="N26" i="61"/>
  <c r="L26" i="61"/>
  <c r="F26" i="61"/>
  <c r="B26" i="61"/>
  <c r="X25" i="61"/>
  <c r="Z25" i="61" s="1"/>
  <c r="R25" i="61"/>
  <c r="N25" i="61"/>
  <c r="L25" i="61"/>
  <c r="F25" i="61"/>
  <c r="B25" i="61"/>
  <c r="X24" i="61"/>
  <c r="Z24" i="61" s="1"/>
  <c r="V24" i="61"/>
  <c r="R24" i="61"/>
  <c r="N24" i="61"/>
  <c r="L24" i="61"/>
  <c r="J24" i="61"/>
  <c r="F24" i="61"/>
  <c r="B24" i="61"/>
  <c r="X23" i="61"/>
  <c r="Z23" i="61" s="1"/>
  <c r="V23" i="61"/>
  <c r="N23" i="61"/>
  <c r="L23" i="61"/>
  <c r="F23" i="61"/>
  <c r="B23" i="61"/>
  <c r="X22" i="61"/>
  <c r="Z22" i="61" s="1"/>
  <c r="V22" i="61"/>
  <c r="L22" i="61"/>
  <c r="N22" i="61" s="1"/>
  <c r="F22" i="61"/>
  <c r="B22" i="61"/>
  <c r="Z21" i="61"/>
  <c r="X21" i="61"/>
  <c r="R21" i="61"/>
  <c r="L21" i="61"/>
  <c r="N21" i="61" s="1"/>
  <c r="J21" i="61"/>
  <c r="F21" i="61"/>
  <c r="B21" i="61"/>
  <c r="X20" i="61"/>
  <c r="Z20" i="61" s="1"/>
  <c r="V20" i="61"/>
  <c r="R20" i="61"/>
  <c r="N20" i="61"/>
  <c r="L20" i="61"/>
  <c r="J20" i="61"/>
  <c r="F20" i="61"/>
  <c r="B20" i="61"/>
  <c r="X19" i="61"/>
  <c r="Z19" i="61" s="1"/>
  <c r="V19" i="61"/>
  <c r="T19" i="61"/>
  <c r="P19" i="61"/>
  <c r="H19" i="61"/>
  <c r="F19" i="61"/>
  <c r="D19" i="61"/>
  <c r="L19" i="61" s="1"/>
  <c r="N19" i="61" s="1"/>
  <c r="B19" i="61"/>
  <c r="T18" i="61"/>
  <c r="P18" i="61"/>
  <c r="J18" i="61"/>
  <c r="H18" i="61"/>
  <c r="F18" i="61"/>
  <c r="D18" i="61"/>
  <c r="R16" i="61"/>
  <c r="P16" i="61"/>
  <c r="P53" i="61" s="1"/>
  <c r="P57" i="61" s="1"/>
  <c r="F16" i="61"/>
  <c r="D16" i="61"/>
  <c r="T14" i="61"/>
  <c r="P14" i="61"/>
  <c r="N14" i="61"/>
  <c r="J14" i="61"/>
  <c r="H14" i="61"/>
  <c r="F14" i="61"/>
  <c r="D14" i="61"/>
  <c r="Z12" i="61"/>
  <c r="X12" i="61"/>
  <c r="T12" i="61"/>
  <c r="V45" i="61" s="1"/>
  <c r="P12" i="61"/>
  <c r="R40" i="61" s="1"/>
  <c r="N12" i="61"/>
  <c r="H12" i="61"/>
  <c r="J45" i="61" s="1"/>
  <c r="D12" i="61"/>
  <c r="F53" i="61" s="1"/>
  <c r="D6" i="61"/>
  <c r="D4" i="61"/>
  <c r="V57" i="60"/>
  <c r="F54" i="60"/>
  <c r="Z52" i="60"/>
  <c r="X52" i="60"/>
  <c r="N52" i="60"/>
  <c r="L52" i="60"/>
  <c r="J52" i="60"/>
  <c r="Z48" i="60"/>
  <c r="T48" i="60"/>
  <c r="P48" i="60"/>
  <c r="X48" i="60" s="1"/>
  <c r="H48" i="60"/>
  <c r="N48" i="60" s="1"/>
  <c r="D48" i="60"/>
  <c r="L48" i="60" s="1"/>
  <c r="Z46" i="60"/>
  <c r="X46" i="60"/>
  <c r="V46" i="60"/>
  <c r="N46" i="60"/>
  <c r="L46" i="60"/>
  <c r="J46" i="60"/>
  <c r="B46" i="60"/>
  <c r="X45" i="60"/>
  <c r="Z45" i="60" s="1"/>
  <c r="T45" i="60"/>
  <c r="P45" i="60"/>
  <c r="N45" i="60"/>
  <c r="L45" i="60"/>
  <c r="J45" i="60"/>
  <c r="H45" i="60"/>
  <c r="F45" i="60"/>
  <c r="D45" i="60"/>
  <c r="B45" i="60"/>
  <c r="X44" i="60"/>
  <c r="Z44" i="60" s="1"/>
  <c r="L44" i="60"/>
  <c r="N44" i="60" s="1"/>
  <c r="J44" i="60"/>
  <c r="B44" i="60"/>
  <c r="V43" i="60"/>
  <c r="T43" i="60"/>
  <c r="P43" i="60"/>
  <c r="X43" i="60" s="1"/>
  <c r="Z43" i="60" s="1"/>
  <c r="H43" i="60"/>
  <c r="D43" i="60"/>
  <c r="L43" i="60" s="1"/>
  <c r="B43" i="60"/>
  <c r="X42" i="60"/>
  <c r="Z42" i="60" s="1"/>
  <c r="R42" i="60"/>
  <c r="N42" i="60"/>
  <c r="L42" i="60"/>
  <c r="J42" i="60"/>
  <c r="B42" i="60"/>
  <c r="X41" i="60"/>
  <c r="Z41" i="60" s="1"/>
  <c r="V41" i="60"/>
  <c r="N41" i="60"/>
  <c r="L41" i="60"/>
  <c r="J41" i="60"/>
  <c r="B41" i="60"/>
  <c r="T40" i="60"/>
  <c r="P40" i="60"/>
  <c r="X40" i="60" s="1"/>
  <c r="Z40" i="60" s="1"/>
  <c r="H40" i="60"/>
  <c r="D40" i="60"/>
  <c r="B40" i="60"/>
  <c r="Z39" i="60"/>
  <c r="X39" i="60"/>
  <c r="N39" i="60"/>
  <c r="L39" i="60"/>
  <c r="J39" i="60"/>
  <c r="B39" i="60"/>
  <c r="T38" i="60"/>
  <c r="X38" i="60" s="1"/>
  <c r="P38" i="60"/>
  <c r="J38" i="60"/>
  <c r="H38" i="60"/>
  <c r="D38" i="60"/>
  <c r="L38" i="60" s="1"/>
  <c r="B38" i="60"/>
  <c r="X37" i="60"/>
  <c r="Z37" i="60" s="1"/>
  <c r="L37" i="60"/>
  <c r="N37" i="60" s="1"/>
  <c r="J37" i="60"/>
  <c r="B37" i="60"/>
  <c r="X36" i="60"/>
  <c r="Z36" i="60" s="1"/>
  <c r="L36" i="60"/>
  <c r="N36" i="60" s="1"/>
  <c r="B36" i="60"/>
  <c r="Z35" i="60"/>
  <c r="X35" i="60"/>
  <c r="N35" i="60"/>
  <c r="L35" i="60"/>
  <c r="B35" i="60"/>
  <c r="T34" i="60"/>
  <c r="P34" i="60"/>
  <c r="X34" i="60" s="1"/>
  <c r="L34" i="60"/>
  <c r="N34" i="60" s="1"/>
  <c r="H34" i="60"/>
  <c r="D34" i="60"/>
  <c r="B34" i="60"/>
  <c r="X33" i="60"/>
  <c r="Z33" i="60" s="1"/>
  <c r="V33" i="60"/>
  <c r="N33" i="60"/>
  <c r="L33" i="60"/>
  <c r="J33" i="60"/>
  <c r="B33" i="60"/>
  <c r="T32" i="60"/>
  <c r="P32" i="60"/>
  <c r="X32" i="60" s="1"/>
  <c r="Z32" i="60" s="1"/>
  <c r="H32" i="60"/>
  <c r="D32" i="60"/>
  <c r="B32" i="60"/>
  <c r="Z31" i="60"/>
  <c r="X31" i="60"/>
  <c r="N31" i="60"/>
  <c r="L31" i="60"/>
  <c r="J31" i="60"/>
  <c r="B31" i="60"/>
  <c r="T30" i="60"/>
  <c r="X30" i="60" s="1"/>
  <c r="P30" i="60"/>
  <c r="J30" i="60"/>
  <c r="H30" i="60"/>
  <c r="D30" i="60"/>
  <c r="L30" i="60" s="1"/>
  <c r="B30" i="60"/>
  <c r="X29" i="60"/>
  <c r="Z29" i="60" s="1"/>
  <c r="V29" i="60"/>
  <c r="L29" i="60"/>
  <c r="N29" i="60" s="1"/>
  <c r="J29" i="60"/>
  <c r="B29" i="60"/>
  <c r="X28" i="60"/>
  <c r="Z28" i="60" s="1"/>
  <c r="T28" i="60"/>
  <c r="P28" i="60"/>
  <c r="H28" i="60"/>
  <c r="N28" i="60" s="1"/>
  <c r="D28" i="60"/>
  <c r="L28" i="60" s="1"/>
  <c r="B28" i="60"/>
  <c r="Z27" i="60"/>
  <c r="X27" i="60"/>
  <c r="N27" i="60"/>
  <c r="L27" i="60"/>
  <c r="B27" i="60"/>
  <c r="X26" i="60"/>
  <c r="Z26" i="60" s="1"/>
  <c r="R26" i="60"/>
  <c r="L26" i="60"/>
  <c r="N26" i="60" s="1"/>
  <c r="J26" i="60"/>
  <c r="B26" i="60"/>
  <c r="X25" i="60"/>
  <c r="Z25" i="60" s="1"/>
  <c r="V25" i="60"/>
  <c r="N25" i="60"/>
  <c r="L25" i="60"/>
  <c r="J25" i="60"/>
  <c r="B25" i="60"/>
  <c r="X24" i="60"/>
  <c r="Z24" i="60" s="1"/>
  <c r="L24" i="60"/>
  <c r="N24" i="60" s="1"/>
  <c r="J24" i="60"/>
  <c r="B24" i="60"/>
  <c r="Z23" i="60"/>
  <c r="X23" i="60"/>
  <c r="N23" i="60"/>
  <c r="L23" i="60"/>
  <c r="B23" i="60"/>
  <c r="X22" i="60"/>
  <c r="Z22" i="60" s="1"/>
  <c r="R22" i="60"/>
  <c r="L22" i="60"/>
  <c r="N22" i="60" s="1"/>
  <c r="J22" i="60"/>
  <c r="B22" i="60"/>
  <c r="X21" i="60"/>
  <c r="Z21" i="60" s="1"/>
  <c r="V21" i="60"/>
  <c r="N21" i="60"/>
  <c r="L21" i="60"/>
  <c r="J21" i="60"/>
  <c r="B21" i="60"/>
  <c r="X20" i="60"/>
  <c r="Z20" i="60" s="1"/>
  <c r="L20" i="60"/>
  <c r="N20" i="60" s="1"/>
  <c r="J20" i="60"/>
  <c r="B20" i="60"/>
  <c r="Z19" i="60"/>
  <c r="T19" i="60"/>
  <c r="P19" i="60"/>
  <c r="X19" i="60" s="1"/>
  <c r="J19" i="60"/>
  <c r="H19" i="60"/>
  <c r="D19" i="60"/>
  <c r="L19" i="60" s="1"/>
  <c r="B19" i="60"/>
  <c r="T18" i="60"/>
  <c r="X18" i="60" s="1"/>
  <c r="P18" i="60"/>
  <c r="J18" i="60"/>
  <c r="H18" i="60"/>
  <c r="N18" i="60" s="1"/>
  <c r="D18" i="60"/>
  <c r="L18" i="60" s="1"/>
  <c r="J16" i="60"/>
  <c r="T14" i="60"/>
  <c r="X14" i="60" s="1"/>
  <c r="P14" i="60"/>
  <c r="J14" i="60"/>
  <c r="H14" i="60"/>
  <c r="N14" i="60" s="1"/>
  <c r="D14" i="60"/>
  <c r="L14" i="60" s="1"/>
  <c r="T12" i="60"/>
  <c r="V27" i="60" s="1"/>
  <c r="P12" i="60"/>
  <c r="R52" i="60" s="1"/>
  <c r="N12" i="60"/>
  <c r="H12" i="60"/>
  <c r="J54" i="60" s="1"/>
  <c r="D12" i="60"/>
  <c r="F57" i="60" s="1"/>
  <c r="D6" i="60"/>
  <c r="D4" i="60"/>
  <c r="F72" i="59"/>
  <c r="F69" i="59"/>
  <c r="Z67" i="59"/>
  <c r="X67" i="59"/>
  <c r="N67" i="59"/>
  <c r="L67" i="59"/>
  <c r="F65" i="59"/>
  <c r="T63" i="59"/>
  <c r="Z63" i="59" s="1"/>
  <c r="P63" i="59"/>
  <c r="X63" i="59" s="1"/>
  <c r="H63" i="59"/>
  <c r="L63" i="59" s="1"/>
  <c r="F63" i="59"/>
  <c r="D63" i="59"/>
  <c r="Z61" i="59"/>
  <c r="X61" i="59"/>
  <c r="N61" i="59"/>
  <c r="L61" i="59"/>
  <c r="B61" i="59"/>
  <c r="Z60" i="59"/>
  <c r="X60" i="59"/>
  <c r="N60" i="59"/>
  <c r="L60" i="59"/>
  <c r="F60" i="59"/>
  <c r="B60" i="59"/>
  <c r="T59" i="59"/>
  <c r="X59" i="59" s="1"/>
  <c r="P59" i="59"/>
  <c r="H59" i="59"/>
  <c r="F59" i="59"/>
  <c r="D59" i="59"/>
  <c r="L59" i="59" s="1"/>
  <c r="B59" i="59"/>
  <c r="X58" i="59"/>
  <c r="Z58" i="59" s="1"/>
  <c r="L58" i="59"/>
  <c r="N58" i="59" s="1"/>
  <c r="F58" i="59"/>
  <c r="B58" i="59"/>
  <c r="X57" i="59"/>
  <c r="Z57" i="59" s="1"/>
  <c r="T57" i="59"/>
  <c r="P57" i="59"/>
  <c r="H57" i="59"/>
  <c r="N57" i="59" s="1"/>
  <c r="F57" i="59"/>
  <c r="D57" i="59"/>
  <c r="L57" i="59" s="1"/>
  <c r="B57" i="59"/>
  <c r="Z56" i="59"/>
  <c r="X56" i="59"/>
  <c r="N56" i="59"/>
  <c r="L56" i="59"/>
  <c r="B56" i="59"/>
  <c r="X55" i="59"/>
  <c r="Z55" i="59" s="1"/>
  <c r="R55" i="59"/>
  <c r="L55" i="59"/>
  <c r="N55" i="59" s="1"/>
  <c r="F55" i="59"/>
  <c r="B55" i="59"/>
  <c r="T54" i="59"/>
  <c r="P54" i="59"/>
  <c r="X54" i="59" s="1"/>
  <c r="H54" i="59"/>
  <c r="F54" i="59"/>
  <c r="D54" i="59"/>
  <c r="L54" i="59" s="1"/>
  <c r="N54" i="59" s="1"/>
  <c r="B54" i="59"/>
  <c r="X53" i="59"/>
  <c r="Z53" i="59" s="1"/>
  <c r="L53" i="59"/>
  <c r="N53" i="59" s="1"/>
  <c r="F53" i="59"/>
  <c r="B53" i="59"/>
  <c r="Z52" i="59"/>
  <c r="X52" i="59"/>
  <c r="N52" i="59"/>
  <c r="L52" i="59"/>
  <c r="F52" i="59"/>
  <c r="B52" i="59"/>
  <c r="T51" i="59"/>
  <c r="X51" i="59" s="1"/>
  <c r="P51" i="59"/>
  <c r="H51" i="59"/>
  <c r="F51" i="59"/>
  <c r="D51" i="59"/>
  <c r="L51" i="59" s="1"/>
  <c r="B51" i="59"/>
  <c r="X50" i="59"/>
  <c r="Z50" i="59" s="1"/>
  <c r="N50" i="59"/>
  <c r="L50" i="59"/>
  <c r="F50" i="59"/>
  <c r="B50" i="59"/>
  <c r="X49" i="59"/>
  <c r="Z49" i="59" s="1"/>
  <c r="L49" i="59"/>
  <c r="N49" i="59" s="1"/>
  <c r="B49" i="59"/>
  <c r="Z48" i="59"/>
  <c r="X48" i="59"/>
  <c r="N48" i="59"/>
  <c r="L48" i="59"/>
  <c r="F48" i="59"/>
  <c r="B48" i="59"/>
  <c r="Z47" i="59"/>
  <c r="X47" i="59"/>
  <c r="R47" i="59"/>
  <c r="L47" i="59"/>
  <c r="N47" i="59" s="1"/>
  <c r="F47" i="59"/>
  <c r="B47" i="59"/>
  <c r="X46" i="59"/>
  <c r="T46" i="59"/>
  <c r="Z46" i="59" s="1"/>
  <c r="P46" i="59"/>
  <c r="N46" i="59"/>
  <c r="L46" i="59"/>
  <c r="H46" i="59"/>
  <c r="F46" i="59"/>
  <c r="D46" i="59"/>
  <c r="B46" i="59"/>
  <c r="X45" i="59"/>
  <c r="Z45" i="59" s="1"/>
  <c r="L45" i="59"/>
  <c r="N45" i="59" s="1"/>
  <c r="F45" i="59"/>
  <c r="B45" i="59"/>
  <c r="T44" i="59"/>
  <c r="P44" i="59"/>
  <c r="X44" i="59" s="1"/>
  <c r="Z44" i="59" s="1"/>
  <c r="H44" i="59"/>
  <c r="F44" i="59"/>
  <c r="D44" i="59"/>
  <c r="L44" i="59" s="1"/>
  <c r="B44" i="59"/>
  <c r="X43" i="59"/>
  <c r="Z43" i="59" s="1"/>
  <c r="N43" i="59"/>
  <c r="L43" i="59"/>
  <c r="F43" i="59"/>
  <c r="B43" i="59"/>
  <c r="V42" i="59"/>
  <c r="T42" i="59"/>
  <c r="P42" i="59"/>
  <c r="X42" i="59" s="1"/>
  <c r="Z42" i="59" s="1"/>
  <c r="N42" i="59"/>
  <c r="H42" i="59"/>
  <c r="F42" i="59"/>
  <c r="D42" i="59"/>
  <c r="L42" i="59" s="1"/>
  <c r="B42" i="59"/>
  <c r="X41" i="59"/>
  <c r="Z41" i="59" s="1"/>
  <c r="L41" i="59"/>
  <c r="N41" i="59" s="1"/>
  <c r="B41" i="59"/>
  <c r="Z40" i="59"/>
  <c r="X40" i="59"/>
  <c r="N40" i="59"/>
  <c r="L40" i="59"/>
  <c r="F40" i="59"/>
  <c r="B40" i="59"/>
  <c r="T39" i="59"/>
  <c r="Z39" i="59" s="1"/>
  <c r="P39" i="59"/>
  <c r="X39" i="59" s="1"/>
  <c r="L39" i="59"/>
  <c r="N39" i="59" s="1"/>
  <c r="H39" i="59"/>
  <c r="F39" i="59"/>
  <c r="D39" i="59"/>
  <c r="B39" i="59"/>
  <c r="X38" i="59"/>
  <c r="Z38" i="59" s="1"/>
  <c r="N38" i="59"/>
  <c r="L38" i="59"/>
  <c r="B38" i="59"/>
  <c r="T37" i="59"/>
  <c r="P37" i="59"/>
  <c r="X37" i="59" s="1"/>
  <c r="Z37" i="59" s="1"/>
  <c r="H37" i="59"/>
  <c r="D37" i="59"/>
  <c r="B37" i="59"/>
  <c r="Z36" i="59"/>
  <c r="X36" i="59"/>
  <c r="N36" i="59"/>
  <c r="L36" i="59"/>
  <c r="F36" i="59"/>
  <c r="B36" i="59"/>
  <c r="X35" i="59"/>
  <c r="Z35" i="59" s="1"/>
  <c r="N35" i="59"/>
  <c r="L35" i="59"/>
  <c r="F35" i="59"/>
  <c r="B35" i="59"/>
  <c r="Z34" i="59"/>
  <c r="X34" i="59"/>
  <c r="V34" i="59"/>
  <c r="L34" i="59"/>
  <c r="N34" i="59" s="1"/>
  <c r="F34" i="59"/>
  <c r="B34" i="59"/>
  <c r="X33" i="59"/>
  <c r="Z33" i="59" s="1"/>
  <c r="L33" i="59"/>
  <c r="N33" i="59" s="1"/>
  <c r="F33" i="59"/>
  <c r="B33" i="59"/>
  <c r="Z32" i="59"/>
  <c r="X32" i="59"/>
  <c r="N32" i="59"/>
  <c r="L32" i="59"/>
  <c r="F32" i="59"/>
  <c r="B32" i="59"/>
  <c r="X31" i="59"/>
  <c r="Z31" i="59" s="1"/>
  <c r="N31" i="59"/>
  <c r="L31" i="59"/>
  <c r="F31" i="59"/>
  <c r="B31" i="59"/>
  <c r="V30" i="59"/>
  <c r="T30" i="59"/>
  <c r="P30" i="59"/>
  <c r="X30" i="59" s="1"/>
  <c r="Z30" i="59" s="1"/>
  <c r="H30" i="59"/>
  <c r="F30" i="59"/>
  <c r="D30" i="59"/>
  <c r="L30" i="59" s="1"/>
  <c r="N30" i="59" s="1"/>
  <c r="B30" i="59"/>
  <c r="X29" i="59"/>
  <c r="Z29" i="59" s="1"/>
  <c r="L29" i="59"/>
  <c r="N29" i="59" s="1"/>
  <c r="B29" i="59"/>
  <c r="Z28" i="59"/>
  <c r="X28" i="59"/>
  <c r="N28" i="59"/>
  <c r="L28" i="59"/>
  <c r="F28" i="59"/>
  <c r="B28" i="59"/>
  <c r="Z27" i="59"/>
  <c r="X27" i="59"/>
  <c r="R27" i="59"/>
  <c r="L27" i="59"/>
  <c r="N27" i="59" s="1"/>
  <c r="F27" i="59"/>
  <c r="B27" i="59"/>
  <c r="X26" i="59"/>
  <c r="Z26" i="59" s="1"/>
  <c r="L26" i="59"/>
  <c r="N26" i="59" s="1"/>
  <c r="F26" i="59"/>
  <c r="B26" i="59"/>
  <c r="Z25" i="59"/>
  <c r="X25" i="59"/>
  <c r="N25" i="59"/>
  <c r="L25" i="59"/>
  <c r="B25" i="59"/>
  <c r="Z24" i="59"/>
  <c r="X24" i="59"/>
  <c r="N24" i="59"/>
  <c r="L24" i="59"/>
  <c r="F24" i="59"/>
  <c r="B24" i="59"/>
  <c r="Z23" i="59"/>
  <c r="X23" i="59"/>
  <c r="R23" i="59"/>
  <c r="L23" i="59"/>
  <c r="N23" i="59" s="1"/>
  <c r="F23" i="59"/>
  <c r="B23" i="59"/>
  <c r="X22" i="59"/>
  <c r="Z22" i="59" s="1"/>
  <c r="L22" i="59"/>
  <c r="N22" i="59" s="1"/>
  <c r="F22" i="59"/>
  <c r="B22" i="59"/>
  <c r="X21" i="59"/>
  <c r="Z21" i="59" s="1"/>
  <c r="L21" i="59"/>
  <c r="N21" i="59" s="1"/>
  <c r="B21" i="59"/>
  <c r="Z20" i="59"/>
  <c r="X20" i="59"/>
  <c r="N20" i="59"/>
  <c r="L20" i="59"/>
  <c r="F20" i="59"/>
  <c r="B20" i="59"/>
  <c r="T19" i="59"/>
  <c r="Z19" i="59" s="1"/>
  <c r="P19" i="59"/>
  <c r="X19" i="59" s="1"/>
  <c r="L19" i="59"/>
  <c r="N19" i="59" s="1"/>
  <c r="H19" i="59"/>
  <c r="F19" i="59"/>
  <c r="D19" i="59"/>
  <c r="B19" i="59"/>
  <c r="T18" i="59"/>
  <c r="Z18" i="59" s="1"/>
  <c r="R18" i="59"/>
  <c r="P18" i="59"/>
  <c r="X18" i="59" s="1"/>
  <c r="N18" i="59"/>
  <c r="H18" i="59"/>
  <c r="F18" i="59"/>
  <c r="D18" i="59"/>
  <c r="L18" i="59" s="1"/>
  <c r="R16" i="59"/>
  <c r="F16" i="59"/>
  <c r="T14" i="59"/>
  <c r="Z14" i="59" s="1"/>
  <c r="R14" i="59"/>
  <c r="P14" i="59"/>
  <c r="X14" i="59" s="1"/>
  <c r="N14" i="59"/>
  <c r="H14" i="59"/>
  <c r="F14" i="59"/>
  <c r="D14" i="59"/>
  <c r="D16" i="59" s="1"/>
  <c r="T12" i="59"/>
  <c r="V56" i="59" s="1"/>
  <c r="P12" i="59"/>
  <c r="R67" i="59" s="1"/>
  <c r="H12" i="59"/>
  <c r="D12" i="59"/>
  <c r="F61" i="59" s="1"/>
  <c r="D6" i="59"/>
  <c r="D4" i="59"/>
  <c r="J80" i="58"/>
  <c r="J77" i="58"/>
  <c r="Z75" i="58"/>
  <c r="X75" i="58"/>
  <c r="N75" i="58"/>
  <c r="L75" i="58"/>
  <c r="J75" i="58"/>
  <c r="J73" i="58"/>
  <c r="F73" i="58"/>
  <c r="Z71" i="58"/>
  <c r="T71" i="58"/>
  <c r="P71" i="58"/>
  <c r="X71" i="58" s="1"/>
  <c r="J71" i="58"/>
  <c r="H71" i="58"/>
  <c r="N71" i="58" s="1"/>
  <c r="F71" i="58"/>
  <c r="D71" i="58"/>
  <c r="L71" i="58" s="1"/>
  <c r="Z69" i="58"/>
  <c r="X69" i="58"/>
  <c r="N69" i="58"/>
  <c r="L69" i="58"/>
  <c r="B69" i="58"/>
  <c r="T68" i="58"/>
  <c r="P68" i="58"/>
  <c r="J68" i="58"/>
  <c r="H68" i="58"/>
  <c r="D68" i="58"/>
  <c r="L68" i="58" s="1"/>
  <c r="N68" i="58" s="1"/>
  <c r="B68" i="58"/>
  <c r="Z67" i="58"/>
  <c r="X67" i="58"/>
  <c r="V67" i="58"/>
  <c r="N67" i="58"/>
  <c r="L67" i="58"/>
  <c r="J67" i="58"/>
  <c r="B67" i="58"/>
  <c r="T66" i="58"/>
  <c r="Z66" i="58" s="1"/>
  <c r="P66" i="58"/>
  <c r="X66" i="58" s="1"/>
  <c r="J66" i="58"/>
  <c r="H66" i="58"/>
  <c r="L66" i="58" s="1"/>
  <c r="D66" i="58"/>
  <c r="B66" i="58"/>
  <c r="Z65" i="58"/>
  <c r="X65" i="58"/>
  <c r="N65" i="58"/>
  <c r="L65" i="58"/>
  <c r="B65" i="58"/>
  <c r="T64" i="58"/>
  <c r="P64" i="58"/>
  <c r="X64" i="58" s="1"/>
  <c r="L64" i="58"/>
  <c r="N64" i="58" s="1"/>
  <c r="H64" i="58"/>
  <c r="D64" i="58"/>
  <c r="B64" i="58"/>
  <c r="X63" i="58"/>
  <c r="Z63" i="58" s="1"/>
  <c r="V63" i="58"/>
  <c r="N63" i="58"/>
  <c r="L63" i="58"/>
  <c r="J63" i="58"/>
  <c r="B63" i="58"/>
  <c r="X62" i="58"/>
  <c r="Z62" i="58" s="1"/>
  <c r="L62" i="58"/>
  <c r="N62" i="58" s="1"/>
  <c r="J62" i="58"/>
  <c r="F62" i="58"/>
  <c r="B62" i="58"/>
  <c r="Z61" i="58"/>
  <c r="X61" i="58"/>
  <c r="N61" i="58"/>
  <c r="L61" i="58"/>
  <c r="B61" i="58"/>
  <c r="T60" i="58"/>
  <c r="P60" i="58"/>
  <c r="J60" i="58"/>
  <c r="H60" i="58"/>
  <c r="D60" i="58"/>
  <c r="L60" i="58" s="1"/>
  <c r="N60" i="58" s="1"/>
  <c r="B60" i="58"/>
  <c r="Z59" i="58"/>
  <c r="X59" i="58"/>
  <c r="V59" i="58"/>
  <c r="N59" i="58"/>
  <c r="L59" i="58"/>
  <c r="J59" i="58"/>
  <c r="B59" i="58"/>
  <c r="X58" i="58"/>
  <c r="Z58" i="58" s="1"/>
  <c r="N58" i="58"/>
  <c r="L58" i="58"/>
  <c r="B58" i="58"/>
  <c r="T57" i="58"/>
  <c r="P57" i="58"/>
  <c r="X57" i="58" s="1"/>
  <c r="Z57" i="58" s="1"/>
  <c r="N57" i="58"/>
  <c r="J57" i="58"/>
  <c r="H57" i="58"/>
  <c r="D57" i="58"/>
  <c r="L57" i="58" s="1"/>
  <c r="B57" i="58"/>
  <c r="Z56" i="58"/>
  <c r="X56" i="58"/>
  <c r="L56" i="58"/>
  <c r="N56" i="58" s="1"/>
  <c r="J56" i="58"/>
  <c r="F56" i="58"/>
  <c r="B56" i="58"/>
  <c r="X55" i="58"/>
  <c r="Z55" i="58" s="1"/>
  <c r="L55" i="58"/>
  <c r="N55" i="58" s="1"/>
  <c r="J55" i="58"/>
  <c r="F55" i="58"/>
  <c r="B55" i="58"/>
  <c r="X54" i="58"/>
  <c r="Z54" i="58" s="1"/>
  <c r="T54" i="58"/>
  <c r="P54" i="58"/>
  <c r="J54" i="58"/>
  <c r="H54" i="58"/>
  <c r="F54" i="58"/>
  <c r="D54" i="58"/>
  <c r="L54" i="58" s="1"/>
  <c r="B54" i="58"/>
  <c r="Z53" i="58"/>
  <c r="X53" i="58"/>
  <c r="N53" i="58"/>
  <c r="L53" i="58"/>
  <c r="B53" i="58"/>
  <c r="X52" i="58"/>
  <c r="Z52" i="58" s="1"/>
  <c r="R52" i="58"/>
  <c r="L52" i="58"/>
  <c r="N52" i="58" s="1"/>
  <c r="J52" i="58"/>
  <c r="F52" i="58"/>
  <c r="B52" i="58"/>
  <c r="X51" i="58"/>
  <c r="Z51" i="58" s="1"/>
  <c r="V51" i="58"/>
  <c r="N51" i="58"/>
  <c r="L51" i="58"/>
  <c r="J51" i="58"/>
  <c r="B51" i="58"/>
  <c r="T50" i="58"/>
  <c r="P50" i="58"/>
  <c r="X50" i="58" s="1"/>
  <c r="Z50" i="58" s="1"/>
  <c r="J50" i="58"/>
  <c r="H50" i="58"/>
  <c r="D50" i="58"/>
  <c r="B50" i="58"/>
  <c r="Z49" i="58"/>
  <c r="X49" i="58"/>
  <c r="N49" i="58"/>
  <c r="L49" i="58"/>
  <c r="J49" i="58"/>
  <c r="B49" i="58"/>
  <c r="T48" i="58"/>
  <c r="X48" i="58" s="1"/>
  <c r="P48" i="58"/>
  <c r="J48" i="58"/>
  <c r="H48" i="58"/>
  <c r="N48" i="58" s="1"/>
  <c r="D48" i="58"/>
  <c r="L48" i="58" s="1"/>
  <c r="B48" i="58"/>
  <c r="X47" i="58"/>
  <c r="Z47" i="58" s="1"/>
  <c r="N47" i="58"/>
  <c r="L47" i="58"/>
  <c r="J47" i="58"/>
  <c r="F47" i="58"/>
  <c r="B47" i="58"/>
  <c r="X46" i="58"/>
  <c r="Z46" i="58" s="1"/>
  <c r="T46" i="58"/>
  <c r="P46" i="58"/>
  <c r="J46" i="58"/>
  <c r="H46" i="58"/>
  <c r="N46" i="58" s="1"/>
  <c r="F46" i="58"/>
  <c r="D46" i="58"/>
  <c r="L46" i="58" s="1"/>
  <c r="B46" i="58"/>
  <c r="Z45" i="58"/>
  <c r="X45" i="58"/>
  <c r="N45" i="58"/>
  <c r="L45" i="58"/>
  <c r="B45" i="58"/>
  <c r="T44" i="58"/>
  <c r="P44" i="58"/>
  <c r="J44" i="58"/>
  <c r="H44" i="58"/>
  <c r="D44" i="58"/>
  <c r="L44" i="58" s="1"/>
  <c r="N44" i="58" s="1"/>
  <c r="B44" i="58"/>
  <c r="Z43" i="58"/>
  <c r="X43" i="58"/>
  <c r="V43" i="58"/>
  <c r="L43" i="58"/>
  <c r="N43" i="58" s="1"/>
  <c r="J43" i="58"/>
  <c r="B43" i="58"/>
  <c r="T42" i="58"/>
  <c r="Z42" i="58" s="1"/>
  <c r="P42" i="58"/>
  <c r="X42" i="58" s="1"/>
  <c r="J42" i="58"/>
  <c r="H42" i="58"/>
  <c r="L42" i="58" s="1"/>
  <c r="D42" i="58"/>
  <c r="B42" i="58"/>
  <c r="Z41" i="58"/>
  <c r="X41" i="58"/>
  <c r="N41" i="58"/>
  <c r="L41" i="58"/>
  <c r="J41" i="58"/>
  <c r="F41" i="58"/>
  <c r="B41" i="58"/>
  <c r="T40" i="58"/>
  <c r="P40" i="58"/>
  <c r="X40" i="58" s="1"/>
  <c r="L40" i="58"/>
  <c r="N40" i="58" s="1"/>
  <c r="H40" i="58"/>
  <c r="F40" i="58"/>
  <c r="D40" i="58"/>
  <c r="B40" i="58"/>
  <c r="X39" i="58"/>
  <c r="Z39" i="58" s="1"/>
  <c r="V39" i="58"/>
  <c r="N39" i="58"/>
  <c r="L39" i="58"/>
  <c r="J39" i="58"/>
  <c r="B39" i="58"/>
  <c r="T38" i="58"/>
  <c r="P38" i="58"/>
  <c r="X38" i="58" s="1"/>
  <c r="Z38" i="58" s="1"/>
  <c r="J38" i="58"/>
  <c r="H38" i="58"/>
  <c r="D38" i="58"/>
  <c r="B38" i="58"/>
  <c r="Z37" i="58"/>
  <c r="X37" i="58"/>
  <c r="N37" i="58"/>
  <c r="L37" i="58"/>
  <c r="J37" i="58"/>
  <c r="B37" i="58"/>
  <c r="T36" i="58"/>
  <c r="X36" i="58" s="1"/>
  <c r="P36" i="58"/>
  <c r="J36" i="58"/>
  <c r="H36" i="58"/>
  <c r="D36" i="58"/>
  <c r="L36" i="58" s="1"/>
  <c r="B36" i="58"/>
  <c r="X35" i="58"/>
  <c r="Z35" i="58" s="1"/>
  <c r="V35" i="58"/>
  <c r="L35" i="58"/>
  <c r="N35" i="58" s="1"/>
  <c r="J35" i="58"/>
  <c r="F35" i="58"/>
  <c r="B35" i="58"/>
  <c r="X34" i="58"/>
  <c r="Z34" i="58" s="1"/>
  <c r="L34" i="58"/>
  <c r="N34" i="58" s="1"/>
  <c r="J34" i="58"/>
  <c r="B34" i="58"/>
  <c r="Z33" i="58"/>
  <c r="X33" i="58"/>
  <c r="V33" i="58"/>
  <c r="N33" i="58"/>
  <c r="L33" i="58"/>
  <c r="J33" i="58"/>
  <c r="F33" i="58"/>
  <c r="B33" i="58"/>
  <c r="Z32" i="58"/>
  <c r="X32" i="58"/>
  <c r="R32" i="58"/>
  <c r="N32" i="58"/>
  <c r="L32" i="58"/>
  <c r="J32" i="58"/>
  <c r="F32" i="58"/>
  <c r="B32" i="58"/>
  <c r="X31" i="58"/>
  <c r="Z31" i="58" s="1"/>
  <c r="V31" i="58"/>
  <c r="L31" i="58"/>
  <c r="N31" i="58" s="1"/>
  <c r="J31" i="58"/>
  <c r="F31" i="58"/>
  <c r="B31" i="58"/>
  <c r="X30" i="58"/>
  <c r="Z30" i="58" s="1"/>
  <c r="T30" i="58"/>
  <c r="P30" i="58"/>
  <c r="J30" i="58"/>
  <c r="H30" i="58"/>
  <c r="N30" i="58" s="1"/>
  <c r="F30" i="58"/>
  <c r="D30" i="58"/>
  <c r="L30" i="58" s="1"/>
  <c r="B30" i="58"/>
  <c r="Z29" i="58"/>
  <c r="X29" i="58"/>
  <c r="N29" i="58"/>
  <c r="L29" i="58"/>
  <c r="B29" i="58"/>
  <c r="X28" i="58"/>
  <c r="Z28" i="58" s="1"/>
  <c r="R28" i="58"/>
  <c r="L28" i="58"/>
  <c r="N28" i="58" s="1"/>
  <c r="J28" i="58"/>
  <c r="F28" i="58"/>
  <c r="B28" i="58"/>
  <c r="X27" i="58"/>
  <c r="Z27" i="58" s="1"/>
  <c r="V27" i="58"/>
  <c r="N27" i="58"/>
  <c r="L27" i="58"/>
  <c r="J27" i="58"/>
  <c r="B27" i="58"/>
  <c r="X26" i="58"/>
  <c r="Z26" i="58" s="1"/>
  <c r="L26" i="58"/>
  <c r="N26" i="58" s="1"/>
  <c r="J26" i="58"/>
  <c r="F26" i="58"/>
  <c r="B26" i="58"/>
  <c r="Z25" i="58"/>
  <c r="X25" i="58"/>
  <c r="N25" i="58"/>
  <c r="L25" i="58"/>
  <c r="B25" i="58"/>
  <c r="X24" i="58"/>
  <c r="Z24" i="58" s="1"/>
  <c r="R24" i="58"/>
  <c r="L24" i="58"/>
  <c r="N24" i="58" s="1"/>
  <c r="J24" i="58"/>
  <c r="F24" i="58"/>
  <c r="B24" i="58"/>
  <c r="X23" i="58"/>
  <c r="Z23" i="58" s="1"/>
  <c r="V23" i="58"/>
  <c r="N23" i="58"/>
  <c r="L23" i="58"/>
  <c r="J23" i="58"/>
  <c r="B23" i="58"/>
  <c r="X22" i="58"/>
  <c r="Z22" i="58" s="1"/>
  <c r="L22" i="58"/>
  <c r="N22" i="58" s="1"/>
  <c r="J22" i="58"/>
  <c r="F22" i="58"/>
  <c r="B22" i="58"/>
  <c r="Z21" i="58"/>
  <c r="X21" i="58"/>
  <c r="N21" i="58"/>
  <c r="L21" i="58"/>
  <c r="B21" i="58"/>
  <c r="X20" i="58"/>
  <c r="Z20" i="58" s="1"/>
  <c r="R20" i="58"/>
  <c r="L20" i="58"/>
  <c r="N20" i="58" s="1"/>
  <c r="J20" i="58"/>
  <c r="F20" i="58"/>
  <c r="B20" i="58"/>
  <c r="V19" i="58"/>
  <c r="T19" i="58"/>
  <c r="P19" i="58"/>
  <c r="X19" i="58" s="1"/>
  <c r="J19" i="58"/>
  <c r="H19" i="58"/>
  <c r="F19" i="58"/>
  <c r="D19" i="58"/>
  <c r="L19" i="58" s="1"/>
  <c r="N19" i="58" s="1"/>
  <c r="B19" i="58"/>
  <c r="T18" i="58"/>
  <c r="Z18" i="58" s="1"/>
  <c r="P18" i="58"/>
  <c r="X18" i="58" s="1"/>
  <c r="J18" i="58"/>
  <c r="H18" i="58"/>
  <c r="L18" i="58" s="1"/>
  <c r="F18" i="58"/>
  <c r="D18" i="58"/>
  <c r="J16" i="58"/>
  <c r="F16" i="58"/>
  <c r="T14" i="58"/>
  <c r="Z14" i="58" s="1"/>
  <c r="P14" i="58"/>
  <c r="X14" i="58" s="1"/>
  <c r="J14" i="58"/>
  <c r="H14" i="58"/>
  <c r="L14" i="58" s="1"/>
  <c r="F14" i="58"/>
  <c r="D14" i="58"/>
  <c r="X12" i="58"/>
  <c r="T12" i="58"/>
  <c r="V73" i="58" s="1"/>
  <c r="P12" i="58"/>
  <c r="R34" i="58" s="1"/>
  <c r="N12" i="58"/>
  <c r="L12" i="58"/>
  <c r="H12" i="58"/>
  <c r="J65" i="58" s="1"/>
  <c r="D12" i="58"/>
  <c r="F80" i="58" s="1"/>
  <c r="D6" i="58"/>
  <c r="D4" i="58"/>
  <c r="R79" i="57"/>
  <c r="R76" i="57"/>
  <c r="Z74" i="57"/>
  <c r="X74" i="57"/>
  <c r="R74" i="57"/>
  <c r="N74" i="57"/>
  <c r="L74" i="57"/>
  <c r="F74" i="57"/>
  <c r="T70" i="57"/>
  <c r="X70" i="57" s="1"/>
  <c r="P70" i="57"/>
  <c r="H70" i="57"/>
  <c r="N70" i="57" s="1"/>
  <c r="D70" i="57"/>
  <c r="L70" i="57" s="1"/>
  <c r="X68" i="57"/>
  <c r="Z68" i="57" s="1"/>
  <c r="R68" i="57"/>
  <c r="N68" i="57"/>
  <c r="L68" i="57"/>
  <c r="F68" i="57"/>
  <c r="B68" i="57"/>
  <c r="V67" i="57"/>
  <c r="T67" i="57"/>
  <c r="P67" i="57"/>
  <c r="X67" i="57" s="1"/>
  <c r="Z67" i="57" s="1"/>
  <c r="N67" i="57"/>
  <c r="H67" i="57"/>
  <c r="F67" i="57"/>
  <c r="D67" i="57"/>
  <c r="L67" i="57" s="1"/>
  <c r="B67" i="57"/>
  <c r="X66" i="57"/>
  <c r="Z66" i="57" s="1"/>
  <c r="L66" i="57"/>
  <c r="N66" i="57" s="1"/>
  <c r="B66" i="57"/>
  <c r="Z65" i="57"/>
  <c r="X65" i="57"/>
  <c r="V65" i="57"/>
  <c r="T65" i="57"/>
  <c r="R65" i="57"/>
  <c r="P65" i="57"/>
  <c r="L65" i="57"/>
  <c r="J65" i="57"/>
  <c r="H65" i="57"/>
  <c r="N65" i="57" s="1"/>
  <c r="D65" i="57"/>
  <c r="B65" i="57"/>
  <c r="X64" i="57"/>
  <c r="Z64" i="57" s="1"/>
  <c r="R64" i="57"/>
  <c r="L64" i="57"/>
  <c r="N64" i="57" s="1"/>
  <c r="B64" i="57"/>
  <c r="V63" i="57"/>
  <c r="T63" i="57"/>
  <c r="Z63" i="57" s="1"/>
  <c r="R63" i="57"/>
  <c r="P63" i="57"/>
  <c r="X63" i="57" s="1"/>
  <c r="H63" i="57"/>
  <c r="D63" i="57"/>
  <c r="L63" i="57" s="1"/>
  <c r="N63" i="57" s="1"/>
  <c r="B63" i="57"/>
  <c r="X62" i="57"/>
  <c r="Z62" i="57" s="1"/>
  <c r="R62" i="57"/>
  <c r="N62" i="57"/>
  <c r="L62" i="57"/>
  <c r="B62" i="57"/>
  <c r="Z61" i="57"/>
  <c r="X61" i="57"/>
  <c r="N61" i="57"/>
  <c r="L61" i="57"/>
  <c r="B61" i="57"/>
  <c r="X60" i="57"/>
  <c r="Z60" i="57" s="1"/>
  <c r="R60" i="57"/>
  <c r="N60" i="57"/>
  <c r="L60" i="57"/>
  <c r="F60" i="57"/>
  <c r="B60" i="57"/>
  <c r="V59" i="57"/>
  <c r="T59" i="57"/>
  <c r="P59" i="57"/>
  <c r="X59" i="57" s="1"/>
  <c r="Z59" i="57" s="1"/>
  <c r="H59" i="57"/>
  <c r="F59" i="57"/>
  <c r="D59" i="57"/>
  <c r="L59" i="57" s="1"/>
  <c r="N59" i="57" s="1"/>
  <c r="B59" i="57"/>
  <c r="Z58" i="57"/>
  <c r="X58" i="57"/>
  <c r="N58" i="57"/>
  <c r="L58" i="57"/>
  <c r="B58" i="57"/>
  <c r="Z57" i="57"/>
  <c r="X57" i="57"/>
  <c r="V57" i="57"/>
  <c r="T57" i="57"/>
  <c r="R57" i="57"/>
  <c r="P57" i="57"/>
  <c r="L57" i="57"/>
  <c r="J57" i="57"/>
  <c r="H57" i="57"/>
  <c r="N57" i="57" s="1"/>
  <c r="D57" i="57"/>
  <c r="B57" i="57"/>
  <c r="X56" i="57"/>
  <c r="Z56" i="57" s="1"/>
  <c r="R56" i="57"/>
  <c r="L56" i="57"/>
  <c r="N56" i="57" s="1"/>
  <c r="B56" i="57"/>
  <c r="V55" i="57"/>
  <c r="T55" i="57"/>
  <c r="R55" i="57"/>
  <c r="P55" i="57"/>
  <c r="X55" i="57" s="1"/>
  <c r="H55" i="57"/>
  <c r="D55" i="57"/>
  <c r="L55" i="57" s="1"/>
  <c r="N55" i="57" s="1"/>
  <c r="B55" i="57"/>
  <c r="Z54" i="57"/>
  <c r="X54" i="57"/>
  <c r="R54" i="57"/>
  <c r="N54" i="57"/>
  <c r="L54" i="57"/>
  <c r="B54" i="57"/>
  <c r="Z53" i="57"/>
  <c r="X53" i="57"/>
  <c r="N53" i="57"/>
  <c r="L53" i="57"/>
  <c r="B53" i="57"/>
  <c r="X52" i="57"/>
  <c r="Z52" i="57" s="1"/>
  <c r="R52" i="57"/>
  <c r="N52" i="57"/>
  <c r="L52" i="57"/>
  <c r="F52" i="57"/>
  <c r="B52" i="57"/>
  <c r="V51" i="57"/>
  <c r="T51" i="57"/>
  <c r="P51" i="57"/>
  <c r="X51" i="57" s="1"/>
  <c r="Z51" i="57" s="1"/>
  <c r="H51" i="57"/>
  <c r="F51" i="57"/>
  <c r="D51" i="57"/>
  <c r="L51" i="57" s="1"/>
  <c r="N51" i="57" s="1"/>
  <c r="B51" i="57"/>
  <c r="X50" i="57"/>
  <c r="Z50" i="57" s="1"/>
  <c r="N50" i="57"/>
  <c r="L50" i="57"/>
  <c r="B50" i="57"/>
  <c r="Z49" i="57"/>
  <c r="X49" i="57"/>
  <c r="V49" i="57"/>
  <c r="T49" i="57"/>
  <c r="R49" i="57"/>
  <c r="P49" i="57"/>
  <c r="L49" i="57"/>
  <c r="J49" i="57"/>
  <c r="H49" i="57"/>
  <c r="N49" i="57" s="1"/>
  <c r="D49" i="57"/>
  <c r="B49" i="57"/>
  <c r="X48" i="57"/>
  <c r="Z48" i="57" s="1"/>
  <c r="R48" i="57"/>
  <c r="L48" i="57"/>
  <c r="N48" i="57" s="1"/>
  <c r="B48" i="57"/>
  <c r="V47" i="57"/>
  <c r="T47" i="57"/>
  <c r="R47" i="57"/>
  <c r="P47" i="57"/>
  <c r="X47" i="57" s="1"/>
  <c r="H47" i="57"/>
  <c r="D47" i="57"/>
  <c r="L47" i="57" s="1"/>
  <c r="N47" i="57" s="1"/>
  <c r="B47" i="57"/>
  <c r="X46" i="57"/>
  <c r="Z46" i="57" s="1"/>
  <c r="R46" i="57"/>
  <c r="N46" i="57"/>
  <c r="L46" i="57"/>
  <c r="B46" i="57"/>
  <c r="T45" i="57"/>
  <c r="R45" i="57"/>
  <c r="P45" i="57"/>
  <c r="X45" i="57" s="1"/>
  <c r="Z45" i="57" s="1"/>
  <c r="N45" i="57"/>
  <c r="J45" i="57"/>
  <c r="H45" i="57"/>
  <c r="D45" i="57"/>
  <c r="L45" i="57" s="1"/>
  <c r="B45" i="57"/>
  <c r="Z44" i="57"/>
  <c r="X44" i="57"/>
  <c r="R44" i="57"/>
  <c r="L44" i="57"/>
  <c r="N44" i="57" s="1"/>
  <c r="F44" i="57"/>
  <c r="B44" i="57"/>
  <c r="X43" i="57"/>
  <c r="V43" i="57"/>
  <c r="T43" i="57"/>
  <c r="Z43" i="57" s="1"/>
  <c r="P43" i="57"/>
  <c r="N43" i="57"/>
  <c r="L43" i="57"/>
  <c r="J43" i="57"/>
  <c r="H43" i="57"/>
  <c r="F43" i="57"/>
  <c r="D43" i="57"/>
  <c r="B43" i="57"/>
  <c r="X42" i="57"/>
  <c r="Z42" i="57" s="1"/>
  <c r="L42" i="57"/>
  <c r="N42" i="57" s="1"/>
  <c r="B42" i="57"/>
  <c r="Z41" i="57"/>
  <c r="T41" i="57"/>
  <c r="R41" i="57"/>
  <c r="P41" i="57"/>
  <c r="X41" i="57" s="1"/>
  <c r="J41" i="57"/>
  <c r="H41" i="57"/>
  <c r="N41" i="57" s="1"/>
  <c r="D41" i="57"/>
  <c r="L41" i="57" s="1"/>
  <c r="B41" i="57"/>
  <c r="X40" i="57"/>
  <c r="Z40" i="57" s="1"/>
  <c r="R40" i="57"/>
  <c r="N40" i="57"/>
  <c r="L40" i="57"/>
  <c r="F40" i="57"/>
  <c r="B40" i="57"/>
  <c r="V39" i="57"/>
  <c r="T39" i="57"/>
  <c r="P39" i="57"/>
  <c r="X39" i="57" s="1"/>
  <c r="Z39" i="57" s="1"/>
  <c r="N39" i="57"/>
  <c r="H39" i="57"/>
  <c r="F39" i="57"/>
  <c r="D39" i="57"/>
  <c r="L39" i="57" s="1"/>
  <c r="B39" i="57"/>
  <c r="X38" i="57"/>
  <c r="Z38" i="57" s="1"/>
  <c r="L38" i="57"/>
  <c r="N38" i="57" s="1"/>
  <c r="B38" i="57"/>
  <c r="Z37" i="57"/>
  <c r="X37" i="57"/>
  <c r="V37" i="57"/>
  <c r="T37" i="57"/>
  <c r="R37" i="57"/>
  <c r="P37" i="57"/>
  <c r="L37" i="57"/>
  <c r="J37" i="57"/>
  <c r="H37" i="57"/>
  <c r="N37" i="57" s="1"/>
  <c r="D37" i="57"/>
  <c r="B37" i="57"/>
  <c r="X36" i="57"/>
  <c r="Z36" i="57" s="1"/>
  <c r="R36" i="57"/>
  <c r="L36" i="57"/>
  <c r="N36" i="57" s="1"/>
  <c r="B36" i="57"/>
  <c r="V35" i="57"/>
  <c r="T35" i="57"/>
  <c r="R35" i="57"/>
  <c r="P35" i="57"/>
  <c r="X35" i="57" s="1"/>
  <c r="H35" i="57"/>
  <c r="D35" i="57"/>
  <c r="L35" i="57" s="1"/>
  <c r="N35" i="57" s="1"/>
  <c r="B35" i="57"/>
  <c r="X34" i="57"/>
  <c r="Z34" i="57" s="1"/>
  <c r="V34" i="57"/>
  <c r="R34" i="57"/>
  <c r="L34" i="57"/>
  <c r="N34" i="57" s="1"/>
  <c r="B34" i="57"/>
  <c r="Z33" i="57"/>
  <c r="X33" i="57"/>
  <c r="R33" i="57"/>
  <c r="N33" i="57"/>
  <c r="L33" i="57"/>
  <c r="J33" i="57"/>
  <c r="B33" i="57"/>
  <c r="X32" i="57"/>
  <c r="Z32" i="57" s="1"/>
  <c r="R32" i="57"/>
  <c r="N32" i="57"/>
  <c r="L32" i="57"/>
  <c r="F32" i="57"/>
  <c r="B32" i="57"/>
  <c r="Z31" i="57"/>
  <c r="X31" i="57"/>
  <c r="V31" i="57"/>
  <c r="L31" i="57"/>
  <c r="N31" i="57" s="1"/>
  <c r="J31" i="57"/>
  <c r="B31" i="57"/>
  <c r="Z30" i="57"/>
  <c r="X30" i="57"/>
  <c r="V30" i="57"/>
  <c r="R30" i="57"/>
  <c r="N30" i="57"/>
  <c r="L30" i="57"/>
  <c r="B30" i="57"/>
  <c r="Z29" i="57"/>
  <c r="X29" i="57"/>
  <c r="R29" i="57"/>
  <c r="N29" i="57"/>
  <c r="L29" i="57"/>
  <c r="J29" i="57"/>
  <c r="B29" i="57"/>
  <c r="V28" i="57"/>
  <c r="T28" i="57"/>
  <c r="X28" i="57" s="1"/>
  <c r="R28" i="57"/>
  <c r="P28" i="57"/>
  <c r="L28" i="57"/>
  <c r="H28" i="57"/>
  <c r="N28" i="57" s="1"/>
  <c r="D28" i="57"/>
  <c r="B28" i="57"/>
  <c r="X27" i="57"/>
  <c r="Z27" i="57" s="1"/>
  <c r="V27" i="57"/>
  <c r="R27" i="57"/>
  <c r="L27" i="57"/>
  <c r="N27" i="57" s="1"/>
  <c r="J27" i="57"/>
  <c r="B27" i="57"/>
  <c r="X26" i="57"/>
  <c r="Z26" i="57" s="1"/>
  <c r="L26" i="57"/>
  <c r="N26" i="57" s="1"/>
  <c r="B26" i="57"/>
  <c r="Z25" i="57"/>
  <c r="X25" i="57"/>
  <c r="V25" i="57"/>
  <c r="R25" i="57"/>
  <c r="N25" i="57"/>
  <c r="L25" i="57"/>
  <c r="B25" i="57"/>
  <c r="Z24" i="57"/>
  <c r="X24" i="57"/>
  <c r="R24" i="57"/>
  <c r="L24" i="57"/>
  <c r="N24" i="57" s="1"/>
  <c r="F24" i="57"/>
  <c r="B24" i="57"/>
  <c r="X23" i="57"/>
  <c r="Z23" i="57" s="1"/>
  <c r="V23" i="57"/>
  <c r="R23" i="57"/>
  <c r="L23" i="57"/>
  <c r="N23" i="57" s="1"/>
  <c r="J23" i="57"/>
  <c r="B23" i="57"/>
  <c r="X22" i="57"/>
  <c r="Z22" i="57" s="1"/>
  <c r="L22" i="57"/>
  <c r="N22" i="57" s="1"/>
  <c r="B22" i="57"/>
  <c r="Z21" i="57"/>
  <c r="X21" i="57"/>
  <c r="V21" i="57"/>
  <c r="R21" i="57"/>
  <c r="N21" i="57"/>
  <c r="L21" i="57"/>
  <c r="B21" i="57"/>
  <c r="Z20" i="57"/>
  <c r="X20" i="57"/>
  <c r="R20" i="57"/>
  <c r="L20" i="57"/>
  <c r="N20" i="57" s="1"/>
  <c r="F20" i="57"/>
  <c r="B20" i="57"/>
  <c r="X19" i="57"/>
  <c r="V19" i="57"/>
  <c r="T19" i="57"/>
  <c r="Z19" i="57" s="1"/>
  <c r="P19" i="57"/>
  <c r="N19" i="57"/>
  <c r="L19" i="57"/>
  <c r="J19" i="57"/>
  <c r="H19" i="57"/>
  <c r="F19" i="57"/>
  <c r="D19" i="57"/>
  <c r="B19" i="57"/>
  <c r="T18" i="57"/>
  <c r="R18" i="57"/>
  <c r="P18" i="57"/>
  <c r="X18" i="57" s="1"/>
  <c r="Z18" i="57" s="1"/>
  <c r="H18" i="57"/>
  <c r="D18" i="57"/>
  <c r="R16" i="57"/>
  <c r="P16" i="57"/>
  <c r="H16" i="57"/>
  <c r="Z14" i="57"/>
  <c r="T14" i="57"/>
  <c r="R14" i="57"/>
  <c r="P14" i="57"/>
  <c r="X14" i="57" s="1"/>
  <c r="H14" i="57"/>
  <c r="D14" i="57"/>
  <c r="Z12" i="57"/>
  <c r="X12" i="57"/>
  <c r="T12" i="57"/>
  <c r="V41" i="57" s="1"/>
  <c r="P12" i="57"/>
  <c r="R67" i="57" s="1"/>
  <c r="L12" i="57"/>
  <c r="H12" i="57"/>
  <c r="J63" i="57" s="1"/>
  <c r="D12" i="57"/>
  <c r="F62" i="57" s="1"/>
  <c r="D6" i="57"/>
  <c r="D4" i="57"/>
  <c r="Z76" i="56"/>
  <c r="X76" i="56"/>
  <c r="N76" i="56"/>
  <c r="L76" i="56"/>
  <c r="F76" i="56"/>
  <c r="T72" i="56"/>
  <c r="P72" i="56"/>
  <c r="N72" i="56"/>
  <c r="H72" i="56"/>
  <c r="D72" i="56"/>
  <c r="L72" i="56" s="1"/>
  <c r="X70" i="56"/>
  <c r="Z70" i="56" s="1"/>
  <c r="R70" i="56"/>
  <c r="N70" i="56"/>
  <c r="L70" i="56"/>
  <c r="B70" i="56"/>
  <c r="X69" i="56"/>
  <c r="Z69" i="56" s="1"/>
  <c r="V69" i="56"/>
  <c r="N69" i="56"/>
  <c r="L69" i="56"/>
  <c r="J69" i="56"/>
  <c r="B69" i="56"/>
  <c r="T68" i="56"/>
  <c r="P68" i="56"/>
  <c r="X68" i="56" s="1"/>
  <c r="Z68" i="56" s="1"/>
  <c r="H68" i="56"/>
  <c r="D68" i="56"/>
  <c r="B68" i="56"/>
  <c r="Z67" i="56"/>
  <c r="X67" i="56"/>
  <c r="N67" i="56"/>
  <c r="L67" i="56"/>
  <c r="J67" i="56"/>
  <c r="B67" i="56"/>
  <c r="T66" i="56"/>
  <c r="X66" i="56" s="1"/>
  <c r="P66" i="56"/>
  <c r="H66" i="56"/>
  <c r="N66" i="56" s="1"/>
  <c r="D66" i="56"/>
  <c r="L66" i="56" s="1"/>
  <c r="B66" i="56"/>
  <c r="X65" i="56"/>
  <c r="Z65" i="56" s="1"/>
  <c r="V65" i="56"/>
  <c r="L65" i="56"/>
  <c r="N65" i="56" s="1"/>
  <c r="J65" i="56"/>
  <c r="B65" i="56"/>
  <c r="X64" i="56"/>
  <c r="T64" i="56"/>
  <c r="P64" i="56"/>
  <c r="H64" i="56"/>
  <c r="D64" i="56"/>
  <c r="L64" i="56" s="1"/>
  <c r="B64" i="56"/>
  <c r="Z63" i="56"/>
  <c r="X63" i="56"/>
  <c r="N63" i="56"/>
  <c r="L63" i="56"/>
  <c r="B63" i="56"/>
  <c r="X62" i="56"/>
  <c r="Z62" i="56" s="1"/>
  <c r="R62" i="56"/>
  <c r="L62" i="56"/>
  <c r="N62" i="56" s="1"/>
  <c r="B62" i="56"/>
  <c r="Z61" i="56"/>
  <c r="X61" i="56"/>
  <c r="V61" i="56"/>
  <c r="N61" i="56"/>
  <c r="L61" i="56"/>
  <c r="J61" i="56"/>
  <c r="B61" i="56"/>
  <c r="X60" i="56"/>
  <c r="Z60" i="56" s="1"/>
  <c r="N60" i="56"/>
  <c r="L60" i="56"/>
  <c r="J60" i="56"/>
  <c r="B60" i="56"/>
  <c r="T59" i="56"/>
  <c r="P59" i="56"/>
  <c r="X59" i="56" s="1"/>
  <c r="Z59" i="56" s="1"/>
  <c r="J59" i="56"/>
  <c r="H59" i="56"/>
  <c r="N59" i="56" s="1"/>
  <c r="D59" i="56"/>
  <c r="L59" i="56" s="1"/>
  <c r="B59" i="56"/>
  <c r="X58" i="56"/>
  <c r="Z58" i="56" s="1"/>
  <c r="V58" i="56"/>
  <c r="N58" i="56"/>
  <c r="L58" i="56"/>
  <c r="F58" i="56"/>
  <c r="B58" i="56"/>
  <c r="V57" i="56"/>
  <c r="T57" i="56"/>
  <c r="P57" i="56"/>
  <c r="X57" i="56" s="1"/>
  <c r="Z57" i="56" s="1"/>
  <c r="H57" i="56"/>
  <c r="F57" i="56"/>
  <c r="D57" i="56"/>
  <c r="L57" i="56" s="1"/>
  <c r="N57" i="56" s="1"/>
  <c r="B57" i="56"/>
  <c r="X56" i="56"/>
  <c r="Z56" i="56" s="1"/>
  <c r="L56" i="56"/>
  <c r="N56" i="56" s="1"/>
  <c r="B56" i="56"/>
  <c r="Z55" i="56"/>
  <c r="X55" i="56"/>
  <c r="V55" i="56"/>
  <c r="N55" i="56"/>
  <c r="L55" i="56"/>
  <c r="B55" i="56"/>
  <c r="Z54" i="56"/>
  <c r="X54" i="56"/>
  <c r="N54" i="56"/>
  <c r="L54" i="56"/>
  <c r="F54" i="56"/>
  <c r="B54" i="56"/>
  <c r="X53" i="56"/>
  <c r="V53" i="56"/>
  <c r="T53" i="56"/>
  <c r="Z53" i="56" s="1"/>
  <c r="P53" i="56"/>
  <c r="N53" i="56"/>
  <c r="L53" i="56"/>
  <c r="J53" i="56"/>
  <c r="H53" i="56"/>
  <c r="F53" i="56"/>
  <c r="D53" i="56"/>
  <c r="B53" i="56"/>
  <c r="X52" i="56"/>
  <c r="Z52" i="56" s="1"/>
  <c r="N52" i="56"/>
  <c r="L52" i="56"/>
  <c r="J52" i="56"/>
  <c r="B52" i="56"/>
  <c r="Z51" i="56"/>
  <c r="X51" i="56"/>
  <c r="N51" i="56"/>
  <c r="L51" i="56"/>
  <c r="B51" i="56"/>
  <c r="X50" i="56"/>
  <c r="Z50" i="56" s="1"/>
  <c r="N50" i="56"/>
  <c r="L50" i="56"/>
  <c r="J50" i="56"/>
  <c r="B50" i="56"/>
  <c r="V49" i="56"/>
  <c r="T49" i="56"/>
  <c r="Z49" i="56" s="1"/>
  <c r="P49" i="56"/>
  <c r="X49" i="56" s="1"/>
  <c r="N49" i="56"/>
  <c r="H49" i="56"/>
  <c r="D49" i="56"/>
  <c r="L49" i="56" s="1"/>
  <c r="B49" i="56"/>
  <c r="X48" i="56"/>
  <c r="Z48" i="56" s="1"/>
  <c r="V48" i="56"/>
  <c r="L48" i="56"/>
  <c r="N48" i="56" s="1"/>
  <c r="B48" i="56"/>
  <c r="Z47" i="56"/>
  <c r="T47" i="56"/>
  <c r="R47" i="56"/>
  <c r="P47" i="56"/>
  <c r="X47" i="56" s="1"/>
  <c r="J47" i="56"/>
  <c r="H47" i="56"/>
  <c r="D47" i="56"/>
  <c r="L47" i="56" s="1"/>
  <c r="N47" i="56" s="1"/>
  <c r="B47" i="56"/>
  <c r="Z46" i="56"/>
  <c r="X46" i="56"/>
  <c r="L46" i="56"/>
  <c r="N46" i="56" s="1"/>
  <c r="F46" i="56"/>
  <c r="B46" i="56"/>
  <c r="X45" i="56"/>
  <c r="V45" i="56"/>
  <c r="T45" i="56"/>
  <c r="Z45" i="56" s="1"/>
  <c r="P45" i="56"/>
  <c r="N45" i="56"/>
  <c r="L45" i="56"/>
  <c r="J45" i="56"/>
  <c r="H45" i="56"/>
  <c r="D45" i="56"/>
  <c r="B45" i="56"/>
  <c r="X44" i="56"/>
  <c r="Z44" i="56" s="1"/>
  <c r="V44" i="56"/>
  <c r="L44" i="56"/>
  <c r="N44" i="56" s="1"/>
  <c r="J44" i="56"/>
  <c r="B44" i="56"/>
  <c r="T43" i="56"/>
  <c r="P43" i="56"/>
  <c r="X43" i="56" s="1"/>
  <c r="Z43" i="56" s="1"/>
  <c r="J43" i="56"/>
  <c r="H43" i="56"/>
  <c r="D43" i="56"/>
  <c r="L43" i="56" s="1"/>
  <c r="B43" i="56"/>
  <c r="X42" i="56"/>
  <c r="Z42" i="56" s="1"/>
  <c r="V42" i="56"/>
  <c r="R42" i="56"/>
  <c r="N42" i="56"/>
  <c r="L42" i="56"/>
  <c r="F42" i="56"/>
  <c r="B42" i="56"/>
  <c r="V41" i="56"/>
  <c r="T41" i="56"/>
  <c r="P41" i="56"/>
  <c r="X41" i="56" s="1"/>
  <c r="Z41" i="56" s="1"/>
  <c r="N41" i="56"/>
  <c r="H41" i="56"/>
  <c r="F41" i="56"/>
  <c r="D41" i="56"/>
  <c r="L41" i="56" s="1"/>
  <c r="B41" i="56"/>
  <c r="X40" i="56"/>
  <c r="Z40" i="56" s="1"/>
  <c r="N40" i="56"/>
  <c r="L40" i="56"/>
  <c r="J40" i="56"/>
  <c r="B40" i="56"/>
  <c r="Z39" i="56"/>
  <c r="X39" i="56"/>
  <c r="V39" i="56"/>
  <c r="T39" i="56"/>
  <c r="R39" i="56"/>
  <c r="P39" i="56"/>
  <c r="L39" i="56"/>
  <c r="J39" i="56"/>
  <c r="H39" i="56"/>
  <c r="N39" i="56" s="1"/>
  <c r="D39" i="56"/>
  <c r="B39" i="56"/>
  <c r="X38" i="56"/>
  <c r="Z38" i="56" s="1"/>
  <c r="L38" i="56"/>
  <c r="N38" i="56" s="1"/>
  <c r="J38" i="56"/>
  <c r="F38" i="56"/>
  <c r="B38" i="56"/>
  <c r="V37" i="56"/>
  <c r="T37" i="56"/>
  <c r="Z37" i="56" s="1"/>
  <c r="P37" i="56"/>
  <c r="X37" i="56" s="1"/>
  <c r="H37" i="56"/>
  <c r="F37" i="56"/>
  <c r="D37" i="56"/>
  <c r="L37" i="56" s="1"/>
  <c r="N37" i="56" s="1"/>
  <c r="B37" i="56"/>
  <c r="X36" i="56"/>
  <c r="Z36" i="56" s="1"/>
  <c r="V36" i="56"/>
  <c r="L36" i="56"/>
  <c r="N36" i="56" s="1"/>
  <c r="B36" i="56"/>
  <c r="Z35" i="56"/>
  <c r="T35" i="56"/>
  <c r="P35" i="56"/>
  <c r="X35" i="56" s="1"/>
  <c r="J35" i="56"/>
  <c r="H35" i="56"/>
  <c r="D35" i="56"/>
  <c r="L35" i="56" s="1"/>
  <c r="N35" i="56" s="1"/>
  <c r="B35" i="56"/>
  <c r="Z34" i="56"/>
  <c r="X34" i="56"/>
  <c r="L34" i="56"/>
  <c r="N34" i="56" s="1"/>
  <c r="F34" i="56"/>
  <c r="B34" i="56"/>
  <c r="X33" i="56"/>
  <c r="V33" i="56"/>
  <c r="T33" i="56"/>
  <c r="Z33" i="56" s="1"/>
  <c r="P33" i="56"/>
  <c r="N33" i="56"/>
  <c r="L33" i="56"/>
  <c r="J33" i="56"/>
  <c r="H33" i="56"/>
  <c r="F33" i="56"/>
  <c r="D33" i="56"/>
  <c r="B33" i="56"/>
  <c r="X32" i="56"/>
  <c r="Z32" i="56" s="1"/>
  <c r="V32" i="56"/>
  <c r="N32" i="56"/>
  <c r="L32" i="56"/>
  <c r="J32" i="56"/>
  <c r="B32" i="56"/>
  <c r="Z31" i="56"/>
  <c r="X31" i="56"/>
  <c r="N31" i="56"/>
  <c r="L31" i="56"/>
  <c r="B31" i="56"/>
  <c r="X30" i="56"/>
  <c r="Z30" i="56" s="1"/>
  <c r="R30" i="56"/>
  <c r="L30" i="56"/>
  <c r="N30" i="56" s="1"/>
  <c r="J30" i="56"/>
  <c r="F30" i="56"/>
  <c r="B30" i="56"/>
  <c r="V29" i="56"/>
  <c r="T29" i="56"/>
  <c r="R29" i="56"/>
  <c r="P29" i="56"/>
  <c r="X29" i="56" s="1"/>
  <c r="H29" i="56"/>
  <c r="F29" i="56"/>
  <c r="D29" i="56"/>
  <c r="L29" i="56" s="1"/>
  <c r="N29" i="56" s="1"/>
  <c r="B29" i="56"/>
  <c r="X28" i="56"/>
  <c r="Z28" i="56" s="1"/>
  <c r="V28" i="56"/>
  <c r="R28" i="56"/>
  <c r="L28" i="56"/>
  <c r="N28" i="56" s="1"/>
  <c r="B28" i="56"/>
  <c r="Z27" i="56"/>
  <c r="X27" i="56"/>
  <c r="N27" i="56"/>
  <c r="L27" i="56"/>
  <c r="J27" i="56"/>
  <c r="B27" i="56"/>
  <c r="X26" i="56"/>
  <c r="Z26" i="56" s="1"/>
  <c r="V26" i="56"/>
  <c r="R26" i="56"/>
  <c r="N26" i="56"/>
  <c r="L26" i="56"/>
  <c r="B26" i="56"/>
  <c r="Z25" i="56"/>
  <c r="X25" i="56"/>
  <c r="V25" i="56"/>
  <c r="N25" i="56"/>
  <c r="L25" i="56"/>
  <c r="J25" i="56"/>
  <c r="B25" i="56"/>
  <c r="X24" i="56"/>
  <c r="Z24" i="56" s="1"/>
  <c r="V24" i="56"/>
  <c r="R24" i="56"/>
  <c r="L24" i="56"/>
  <c r="N24" i="56" s="1"/>
  <c r="B24" i="56"/>
  <c r="Z23" i="56"/>
  <c r="X23" i="56"/>
  <c r="N23" i="56"/>
  <c r="L23" i="56"/>
  <c r="J23" i="56"/>
  <c r="B23" i="56"/>
  <c r="X22" i="56"/>
  <c r="Z22" i="56" s="1"/>
  <c r="V22" i="56"/>
  <c r="R22" i="56"/>
  <c r="N22" i="56"/>
  <c r="L22" i="56"/>
  <c r="F22" i="56"/>
  <c r="B22" i="56"/>
  <c r="Z21" i="56"/>
  <c r="X21" i="56"/>
  <c r="V21" i="56"/>
  <c r="L21" i="56"/>
  <c r="N21" i="56" s="1"/>
  <c r="J21" i="56"/>
  <c r="B21" i="56"/>
  <c r="X20" i="56"/>
  <c r="Z20" i="56" s="1"/>
  <c r="V20" i="56"/>
  <c r="R20" i="56"/>
  <c r="L20" i="56"/>
  <c r="N20" i="56" s="1"/>
  <c r="B20" i="56"/>
  <c r="Z19" i="56"/>
  <c r="T19" i="56"/>
  <c r="R19" i="56"/>
  <c r="P19" i="56"/>
  <c r="X19" i="56" s="1"/>
  <c r="N19" i="56"/>
  <c r="J19" i="56"/>
  <c r="H19" i="56"/>
  <c r="D19" i="56"/>
  <c r="L19" i="56" s="1"/>
  <c r="B19" i="56"/>
  <c r="T18" i="56"/>
  <c r="P18" i="56"/>
  <c r="L18" i="56"/>
  <c r="H18" i="56"/>
  <c r="N18" i="56" s="1"/>
  <c r="D18" i="56"/>
  <c r="T16" i="56"/>
  <c r="Z16" i="56" s="1"/>
  <c r="T14" i="56"/>
  <c r="Z14" i="56" s="1"/>
  <c r="P14" i="56"/>
  <c r="X14" i="56" s="1"/>
  <c r="L14" i="56"/>
  <c r="H14" i="56"/>
  <c r="H16" i="56" s="1"/>
  <c r="D14" i="56"/>
  <c r="Z12" i="56"/>
  <c r="T12" i="56"/>
  <c r="V63" i="56" s="1"/>
  <c r="P12" i="56"/>
  <c r="R54" i="56" s="1"/>
  <c r="N12" i="56"/>
  <c r="L12" i="56"/>
  <c r="H12" i="56"/>
  <c r="J55" i="56" s="1"/>
  <c r="D12" i="56"/>
  <c r="D6" i="56"/>
  <c r="D4" i="56"/>
  <c r="Z35" i="55"/>
  <c r="X35" i="55"/>
  <c r="N35" i="55"/>
  <c r="L35" i="55"/>
  <c r="F35" i="55"/>
  <c r="R33" i="55"/>
  <c r="F33" i="55"/>
  <c r="X31" i="55"/>
  <c r="T31" i="55"/>
  <c r="Z31" i="55" s="1"/>
  <c r="R31" i="55"/>
  <c r="P31" i="55"/>
  <c r="H31" i="55"/>
  <c r="N31" i="55" s="1"/>
  <c r="F31" i="55"/>
  <c r="D31" i="55"/>
  <c r="L31" i="55" s="1"/>
  <c r="X29" i="55"/>
  <c r="Z29" i="55" s="1"/>
  <c r="R29" i="55"/>
  <c r="L29" i="55"/>
  <c r="N29" i="55" s="1"/>
  <c r="B29" i="55"/>
  <c r="Z28" i="55"/>
  <c r="X28" i="55"/>
  <c r="V28" i="55"/>
  <c r="R28" i="55"/>
  <c r="N28" i="55"/>
  <c r="L28" i="55"/>
  <c r="F28" i="55"/>
  <c r="B28" i="55"/>
  <c r="T27" i="55"/>
  <c r="R27" i="55"/>
  <c r="P27" i="55"/>
  <c r="X27" i="55" s="1"/>
  <c r="H27" i="55"/>
  <c r="F27" i="55"/>
  <c r="D27" i="55"/>
  <c r="L27" i="55" s="1"/>
  <c r="B27" i="55"/>
  <c r="X26" i="55"/>
  <c r="Z26" i="55" s="1"/>
  <c r="V26" i="55"/>
  <c r="R26" i="55"/>
  <c r="N26" i="55"/>
  <c r="L26" i="55"/>
  <c r="J26" i="55"/>
  <c r="B26" i="55"/>
  <c r="T25" i="55"/>
  <c r="R25" i="55"/>
  <c r="P25" i="55"/>
  <c r="X25" i="55" s="1"/>
  <c r="Z25" i="55" s="1"/>
  <c r="H25" i="55"/>
  <c r="N25" i="55" s="1"/>
  <c r="D25" i="55"/>
  <c r="B25" i="55"/>
  <c r="Z24" i="55"/>
  <c r="X24" i="55"/>
  <c r="R24" i="55"/>
  <c r="N24" i="55"/>
  <c r="L24" i="55"/>
  <c r="J24" i="55"/>
  <c r="B24" i="55"/>
  <c r="T23" i="55"/>
  <c r="R23" i="55"/>
  <c r="P23" i="55"/>
  <c r="H23" i="55"/>
  <c r="D23" i="55"/>
  <c r="L23" i="55" s="1"/>
  <c r="B23" i="55"/>
  <c r="X22" i="55"/>
  <c r="Z22" i="55" s="1"/>
  <c r="V22" i="55"/>
  <c r="R22" i="55"/>
  <c r="L22" i="55"/>
  <c r="N22" i="55" s="1"/>
  <c r="F22" i="55"/>
  <c r="B22" i="55"/>
  <c r="T21" i="55"/>
  <c r="R21" i="55"/>
  <c r="P21" i="55"/>
  <c r="X21" i="55" s="1"/>
  <c r="H21" i="55"/>
  <c r="F21" i="55"/>
  <c r="D21" i="55"/>
  <c r="L21" i="55" s="1"/>
  <c r="B21" i="55"/>
  <c r="Z20" i="55"/>
  <c r="X20" i="55"/>
  <c r="R20" i="55"/>
  <c r="N20" i="55"/>
  <c r="L20" i="55"/>
  <c r="B20" i="55"/>
  <c r="T19" i="55"/>
  <c r="P19" i="55"/>
  <c r="L19" i="55"/>
  <c r="N19" i="55" s="1"/>
  <c r="H19" i="55"/>
  <c r="D19" i="55"/>
  <c r="B19" i="55"/>
  <c r="V18" i="55"/>
  <c r="T18" i="55"/>
  <c r="R18" i="55"/>
  <c r="P18" i="55"/>
  <c r="X18" i="55" s="1"/>
  <c r="Z18" i="55" s="1"/>
  <c r="H18" i="55"/>
  <c r="F18" i="55"/>
  <c r="D18" i="55"/>
  <c r="L18" i="55" s="1"/>
  <c r="N18" i="55" s="1"/>
  <c r="V16" i="55"/>
  <c r="R16" i="55"/>
  <c r="F16" i="55"/>
  <c r="Z14" i="55"/>
  <c r="V14" i="55"/>
  <c r="T14" i="55"/>
  <c r="R14" i="55"/>
  <c r="P14" i="55"/>
  <c r="X14" i="55" s="1"/>
  <c r="N14" i="55"/>
  <c r="H14" i="55"/>
  <c r="F14" i="55"/>
  <c r="D14" i="55"/>
  <c r="L14" i="55" s="1"/>
  <c r="Z12" i="55"/>
  <c r="T12" i="55"/>
  <c r="P12" i="55"/>
  <c r="R35" i="55" s="1"/>
  <c r="L12" i="55"/>
  <c r="H12" i="55"/>
  <c r="J22" i="55" s="1"/>
  <c r="D12" i="55"/>
  <c r="F29" i="55" s="1"/>
  <c r="D6" i="55"/>
  <c r="D4" i="55"/>
  <c r="V31" i="54"/>
  <c r="R31" i="54"/>
  <c r="X29" i="54"/>
  <c r="Z29" i="54" s="1"/>
  <c r="V29" i="54"/>
  <c r="T29" i="54"/>
  <c r="R29" i="54"/>
  <c r="P29" i="54"/>
  <c r="L29" i="54"/>
  <c r="H29" i="54"/>
  <c r="D29" i="54"/>
  <c r="Z28" i="54"/>
  <c r="X28" i="54"/>
  <c r="V28" i="54"/>
  <c r="T28" i="54"/>
  <c r="R28" i="54"/>
  <c r="P28" i="54"/>
  <c r="L28" i="54"/>
  <c r="J28" i="54"/>
  <c r="H28" i="54"/>
  <c r="N28" i="54" s="1"/>
  <c r="D28" i="54"/>
  <c r="V26" i="54"/>
  <c r="R26" i="54"/>
  <c r="J26" i="54"/>
  <c r="Z24" i="54"/>
  <c r="X24" i="54"/>
  <c r="V24" i="54"/>
  <c r="N24" i="54"/>
  <c r="L24" i="54"/>
  <c r="F24" i="54"/>
  <c r="R22" i="54"/>
  <c r="F22" i="54"/>
  <c r="Z20" i="54"/>
  <c r="T20" i="54"/>
  <c r="R20" i="54"/>
  <c r="P20" i="54"/>
  <c r="X20" i="54" s="1"/>
  <c r="N20" i="54"/>
  <c r="J20" i="54"/>
  <c r="H20" i="54"/>
  <c r="F20" i="54"/>
  <c r="D20" i="54"/>
  <c r="L20" i="54" s="1"/>
  <c r="Z18" i="54"/>
  <c r="T18" i="54"/>
  <c r="R18" i="54"/>
  <c r="P18" i="54"/>
  <c r="X18" i="54" s="1"/>
  <c r="N18" i="54"/>
  <c r="J18" i="54"/>
  <c r="H18" i="54"/>
  <c r="F18" i="54"/>
  <c r="D18" i="54"/>
  <c r="L18" i="54" s="1"/>
  <c r="R16" i="54"/>
  <c r="J16" i="54"/>
  <c r="F16" i="54"/>
  <c r="D16" i="54"/>
  <c r="Z14" i="54"/>
  <c r="T14" i="54"/>
  <c r="T16" i="54" s="1"/>
  <c r="T22" i="54" s="1"/>
  <c r="T26" i="54" s="1"/>
  <c r="T31" i="54" s="1"/>
  <c r="R14" i="54"/>
  <c r="P14" i="54"/>
  <c r="X14" i="54" s="1"/>
  <c r="N14" i="54"/>
  <c r="J14" i="54"/>
  <c r="H14" i="54"/>
  <c r="F14" i="54"/>
  <c r="D14" i="54"/>
  <c r="L14" i="54" s="1"/>
  <c r="Z12" i="54"/>
  <c r="X12" i="54"/>
  <c r="T12" i="54"/>
  <c r="V22" i="54" s="1"/>
  <c r="P12" i="54"/>
  <c r="R24" i="54" s="1"/>
  <c r="N12" i="54"/>
  <c r="L12" i="54"/>
  <c r="H12" i="54"/>
  <c r="J31" i="54" s="1"/>
  <c r="D12" i="54"/>
  <c r="F31" i="54" s="1"/>
  <c r="D6" i="54"/>
  <c r="D4" i="54"/>
  <c r="X113" i="51"/>
  <c r="Z113" i="51" s="1"/>
  <c r="N113" i="51"/>
  <c r="L113" i="51"/>
  <c r="Z109" i="51"/>
  <c r="T109" i="51"/>
  <c r="P109" i="51"/>
  <c r="X109" i="51" s="1"/>
  <c r="L109" i="51"/>
  <c r="H109" i="51"/>
  <c r="D109" i="51"/>
  <c r="B109" i="51"/>
  <c r="X108" i="51"/>
  <c r="T108" i="51"/>
  <c r="P108" i="51"/>
  <c r="L108" i="51"/>
  <c r="H108" i="51"/>
  <c r="N108" i="51" s="1"/>
  <c r="D108" i="51"/>
  <c r="B108" i="51"/>
  <c r="Z107" i="51"/>
  <c r="X107" i="51"/>
  <c r="T107" i="51"/>
  <c r="T105" i="51" s="1"/>
  <c r="P107" i="51"/>
  <c r="L107" i="51"/>
  <c r="H107" i="51"/>
  <c r="N107" i="51" s="1"/>
  <c r="D107" i="51"/>
  <c r="B107" i="51"/>
  <c r="X106" i="51"/>
  <c r="Z106" i="51" s="1"/>
  <c r="T106" i="51"/>
  <c r="P106" i="51"/>
  <c r="H106" i="51"/>
  <c r="H105" i="51" s="1"/>
  <c r="N105" i="51" s="1"/>
  <c r="D106" i="51"/>
  <c r="L106" i="51" s="1"/>
  <c r="B106" i="51"/>
  <c r="X105" i="51"/>
  <c r="P105" i="51"/>
  <c r="D105" i="51"/>
  <c r="L105" i="51" s="1"/>
  <c r="X103" i="51"/>
  <c r="Z103" i="51" s="1"/>
  <c r="N103" i="51"/>
  <c r="L103" i="51"/>
  <c r="B103" i="51"/>
  <c r="X102" i="51"/>
  <c r="Z102" i="51" s="1"/>
  <c r="N102" i="51"/>
  <c r="L102" i="51"/>
  <c r="B102" i="51"/>
  <c r="X101" i="51"/>
  <c r="Z101" i="51" s="1"/>
  <c r="T101" i="51"/>
  <c r="P101" i="51"/>
  <c r="L101" i="51"/>
  <c r="N101" i="51" s="1"/>
  <c r="H101" i="51"/>
  <c r="D101" i="51"/>
  <c r="B101" i="51"/>
  <c r="X100" i="51"/>
  <c r="Z100" i="51" s="1"/>
  <c r="L100" i="51"/>
  <c r="N100" i="51" s="1"/>
  <c r="B100" i="51"/>
  <c r="T99" i="51"/>
  <c r="X99" i="51" s="1"/>
  <c r="Z99" i="51" s="1"/>
  <c r="P99" i="51"/>
  <c r="H99" i="51"/>
  <c r="D99" i="51"/>
  <c r="B99" i="51"/>
  <c r="Z98" i="51"/>
  <c r="X98" i="51"/>
  <c r="L98" i="51"/>
  <c r="N98" i="51" s="1"/>
  <c r="B98" i="51"/>
  <c r="T97" i="51"/>
  <c r="P97" i="51"/>
  <c r="X97" i="51" s="1"/>
  <c r="H97" i="51"/>
  <c r="D97" i="51"/>
  <c r="B97" i="51"/>
  <c r="Z96" i="51"/>
  <c r="X96" i="51"/>
  <c r="L96" i="51"/>
  <c r="N96" i="51" s="1"/>
  <c r="B96" i="51"/>
  <c r="Z95" i="51"/>
  <c r="X95" i="51"/>
  <c r="N95" i="51"/>
  <c r="L95" i="51"/>
  <c r="B95" i="51"/>
  <c r="T94" i="51"/>
  <c r="P94" i="51"/>
  <c r="H94" i="51"/>
  <c r="D94" i="51"/>
  <c r="L94" i="51" s="1"/>
  <c r="N94" i="51" s="1"/>
  <c r="B94" i="51"/>
  <c r="Z93" i="51"/>
  <c r="X93" i="51"/>
  <c r="L93" i="51"/>
  <c r="N93" i="51" s="1"/>
  <c r="B93" i="51"/>
  <c r="T92" i="51"/>
  <c r="P92" i="51"/>
  <c r="X92" i="51" s="1"/>
  <c r="H92" i="51"/>
  <c r="L92" i="51" s="1"/>
  <c r="D92" i="51"/>
  <c r="B92" i="51"/>
  <c r="Z91" i="51"/>
  <c r="X91" i="51"/>
  <c r="N91" i="51"/>
  <c r="L91" i="51"/>
  <c r="B91" i="51"/>
  <c r="T90" i="51"/>
  <c r="Z90" i="51" s="1"/>
  <c r="P90" i="51"/>
  <c r="X90" i="51" s="1"/>
  <c r="N90" i="51"/>
  <c r="L90" i="51"/>
  <c r="H90" i="51"/>
  <c r="D90" i="51"/>
  <c r="B90" i="51"/>
  <c r="X89" i="51"/>
  <c r="Z89" i="51" s="1"/>
  <c r="N89" i="51"/>
  <c r="L89" i="51"/>
  <c r="B89" i="51"/>
  <c r="T88" i="51"/>
  <c r="P88" i="51"/>
  <c r="X88" i="51" s="1"/>
  <c r="Z88" i="51" s="1"/>
  <c r="H88" i="51"/>
  <c r="D88" i="51"/>
  <c r="B88" i="51"/>
  <c r="X87" i="51"/>
  <c r="Z87" i="51" s="1"/>
  <c r="N87" i="51"/>
  <c r="L87" i="51"/>
  <c r="B87" i="51"/>
  <c r="T86" i="51"/>
  <c r="X86" i="51" s="1"/>
  <c r="P86" i="51"/>
  <c r="H86" i="51"/>
  <c r="D86" i="51"/>
  <c r="L86" i="51" s="1"/>
  <c r="N86" i="51" s="1"/>
  <c r="B86" i="51"/>
  <c r="X85" i="51"/>
  <c r="Z85" i="51" s="1"/>
  <c r="N85" i="51"/>
  <c r="L85" i="51"/>
  <c r="B85" i="51"/>
  <c r="X84" i="51"/>
  <c r="Z84" i="51" s="1"/>
  <c r="N84" i="51"/>
  <c r="L84" i="51"/>
  <c r="B84" i="51"/>
  <c r="T83" i="51"/>
  <c r="X83" i="51" s="1"/>
  <c r="Z83" i="51" s="1"/>
  <c r="P83" i="51"/>
  <c r="H83" i="51"/>
  <c r="D83" i="51"/>
  <c r="L83" i="51" s="1"/>
  <c r="B83" i="51"/>
  <c r="X82" i="51"/>
  <c r="Z82" i="51" s="1"/>
  <c r="L82" i="51"/>
  <c r="N82" i="51" s="1"/>
  <c r="B82" i="51"/>
  <c r="X81" i="51"/>
  <c r="T81" i="51"/>
  <c r="Z81" i="51" s="1"/>
  <c r="P81" i="51"/>
  <c r="N81" i="51"/>
  <c r="H81" i="51"/>
  <c r="D81" i="51"/>
  <c r="L81" i="51" s="1"/>
  <c r="B81" i="51"/>
  <c r="Z80" i="51"/>
  <c r="X80" i="51"/>
  <c r="N80" i="51"/>
  <c r="L80" i="51"/>
  <c r="B80" i="51"/>
  <c r="X79" i="51"/>
  <c r="T79" i="51"/>
  <c r="Z79" i="51" s="1"/>
  <c r="P79" i="51"/>
  <c r="N79" i="51"/>
  <c r="H79" i="51"/>
  <c r="D79" i="51"/>
  <c r="L79" i="51" s="1"/>
  <c r="B79" i="51"/>
  <c r="Z78" i="51"/>
  <c r="X78" i="51"/>
  <c r="L78" i="51"/>
  <c r="N78" i="51" s="1"/>
  <c r="B78" i="51"/>
  <c r="T77" i="51"/>
  <c r="P77" i="51"/>
  <c r="X77" i="51" s="1"/>
  <c r="H77" i="51"/>
  <c r="L77" i="51" s="1"/>
  <c r="N77" i="51" s="1"/>
  <c r="D77" i="51"/>
  <c r="B77" i="51"/>
  <c r="Z76" i="51"/>
  <c r="X76" i="51"/>
  <c r="L76" i="51"/>
  <c r="N76" i="51" s="1"/>
  <c r="B76" i="51"/>
  <c r="Z75" i="51"/>
  <c r="T75" i="51"/>
  <c r="P75" i="51"/>
  <c r="X75" i="51" s="1"/>
  <c r="L75" i="51"/>
  <c r="H75" i="51"/>
  <c r="N75" i="51" s="1"/>
  <c r="D75" i="51"/>
  <c r="B75" i="51"/>
  <c r="X74" i="51"/>
  <c r="Z74" i="51" s="1"/>
  <c r="N74" i="51"/>
  <c r="L74" i="51"/>
  <c r="B74" i="51"/>
  <c r="T73" i="51"/>
  <c r="P73" i="51"/>
  <c r="X73" i="51" s="1"/>
  <c r="Z73" i="51" s="1"/>
  <c r="L73" i="51"/>
  <c r="H73" i="51"/>
  <c r="N73" i="51" s="1"/>
  <c r="D73" i="51"/>
  <c r="B73" i="51"/>
  <c r="X72" i="51"/>
  <c r="Z72" i="51" s="1"/>
  <c r="N72" i="51"/>
  <c r="L72" i="51"/>
  <c r="B72" i="51"/>
  <c r="Z71" i="51"/>
  <c r="X71" i="51"/>
  <c r="N71" i="51"/>
  <c r="L71" i="51"/>
  <c r="B71" i="51"/>
  <c r="Z70" i="51"/>
  <c r="X70" i="51"/>
  <c r="L70" i="51"/>
  <c r="N70" i="51" s="1"/>
  <c r="B70" i="51"/>
  <c r="Z69" i="51"/>
  <c r="X69" i="51"/>
  <c r="N69" i="51"/>
  <c r="L69" i="51"/>
  <c r="B69" i="51"/>
  <c r="X68" i="51"/>
  <c r="Z68" i="51" s="1"/>
  <c r="N68" i="51"/>
  <c r="L68" i="51"/>
  <c r="B68" i="51"/>
  <c r="T67" i="51"/>
  <c r="X67" i="51" s="1"/>
  <c r="Z67" i="51" s="1"/>
  <c r="P67" i="51"/>
  <c r="H67" i="51"/>
  <c r="N67" i="51" s="1"/>
  <c r="D67" i="51"/>
  <c r="L67" i="51" s="1"/>
  <c r="B67" i="51"/>
  <c r="X66" i="51"/>
  <c r="Z66" i="51" s="1"/>
  <c r="L66" i="51"/>
  <c r="N66" i="51" s="1"/>
  <c r="B66" i="51"/>
  <c r="X65" i="51"/>
  <c r="Z65" i="51" s="1"/>
  <c r="N65" i="51"/>
  <c r="L65" i="51"/>
  <c r="B65" i="51"/>
  <c r="Z64" i="51"/>
  <c r="X64" i="51"/>
  <c r="L64" i="51"/>
  <c r="N64" i="51" s="1"/>
  <c r="B64" i="51"/>
  <c r="Z63" i="51"/>
  <c r="X63" i="51"/>
  <c r="L63" i="51"/>
  <c r="N63" i="51" s="1"/>
  <c r="B63" i="51"/>
  <c r="X62" i="51"/>
  <c r="Z62" i="51" s="1"/>
  <c r="L62" i="51"/>
  <c r="N62" i="51" s="1"/>
  <c r="B62" i="51"/>
  <c r="X61" i="51"/>
  <c r="Z61" i="51" s="1"/>
  <c r="N61" i="51"/>
  <c r="L61" i="51"/>
  <c r="B61" i="51"/>
  <c r="Z60" i="51"/>
  <c r="X60" i="51"/>
  <c r="L60" i="51"/>
  <c r="N60" i="51" s="1"/>
  <c r="B60" i="51"/>
  <c r="Z59" i="51"/>
  <c r="X59" i="51"/>
  <c r="L59" i="51"/>
  <c r="N59" i="51" s="1"/>
  <c r="B59" i="51"/>
  <c r="X58" i="51"/>
  <c r="Z58" i="51" s="1"/>
  <c r="L58" i="51"/>
  <c r="N58" i="51" s="1"/>
  <c r="B58" i="51"/>
  <c r="X57" i="51"/>
  <c r="T57" i="51"/>
  <c r="Z57" i="51" s="1"/>
  <c r="P57" i="51"/>
  <c r="N57" i="51"/>
  <c r="H57" i="51"/>
  <c r="D57" i="51"/>
  <c r="L57" i="51" s="1"/>
  <c r="B57" i="51"/>
  <c r="T56" i="51"/>
  <c r="Z56" i="51" s="1"/>
  <c r="P56" i="51"/>
  <c r="X56" i="51" s="1"/>
  <c r="H56" i="51"/>
  <c r="L56" i="51" s="1"/>
  <c r="D56" i="51"/>
  <c r="X52" i="51"/>
  <c r="Z52" i="51" s="1"/>
  <c r="L52" i="51"/>
  <c r="N52" i="51" s="1"/>
  <c r="B52" i="51"/>
  <c r="X51" i="51"/>
  <c r="Z51" i="51" s="1"/>
  <c r="N51" i="51"/>
  <c r="L51" i="51"/>
  <c r="B51" i="51"/>
  <c r="X50" i="51"/>
  <c r="Z50" i="51" s="1"/>
  <c r="N50" i="51"/>
  <c r="L50" i="51"/>
  <c r="B50" i="51"/>
  <c r="Z49" i="51"/>
  <c r="X49" i="51"/>
  <c r="N49" i="51"/>
  <c r="L49" i="51"/>
  <c r="B49" i="51"/>
  <c r="X48" i="51"/>
  <c r="Z48" i="51" s="1"/>
  <c r="N48" i="51"/>
  <c r="L48" i="51"/>
  <c r="B48" i="51"/>
  <c r="X47" i="51"/>
  <c r="Z47" i="51" s="1"/>
  <c r="N47" i="51"/>
  <c r="L47" i="51"/>
  <c r="B47" i="51"/>
  <c r="X46" i="51"/>
  <c r="Z46" i="51" s="1"/>
  <c r="N46" i="51"/>
  <c r="L46" i="51"/>
  <c r="B46" i="51"/>
  <c r="Z45" i="51"/>
  <c r="X45" i="51"/>
  <c r="N45" i="51"/>
  <c r="L45" i="51"/>
  <c r="B45" i="51"/>
  <c r="X44" i="51"/>
  <c r="Z44" i="51" s="1"/>
  <c r="L44" i="51"/>
  <c r="N44" i="51" s="1"/>
  <c r="B44" i="51"/>
  <c r="X43" i="51"/>
  <c r="Z43" i="51" s="1"/>
  <c r="N43" i="51"/>
  <c r="L43" i="51"/>
  <c r="B43" i="51"/>
  <c r="X42" i="51"/>
  <c r="Z42" i="51" s="1"/>
  <c r="N42" i="51"/>
  <c r="L42" i="51"/>
  <c r="B42" i="51"/>
  <c r="Z41" i="51"/>
  <c r="X41" i="51"/>
  <c r="L41" i="51"/>
  <c r="N41" i="51" s="1"/>
  <c r="B41" i="51"/>
  <c r="X40" i="51"/>
  <c r="Z40" i="51" s="1"/>
  <c r="L40" i="51"/>
  <c r="N40" i="51" s="1"/>
  <c r="B40" i="51"/>
  <c r="X39" i="51"/>
  <c r="Z39" i="51" s="1"/>
  <c r="N39" i="51"/>
  <c r="L39" i="51"/>
  <c r="B39" i="51"/>
  <c r="T38" i="51"/>
  <c r="P38" i="51"/>
  <c r="X38" i="51" s="1"/>
  <c r="H38" i="51"/>
  <c r="D38" i="51"/>
  <c r="L38" i="51" s="1"/>
  <c r="T36" i="51"/>
  <c r="P36" i="51"/>
  <c r="X36" i="51" s="1"/>
  <c r="N36" i="51"/>
  <c r="H36" i="51"/>
  <c r="D36" i="51"/>
  <c r="L36" i="51" s="1"/>
  <c r="B36" i="51"/>
  <c r="T35" i="51"/>
  <c r="P35" i="51"/>
  <c r="H35" i="51"/>
  <c r="N35" i="51" s="1"/>
  <c r="D35" i="51"/>
  <c r="L35" i="51" s="1"/>
  <c r="B35" i="51"/>
  <c r="X34" i="51"/>
  <c r="Z34" i="51" s="1"/>
  <c r="T34" i="51"/>
  <c r="P34" i="51"/>
  <c r="L34" i="51"/>
  <c r="N34" i="51" s="1"/>
  <c r="H34" i="51"/>
  <c r="D34" i="51"/>
  <c r="B34" i="51"/>
  <c r="X33" i="51"/>
  <c r="Z33" i="51" s="1"/>
  <c r="T33" i="51"/>
  <c r="P33" i="51"/>
  <c r="N33" i="51"/>
  <c r="H33" i="51"/>
  <c r="D33" i="51"/>
  <c r="L33" i="51" s="1"/>
  <c r="B33" i="51"/>
  <c r="T32" i="51"/>
  <c r="P32" i="51"/>
  <c r="X32" i="51" s="1"/>
  <c r="H32" i="51"/>
  <c r="D32" i="51"/>
  <c r="L32" i="51" s="1"/>
  <c r="N32" i="51" s="1"/>
  <c r="B32" i="51"/>
  <c r="T31" i="51"/>
  <c r="P31" i="51"/>
  <c r="H31" i="51"/>
  <c r="N31" i="51" s="1"/>
  <c r="D31" i="51"/>
  <c r="L31" i="51" s="1"/>
  <c r="B31" i="51"/>
  <c r="Z30" i="51"/>
  <c r="X30" i="51"/>
  <c r="T30" i="51"/>
  <c r="P30" i="51"/>
  <c r="N30" i="51"/>
  <c r="L30" i="51"/>
  <c r="H30" i="51"/>
  <c r="D30" i="51"/>
  <c r="B30" i="51"/>
  <c r="X29" i="51"/>
  <c r="Z29" i="51" s="1"/>
  <c r="T29" i="51"/>
  <c r="P29" i="51"/>
  <c r="N29" i="51"/>
  <c r="H29" i="51"/>
  <c r="D29" i="51"/>
  <c r="L29" i="51" s="1"/>
  <c r="B29" i="51"/>
  <c r="T28" i="51"/>
  <c r="Z28" i="51" s="1"/>
  <c r="P28" i="51"/>
  <c r="X28" i="51" s="1"/>
  <c r="H28" i="51"/>
  <c r="D28" i="51"/>
  <c r="L28" i="51" s="1"/>
  <c r="N28" i="51" s="1"/>
  <c r="B28" i="51"/>
  <c r="T27" i="51"/>
  <c r="P27" i="51"/>
  <c r="H27" i="51"/>
  <c r="D27" i="51"/>
  <c r="L27" i="51" s="1"/>
  <c r="B27" i="51"/>
  <c r="X26" i="51"/>
  <c r="Z26" i="51" s="1"/>
  <c r="T26" i="51"/>
  <c r="P26" i="51"/>
  <c r="N26" i="51"/>
  <c r="L26" i="51"/>
  <c r="H26" i="51"/>
  <c r="D26" i="51"/>
  <c r="B26" i="51"/>
  <c r="X25" i="51"/>
  <c r="Z25" i="51" s="1"/>
  <c r="T25" i="51"/>
  <c r="P25" i="51"/>
  <c r="H25" i="51"/>
  <c r="D25" i="51"/>
  <c r="L25" i="51" s="1"/>
  <c r="N25" i="51" s="1"/>
  <c r="B25" i="51"/>
  <c r="T24" i="51"/>
  <c r="P24" i="51"/>
  <c r="X24" i="51" s="1"/>
  <c r="H24" i="51"/>
  <c r="D24" i="51"/>
  <c r="L24" i="51" s="1"/>
  <c r="N24" i="51" s="1"/>
  <c r="B24" i="51"/>
  <c r="T23" i="51"/>
  <c r="P23" i="51"/>
  <c r="H23" i="51"/>
  <c r="N23" i="51" s="1"/>
  <c r="D23" i="51"/>
  <c r="L23" i="51" s="1"/>
  <c r="B23" i="51"/>
  <c r="X22" i="51"/>
  <c r="Z22" i="51" s="1"/>
  <c r="T22" i="51"/>
  <c r="P22" i="51"/>
  <c r="L22" i="51"/>
  <c r="N22" i="51" s="1"/>
  <c r="H22" i="51"/>
  <c r="D22" i="51"/>
  <c r="B22" i="51"/>
  <c r="X21" i="51"/>
  <c r="Z21" i="51" s="1"/>
  <c r="T21" i="51"/>
  <c r="P21" i="51"/>
  <c r="H21" i="51"/>
  <c r="D21" i="51"/>
  <c r="L21" i="51" s="1"/>
  <c r="N21" i="51" s="1"/>
  <c r="B21" i="51"/>
  <c r="T20" i="51"/>
  <c r="P20" i="51"/>
  <c r="X20" i="51" s="1"/>
  <c r="H20" i="51"/>
  <c r="D20" i="51"/>
  <c r="L20" i="51" s="1"/>
  <c r="N20" i="51" s="1"/>
  <c r="B20" i="51"/>
  <c r="T19" i="51"/>
  <c r="P19" i="51"/>
  <c r="H19" i="51"/>
  <c r="N19" i="51" s="1"/>
  <c r="D19" i="51"/>
  <c r="L19" i="51" s="1"/>
  <c r="B19" i="51"/>
  <c r="X18" i="51"/>
  <c r="Z18" i="51" s="1"/>
  <c r="T18" i="51"/>
  <c r="P18" i="51"/>
  <c r="L18" i="51"/>
  <c r="N18" i="51" s="1"/>
  <c r="H18" i="51"/>
  <c r="D18" i="51"/>
  <c r="B18" i="51"/>
  <c r="X17" i="51"/>
  <c r="Z17" i="51" s="1"/>
  <c r="T17" i="51"/>
  <c r="P17" i="51"/>
  <c r="H17" i="51"/>
  <c r="D17" i="51"/>
  <c r="L17" i="51" s="1"/>
  <c r="N17" i="51" s="1"/>
  <c r="B17" i="51"/>
  <c r="T16" i="51"/>
  <c r="P16" i="51"/>
  <c r="X16" i="51" s="1"/>
  <c r="H16" i="51"/>
  <c r="D16" i="51"/>
  <c r="L16" i="51" s="1"/>
  <c r="N16" i="51" s="1"/>
  <c r="B16" i="51"/>
  <c r="T15" i="51"/>
  <c r="P15" i="51"/>
  <c r="H15" i="51"/>
  <c r="N15" i="51" s="1"/>
  <c r="D15" i="51"/>
  <c r="L15" i="51" s="1"/>
  <c r="B15" i="51"/>
  <c r="X14" i="51"/>
  <c r="Z14" i="51" s="1"/>
  <c r="T14" i="51"/>
  <c r="P14" i="51"/>
  <c r="L14" i="51"/>
  <c r="N14" i="51" s="1"/>
  <c r="H14" i="51"/>
  <c r="D14" i="51"/>
  <c r="B14" i="51"/>
  <c r="X13" i="51"/>
  <c r="Z13" i="51" s="1"/>
  <c r="T13" i="51"/>
  <c r="P13" i="51"/>
  <c r="P12" i="51" s="1"/>
  <c r="R62" i="51" s="1"/>
  <c r="H13" i="51"/>
  <c r="H12" i="51" s="1"/>
  <c r="D13" i="51"/>
  <c r="L13" i="51" s="1"/>
  <c r="N13" i="51" s="1"/>
  <c r="B13" i="51"/>
  <c r="D4" i="51"/>
  <c r="Z75" i="48"/>
  <c r="X75" i="48"/>
  <c r="L75" i="48"/>
  <c r="N75" i="48" s="1"/>
  <c r="Z71" i="48"/>
  <c r="X71" i="48"/>
  <c r="T71" i="48"/>
  <c r="R71" i="48"/>
  <c r="P71" i="48"/>
  <c r="H71" i="48"/>
  <c r="D71" i="48"/>
  <c r="B71" i="48"/>
  <c r="T70" i="48"/>
  <c r="P70" i="48"/>
  <c r="H70" i="48"/>
  <c r="D70" i="48"/>
  <c r="B70" i="48"/>
  <c r="P69" i="48"/>
  <c r="Z67" i="48"/>
  <c r="X67" i="48"/>
  <c r="L67" i="48"/>
  <c r="N67" i="48" s="1"/>
  <c r="B67" i="48"/>
  <c r="X66" i="48"/>
  <c r="T66" i="48"/>
  <c r="P66" i="48"/>
  <c r="H66" i="48"/>
  <c r="N66" i="48" s="1"/>
  <c r="F66" i="48"/>
  <c r="D66" i="48"/>
  <c r="L66" i="48" s="1"/>
  <c r="B66" i="48"/>
  <c r="Z65" i="48"/>
  <c r="X65" i="48"/>
  <c r="N65" i="48"/>
  <c r="L65" i="48"/>
  <c r="B65" i="48"/>
  <c r="T64" i="48"/>
  <c r="P64" i="48"/>
  <c r="L64" i="48"/>
  <c r="N64" i="48" s="1"/>
  <c r="H64" i="48"/>
  <c r="D64" i="48"/>
  <c r="B64" i="48"/>
  <c r="X63" i="48"/>
  <c r="Z63" i="48" s="1"/>
  <c r="N63" i="48"/>
  <c r="L63" i="48"/>
  <c r="B63" i="48"/>
  <c r="Z62" i="48"/>
  <c r="X62" i="48"/>
  <c r="N62" i="48"/>
  <c r="L62" i="48"/>
  <c r="B62" i="48"/>
  <c r="Z61" i="48"/>
  <c r="X61" i="48"/>
  <c r="L61" i="48"/>
  <c r="N61" i="48" s="1"/>
  <c r="B61" i="48"/>
  <c r="Z60" i="48"/>
  <c r="X60" i="48"/>
  <c r="R60" i="48"/>
  <c r="N60" i="48"/>
  <c r="L60" i="48"/>
  <c r="B60" i="48"/>
  <c r="X59" i="48"/>
  <c r="T59" i="48"/>
  <c r="Z59" i="48" s="1"/>
  <c r="P59" i="48"/>
  <c r="N59" i="48"/>
  <c r="H59" i="48"/>
  <c r="D59" i="48"/>
  <c r="L59" i="48" s="1"/>
  <c r="B59" i="48"/>
  <c r="Z58" i="48"/>
  <c r="X58" i="48"/>
  <c r="N58" i="48"/>
  <c r="L58" i="48"/>
  <c r="B58" i="48"/>
  <c r="X57" i="48"/>
  <c r="T57" i="48"/>
  <c r="Z57" i="48" s="1"/>
  <c r="R57" i="48"/>
  <c r="P57" i="48"/>
  <c r="N57" i="48"/>
  <c r="H57" i="48"/>
  <c r="D57" i="48"/>
  <c r="L57" i="48" s="1"/>
  <c r="B57" i="48"/>
  <c r="Z56" i="48"/>
  <c r="X56" i="48"/>
  <c r="R56" i="48"/>
  <c r="N56" i="48"/>
  <c r="L56" i="48"/>
  <c r="B56" i="48"/>
  <c r="X55" i="48"/>
  <c r="Z55" i="48" s="1"/>
  <c r="R55" i="48"/>
  <c r="L55" i="48"/>
  <c r="N55" i="48" s="1"/>
  <c r="B55" i="48"/>
  <c r="Z54" i="48"/>
  <c r="X54" i="48"/>
  <c r="N54" i="48"/>
  <c r="L54" i="48"/>
  <c r="B54" i="48"/>
  <c r="Z53" i="48"/>
  <c r="X53" i="48"/>
  <c r="T53" i="48"/>
  <c r="R53" i="48"/>
  <c r="P53" i="48"/>
  <c r="H53" i="48"/>
  <c r="D53" i="48"/>
  <c r="B53" i="48"/>
  <c r="X52" i="48"/>
  <c r="Z52" i="48" s="1"/>
  <c r="R52" i="48"/>
  <c r="N52" i="48"/>
  <c r="L52" i="48"/>
  <c r="B52" i="48"/>
  <c r="X51" i="48"/>
  <c r="T51" i="48"/>
  <c r="Z51" i="48" s="1"/>
  <c r="P51" i="48"/>
  <c r="H51" i="48"/>
  <c r="D51" i="48"/>
  <c r="L51" i="48" s="1"/>
  <c r="N51" i="48" s="1"/>
  <c r="B51" i="48"/>
  <c r="X50" i="48"/>
  <c r="Z50" i="48" s="1"/>
  <c r="N50" i="48"/>
  <c r="L50" i="48"/>
  <c r="B50" i="48"/>
  <c r="X49" i="48"/>
  <c r="T49" i="48"/>
  <c r="Z49" i="48" s="1"/>
  <c r="R49" i="48"/>
  <c r="P49" i="48"/>
  <c r="N49" i="48"/>
  <c r="H49" i="48"/>
  <c r="D49" i="48"/>
  <c r="L49" i="48" s="1"/>
  <c r="B49" i="48"/>
  <c r="Z48" i="48"/>
  <c r="X48" i="48"/>
  <c r="R48" i="48"/>
  <c r="L48" i="48"/>
  <c r="N48" i="48" s="1"/>
  <c r="B48" i="48"/>
  <c r="T47" i="48"/>
  <c r="P47" i="48"/>
  <c r="N47" i="48"/>
  <c r="L47" i="48"/>
  <c r="H47" i="48"/>
  <c r="D47" i="48"/>
  <c r="B47" i="48"/>
  <c r="Z46" i="48"/>
  <c r="X46" i="48"/>
  <c r="N46" i="48"/>
  <c r="L46" i="48"/>
  <c r="B46" i="48"/>
  <c r="Z45" i="48"/>
  <c r="T45" i="48"/>
  <c r="P45" i="48"/>
  <c r="X45" i="48" s="1"/>
  <c r="L45" i="48"/>
  <c r="H45" i="48"/>
  <c r="N45" i="48" s="1"/>
  <c r="D45" i="48"/>
  <c r="B45" i="48"/>
  <c r="Z44" i="48"/>
  <c r="X44" i="48"/>
  <c r="N44" i="48"/>
  <c r="L44" i="48"/>
  <c r="B44" i="48"/>
  <c r="Z43" i="48"/>
  <c r="X43" i="48"/>
  <c r="N43" i="48"/>
  <c r="L43" i="48"/>
  <c r="B43" i="48"/>
  <c r="X42" i="48"/>
  <c r="T42" i="48"/>
  <c r="P42" i="48"/>
  <c r="H42" i="48"/>
  <c r="N42" i="48" s="1"/>
  <c r="F42" i="48"/>
  <c r="D42" i="48"/>
  <c r="L42" i="48" s="1"/>
  <c r="B42" i="48"/>
  <c r="Z41" i="48"/>
  <c r="X41" i="48"/>
  <c r="N41" i="48"/>
  <c r="L41" i="48"/>
  <c r="B41" i="48"/>
  <c r="T40" i="48"/>
  <c r="P40" i="48"/>
  <c r="N40" i="48"/>
  <c r="L40" i="48"/>
  <c r="H40" i="48"/>
  <c r="D40" i="48"/>
  <c r="B40" i="48"/>
  <c r="X39" i="48"/>
  <c r="Z39" i="48" s="1"/>
  <c r="N39" i="48"/>
  <c r="L39" i="48"/>
  <c r="B39" i="48"/>
  <c r="T38" i="48"/>
  <c r="P38" i="48"/>
  <c r="X38" i="48" s="1"/>
  <c r="Z38" i="48" s="1"/>
  <c r="H38" i="48"/>
  <c r="D38" i="48"/>
  <c r="B38" i="48"/>
  <c r="X37" i="48"/>
  <c r="Z37" i="48" s="1"/>
  <c r="N37" i="48"/>
  <c r="L37" i="48"/>
  <c r="B37" i="48"/>
  <c r="T36" i="48"/>
  <c r="Z36" i="48" s="1"/>
  <c r="R36" i="48"/>
  <c r="P36" i="48"/>
  <c r="X36" i="48" s="1"/>
  <c r="L36" i="48"/>
  <c r="H36" i="48"/>
  <c r="N36" i="48" s="1"/>
  <c r="D36" i="48"/>
  <c r="B36" i="48"/>
  <c r="X35" i="48"/>
  <c r="Z35" i="48" s="1"/>
  <c r="R35" i="48"/>
  <c r="L35" i="48"/>
  <c r="N35" i="48" s="1"/>
  <c r="B35" i="48"/>
  <c r="X34" i="48"/>
  <c r="Z34" i="48" s="1"/>
  <c r="N34" i="48"/>
  <c r="L34" i="48"/>
  <c r="B34" i="48"/>
  <c r="Z33" i="48"/>
  <c r="X33" i="48"/>
  <c r="N33" i="48"/>
  <c r="L33" i="48"/>
  <c r="B33" i="48"/>
  <c r="Z32" i="48"/>
  <c r="X32" i="48"/>
  <c r="R32" i="48"/>
  <c r="L32" i="48"/>
  <c r="N32" i="48" s="1"/>
  <c r="B32" i="48"/>
  <c r="X31" i="48"/>
  <c r="Z31" i="48" s="1"/>
  <c r="R31" i="48"/>
  <c r="N31" i="48"/>
  <c r="L31" i="48"/>
  <c r="B31" i="48"/>
  <c r="X30" i="48"/>
  <c r="Z30" i="48" s="1"/>
  <c r="N30" i="48"/>
  <c r="L30" i="48"/>
  <c r="B30" i="48"/>
  <c r="Z29" i="48"/>
  <c r="X29" i="48"/>
  <c r="T29" i="48"/>
  <c r="R29" i="48"/>
  <c r="P29" i="48"/>
  <c r="H29" i="48"/>
  <c r="D29" i="48"/>
  <c r="B29" i="48"/>
  <c r="X28" i="48"/>
  <c r="Z28" i="48" s="1"/>
  <c r="R28" i="48"/>
  <c r="N28" i="48"/>
  <c r="L28" i="48"/>
  <c r="B28" i="48"/>
  <c r="X27" i="48"/>
  <c r="Z27" i="48" s="1"/>
  <c r="N27" i="48"/>
  <c r="L27" i="48"/>
  <c r="B27" i="48"/>
  <c r="Z26" i="48"/>
  <c r="X26" i="48"/>
  <c r="L26" i="48"/>
  <c r="N26" i="48" s="1"/>
  <c r="B26" i="48"/>
  <c r="Z25" i="48"/>
  <c r="X25" i="48"/>
  <c r="L25" i="48"/>
  <c r="N25" i="48" s="1"/>
  <c r="B25" i="48"/>
  <c r="X24" i="48"/>
  <c r="Z24" i="48" s="1"/>
  <c r="R24" i="48"/>
  <c r="N24" i="48"/>
  <c r="L24" i="48"/>
  <c r="B24" i="48"/>
  <c r="X23" i="48"/>
  <c r="Z23" i="48" s="1"/>
  <c r="N23" i="48"/>
  <c r="L23" i="48"/>
  <c r="B23" i="48"/>
  <c r="Z22" i="48"/>
  <c r="X22" i="48"/>
  <c r="L22" i="48"/>
  <c r="N22" i="48" s="1"/>
  <c r="B22" i="48"/>
  <c r="Z21" i="48"/>
  <c r="X21" i="48"/>
  <c r="L21" i="48"/>
  <c r="N21" i="48" s="1"/>
  <c r="B21" i="48"/>
  <c r="T20" i="48"/>
  <c r="P20" i="48"/>
  <c r="H20" i="48"/>
  <c r="D20" i="48"/>
  <c r="L20" i="48" s="1"/>
  <c r="N20" i="48" s="1"/>
  <c r="B20" i="48"/>
  <c r="T19" i="48"/>
  <c r="P19" i="48"/>
  <c r="X19" i="48" s="1"/>
  <c r="Z19" i="48" s="1"/>
  <c r="L19" i="48"/>
  <c r="H19" i="48"/>
  <c r="D19" i="48"/>
  <c r="Z15" i="48"/>
  <c r="T15" i="48"/>
  <c r="P15" i="48"/>
  <c r="X15" i="48" s="1"/>
  <c r="L15" i="48"/>
  <c r="H15" i="48"/>
  <c r="N15" i="48" s="1"/>
  <c r="D15" i="48"/>
  <c r="T13" i="48"/>
  <c r="P13" i="48"/>
  <c r="X13" i="48" s="1"/>
  <c r="H13" i="48"/>
  <c r="D13" i="48"/>
  <c r="D12" i="48" s="1"/>
  <c r="F67" i="48" s="1"/>
  <c r="B13" i="48"/>
  <c r="P12" i="48"/>
  <c r="R69" i="48" s="1"/>
  <c r="D4" i="48"/>
  <c r="X96" i="45"/>
  <c r="Z96" i="45" s="1"/>
  <c r="N96" i="45"/>
  <c r="L96" i="45"/>
  <c r="T92" i="45"/>
  <c r="Z92" i="45" s="1"/>
  <c r="P92" i="45"/>
  <c r="X92" i="45" s="1"/>
  <c r="N92" i="45"/>
  <c r="H92" i="45"/>
  <c r="D92" i="45"/>
  <c r="L92" i="45" s="1"/>
  <c r="X90" i="45"/>
  <c r="Z90" i="45" s="1"/>
  <c r="N90" i="45"/>
  <c r="L90" i="45"/>
  <c r="B90" i="45"/>
  <c r="X89" i="45"/>
  <c r="Z89" i="45" s="1"/>
  <c r="L89" i="45"/>
  <c r="N89" i="45" s="1"/>
  <c r="B89" i="45"/>
  <c r="X88" i="45"/>
  <c r="Z88" i="45" s="1"/>
  <c r="T88" i="45"/>
  <c r="P88" i="45"/>
  <c r="H88" i="45"/>
  <c r="D88" i="45"/>
  <c r="L88" i="45" s="1"/>
  <c r="B88" i="45"/>
  <c r="X87" i="45"/>
  <c r="Z87" i="45" s="1"/>
  <c r="L87" i="45"/>
  <c r="N87" i="45" s="1"/>
  <c r="B87" i="45"/>
  <c r="X86" i="45"/>
  <c r="T86" i="45"/>
  <c r="P86" i="45"/>
  <c r="L86" i="45"/>
  <c r="N86" i="45" s="1"/>
  <c r="H86" i="45"/>
  <c r="D86" i="45"/>
  <c r="B86" i="45"/>
  <c r="X85" i="45"/>
  <c r="Z85" i="45" s="1"/>
  <c r="L85" i="45"/>
  <c r="N85" i="45" s="1"/>
  <c r="B85" i="45"/>
  <c r="T84" i="45"/>
  <c r="X84" i="45" s="1"/>
  <c r="Z84" i="45" s="1"/>
  <c r="P84" i="45"/>
  <c r="H84" i="45"/>
  <c r="D84" i="45"/>
  <c r="B84" i="45"/>
  <c r="Z83" i="45"/>
  <c r="X83" i="45"/>
  <c r="L83" i="45"/>
  <c r="N83" i="45" s="1"/>
  <c r="B83" i="45"/>
  <c r="X82" i="45"/>
  <c r="Z82" i="45" s="1"/>
  <c r="L82" i="45"/>
  <c r="N82" i="45" s="1"/>
  <c r="B82" i="45"/>
  <c r="X81" i="45"/>
  <c r="Z81" i="45" s="1"/>
  <c r="N81" i="45"/>
  <c r="L81" i="45"/>
  <c r="B81" i="45"/>
  <c r="Z80" i="45"/>
  <c r="X80" i="45"/>
  <c r="L80" i="45"/>
  <c r="N80" i="45" s="1"/>
  <c r="B80" i="45"/>
  <c r="Z79" i="45"/>
  <c r="X79" i="45"/>
  <c r="L79" i="45"/>
  <c r="N79" i="45" s="1"/>
  <c r="B79" i="45"/>
  <c r="X78" i="45"/>
  <c r="Z78" i="45" s="1"/>
  <c r="L78" i="45"/>
  <c r="N78" i="45" s="1"/>
  <c r="J78" i="45"/>
  <c r="B78" i="45"/>
  <c r="X77" i="45"/>
  <c r="Z77" i="45" s="1"/>
  <c r="L77" i="45"/>
  <c r="N77" i="45" s="1"/>
  <c r="B77" i="45"/>
  <c r="Z76" i="45"/>
  <c r="X76" i="45"/>
  <c r="N76" i="45"/>
  <c r="L76" i="45"/>
  <c r="B76" i="45"/>
  <c r="T75" i="45"/>
  <c r="P75" i="45"/>
  <c r="H75" i="45"/>
  <c r="D75" i="45"/>
  <c r="L75" i="45" s="1"/>
  <c r="N75" i="45" s="1"/>
  <c r="B75" i="45"/>
  <c r="X74" i="45"/>
  <c r="Z74" i="45" s="1"/>
  <c r="L74" i="45"/>
  <c r="N74" i="45" s="1"/>
  <c r="B74" i="45"/>
  <c r="X73" i="45"/>
  <c r="Z73" i="45" s="1"/>
  <c r="L73" i="45"/>
  <c r="N73" i="45" s="1"/>
  <c r="B73" i="45"/>
  <c r="X72" i="45"/>
  <c r="Z72" i="45" s="1"/>
  <c r="N72" i="45"/>
  <c r="L72" i="45"/>
  <c r="B72" i="45"/>
  <c r="T71" i="45"/>
  <c r="X71" i="45" s="1"/>
  <c r="P71" i="45"/>
  <c r="H71" i="45"/>
  <c r="D71" i="45"/>
  <c r="L71" i="45" s="1"/>
  <c r="B71" i="45"/>
  <c r="X70" i="45"/>
  <c r="Z70" i="45" s="1"/>
  <c r="L70" i="45"/>
  <c r="N70" i="45" s="1"/>
  <c r="B70" i="45"/>
  <c r="X69" i="45"/>
  <c r="Z69" i="45" s="1"/>
  <c r="L69" i="45"/>
  <c r="N69" i="45" s="1"/>
  <c r="B69" i="45"/>
  <c r="Z68" i="45"/>
  <c r="X68" i="45"/>
  <c r="N68" i="45"/>
  <c r="L68" i="45"/>
  <c r="B68" i="45"/>
  <c r="T67" i="45"/>
  <c r="P67" i="45"/>
  <c r="X67" i="45" s="1"/>
  <c r="L67" i="45"/>
  <c r="N67" i="45" s="1"/>
  <c r="H67" i="45"/>
  <c r="D67" i="45"/>
  <c r="B67" i="45"/>
  <c r="X66" i="45"/>
  <c r="Z66" i="45" s="1"/>
  <c r="L66" i="45"/>
  <c r="N66" i="45" s="1"/>
  <c r="B66" i="45"/>
  <c r="T65" i="45"/>
  <c r="P65" i="45"/>
  <c r="X65" i="45" s="1"/>
  <c r="Z65" i="45" s="1"/>
  <c r="H65" i="45"/>
  <c r="D65" i="45"/>
  <c r="B65" i="45"/>
  <c r="X64" i="45"/>
  <c r="Z64" i="45" s="1"/>
  <c r="N64" i="45"/>
  <c r="L64" i="45"/>
  <c r="B64" i="45"/>
  <c r="T63" i="45"/>
  <c r="X63" i="45" s="1"/>
  <c r="P63" i="45"/>
  <c r="H63" i="45"/>
  <c r="N63" i="45" s="1"/>
  <c r="D63" i="45"/>
  <c r="L63" i="45" s="1"/>
  <c r="B63" i="45"/>
  <c r="X62" i="45"/>
  <c r="Z62" i="45" s="1"/>
  <c r="L62" i="45"/>
  <c r="N62" i="45" s="1"/>
  <c r="B62" i="45"/>
  <c r="X61" i="45"/>
  <c r="Z61" i="45" s="1"/>
  <c r="T61" i="45"/>
  <c r="P61" i="45"/>
  <c r="H61" i="45"/>
  <c r="N61" i="45" s="1"/>
  <c r="D61" i="45"/>
  <c r="L61" i="45" s="1"/>
  <c r="B61" i="45"/>
  <c r="Z60" i="45"/>
  <c r="X60" i="45"/>
  <c r="N60" i="45"/>
  <c r="L60" i="45"/>
  <c r="B60" i="45"/>
  <c r="T59" i="45"/>
  <c r="P59" i="45"/>
  <c r="N59" i="45"/>
  <c r="H59" i="45"/>
  <c r="D59" i="45"/>
  <c r="L59" i="45" s="1"/>
  <c r="B59" i="45"/>
  <c r="X58" i="45"/>
  <c r="Z58" i="45" s="1"/>
  <c r="L58" i="45"/>
  <c r="N58" i="45" s="1"/>
  <c r="B58" i="45"/>
  <c r="T57" i="45"/>
  <c r="P57" i="45"/>
  <c r="X57" i="45" s="1"/>
  <c r="H57" i="45"/>
  <c r="L57" i="45" s="1"/>
  <c r="D57" i="45"/>
  <c r="B57" i="45"/>
  <c r="Z56" i="45"/>
  <c r="X56" i="45"/>
  <c r="N56" i="45"/>
  <c r="L56" i="45"/>
  <c r="B56" i="45"/>
  <c r="T55" i="45"/>
  <c r="P55" i="45"/>
  <c r="X55" i="45" s="1"/>
  <c r="L55" i="45"/>
  <c r="N55" i="45" s="1"/>
  <c r="H55" i="45"/>
  <c r="D55" i="45"/>
  <c r="B55" i="45"/>
  <c r="X54" i="45"/>
  <c r="Z54" i="45" s="1"/>
  <c r="L54" i="45"/>
  <c r="N54" i="45" s="1"/>
  <c r="J54" i="45"/>
  <c r="B54" i="45"/>
  <c r="T53" i="45"/>
  <c r="P53" i="45"/>
  <c r="X53" i="45" s="1"/>
  <c r="Z53" i="45" s="1"/>
  <c r="H53" i="45"/>
  <c r="D53" i="45"/>
  <c r="B53" i="45"/>
  <c r="Z52" i="45"/>
  <c r="X52" i="45"/>
  <c r="N52" i="45"/>
  <c r="L52" i="45"/>
  <c r="B52" i="45"/>
  <c r="T51" i="45"/>
  <c r="X51" i="45" s="1"/>
  <c r="P51" i="45"/>
  <c r="H51" i="45"/>
  <c r="N51" i="45" s="1"/>
  <c r="D51" i="45"/>
  <c r="L51" i="45" s="1"/>
  <c r="B51" i="45"/>
  <c r="Z50" i="45"/>
  <c r="X50" i="45"/>
  <c r="L50" i="45"/>
  <c r="N50" i="45" s="1"/>
  <c r="B50" i="45"/>
  <c r="X49" i="45"/>
  <c r="Z49" i="45" s="1"/>
  <c r="T49" i="45"/>
  <c r="P49" i="45"/>
  <c r="H49" i="45"/>
  <c r="N49" i="45" s="1"/>
  <c r="D49" i="45"/>
  <c r="L49" i="45" s="1"/>
  <c r="B49" i="45"/>
  <c r="Z48" i="45"/>
  <c r="X48" i="45"/>
  <c r="L48" i="45"/>
  <c r="N48" i="45" s="1"/>
  <c r="B48" i="45"/>
  <c r="T47" i="45"/>
  <c r="P47" i="45"/>
  <c r="H47" i="45"/>
  <c r="D47" i="45"/>
  <c r="L47" i="45" s="1"/>
  <c r="N47" i="45" s="1"/>
  <c r="B47" i="45"/>
  <c r="X46" i="45"/>
  <c r="Z46" i="45" s="1"/>
  <c r="N46" i="45"/>
  <c r="L46" i="45"/>
  <c r="B46" i="45"/>
  <c r="T45" i="45"/>
  <c r="Z45" i="45" s="1"/>
  <c r="P45" i="45"/>
  <c r="X45" i="45" s="1"/>
  <c r="H45" i="45"/>
  <c r="L45" i="45" s="1"/>
  <c r="D45" i="45"/>
  <c r="B45" i="45"/>
  <c r="Z44" i="45"/>
  <c r="X44" i="45"/>
  <c r="N44" i="45"/>
  <c r="L44" i="45"/>
  <c r="B44" i="45"/>
  <c r="Z43" i="45"/>
  <c r="X43" i="45"/>
  <c r="L43" i="45"/>
  <c r="N43" i="45" s="1"/>
  <c r="B43" i="45"/>
  <c r="Z42" i="45"/>
  <c r="X42" i="45"/>
  <c r="L42" i="45"/>
  <c r="N42" i="45" s="1"/>
  <c r="B42" i="45"/>
  <c r="X41" i="45"/>
  <c r="Z41" i="45" s="1"/>
  <c r="L41" i="45"/>
  <c r="N41" i="45" s="1"/>
  <c r="B41" i="45"/>
  <c r="Z40" i="45"/>
  <c r="X40" i="45"/>
  <c r="N40" i="45"/>
  <c r="L40" i="45"/>
  <c r="B40" i="45"/>
  <c r="Z39" i="45"/>
  <c r="X39" i="45"/>
  <c r="L39" i="45"/>
  <c r="N39" i="45" s="1"/>
  <c r="B39" i="45"/>
  <c r="Z38" i="45"/>
  <c r="X38" i="45"/>
  <c r="L38" i="45"/>
  <c r="N38" i="45" s="1"/>
  <c r="B38" i="45"/>
  <c r="X37" i="45"/>
  <c r="Z37" i="45" s="1"/>
  <c r="T37" i="45"/>
  <c r="P37" i="45"/>
  <c r="H37" i="45"/>
  <c r="N37" i="45" s="1"/>
  <c r="D37" i="45"/>
  <c r="L37" i="45" s="1"/>
  <c r="B37" i="45"/>
  <c r="Z36" i="45"/>
  <c r="X36" i="45"/>
  <c r="L36" i="45"/>
  <c r="N36" i="45" s="1"/>
  <c r="B36" i="45"/>
  <c r="X35" i="45"/>
  <c r="Z35" i="45" s="1"/>
  <c r="L35" i="45"/>
  <c r="N35" i="45" s="1"/>
  <c r="B35" i="45"/>
  <c r="X34" i="45"/>
  <c r="Z34" i="45" s="1"/>
  <c r="L34" i="45"/>
  <c r="N34" i="45" s="1"/>
  <c r="B34" i="45"/>
  <c r="X33" i="45"/>
  <c r="Z33" i="45" s="1"/>
  <c r="L33" i="45"/>
  <c r="N33" i="45" s="1"/>
  <c r="B33" i="45"/>
  <c r="Z32" i="45"/>
  <c r="X32" i="45"/>
  <c r="L32" i="45"/>
  <c r="N32" i="45" s="1"/>
  <c r="B32" i="45"/>
  <c r="X31" i="45"/>
  <c r="Z31" i="45" s="1"/>
  <c r="L31" i="45"/>
  <c r="N31" i="45" s="1"/>
  <c r="B31" i="45"/>
  <c r="X30" i="45"/>
  <c r="Z30" i="45" s="1"/>
  <c r="L30" i="45"/>
  <c r="N30" i="45" s="1"/>
  <c r="J30" i="45"/>
  <c r="B30" i="45"/>
  <c r="X29" i="45"/>
  <c r="Z29" i="45" s="1"/>
  <c r="L29" i="45"/>
  <c r="N29" i="45" s="1"/>
  <c r="B29" i="45"/>
  <c r="Z28" i="45"/>
  <c r="X28" i="45"/>
  <c r="L28" i="45"/>
  <c r="N28" i="45" s="1"/>
  <c r="B28" i="45"/>
  <c r="T27" i="45"/>
  <c r="P27" i="45"/>
  <c r="H27" i="45"/>
  <c r="D27" i="45"/>
  <c r="L27" i="45" s="1"/>
  <c r="N27" i="45" s="1"/>
  <c r="B27" i="45"/>
  <c r="X26" i="45"/>
  <c r="Z26" i="45" s="1"/>
  <c r="T26" i="45"/>
  <c r="P26" i="45"/>
  <c r="H26" i="45"/>
  <c r="D26" i="45"/>
  <c r="L26" i="45" s="1"/>
  <c r="X22" i="45"/>
  <c r="Z22" i="45" s="1"/>
  <c r="L22" i="45"/>
  <c r="N22" i="45" s="1"/>
  <c r="B22" i="45"/>
  <c r="X21" i="45"/>
  <c r="Z21" i="45" s="1"/>
  <c r="L21" i="45"/>
  <c r="N21" i="45" s="1"/>
  <c r="B21" i="45"/>
  <c r="T20" i="45"/>
  <c r="P20" i="45"/>
  <c r="X20" i="45" s="1"/>
  <c r="L20" i="45"/>
  <c r="N20" i="45" s="1"/>
  <c r="H20" i="45"/>
  <c r="D20" i="45"/>
  <c r="X18" i="45"/>
  <c r="Z18" i="45" s="1"/>
  <c r="T18" i="45"/>
  <c r="P18" i="45"/>
  <c r="N18" i="45"/>
  <c r="L18" i="45"/>
  <c r="H18" i="45"/>
  <c r="D18" i="45"/>
  <c r="B18" i="45"/>
  <c r="T17" i="45"/>
  <c r="P17" i="45"/>
  <c r="X17" i="45" s="1"/>
  <c r="H17" i="45"/>
  <c r="D17" i="45"/>
  <c r="L17" i="45" s="1"/>
  <c r="N17" i="45" s="1"/>
  <c r="B17" i="45"/>
  <c r="T16" i="45"/>
  <c r="P16" i="45"/>
  <c r="H16" i="45"/>
  <c r="D16" i="45"/>
  <c r="L16" i="45" s="1"/>
  <c r="B16" i="45"/>
  <c r="X15" i="45"/>
  <c r="T15" i="45"/>
  <c r="Z15" i="45" s="1"/>
  <c r="P15" i="45"/>
  <c r="L15" i="45"/>
  <c r="N15" i="45" s="1"/>
  <c r="H15" i="45"/>
  <c r="D15" i="45"/>
  <c r="B15" i="45"/>
  <c r="X14" i="45"/>
  <c r="Z14" i="45" s="1"/>
  <c r="T14" i="45"/>
  <c r="P14" i="45"/>
  <c r="N14" i="45"/>
  <c r="L14" i="45"/>
  <c r="H14" i="45"/>
  <c r="D14" i="45"/>
  <c r="B14" i="45"/>
  <c r="T13" i="45"/>
  <c r="P13" i="45"/>
  <c r="X13" i="45" s="1"/>
  <c r="H13" i="45"/>
  <c r="H12" i="45" s="1"/>
  <c r="D13" i="45"/>
  <c r="D12" i="45" s="1"/>
  <c r="F39" i="45" s="1"/>
  <c r="B13" i="45"/>
  <c r="T12" i="45"/>
  <c r="D4" i="45"/>
  <c r="Z127" i="42"/>
  <c r="X127" i="42"/>
  <c r="L127" i="42"/>
  <c r="N127" i="42" s="1"/>
  <c r="T123" i="42"/>
  <c r="Z123" i="42" s="1"/>
  <c r="P123" i="42"/>
  <c r="X123" i="42" s="1"/>
  <c r="L123" i="42"/>
  <c r="N123" i="42" s="1"/>
  <c r="H123" i="42"/>
  <c r="D123" i="42"/>
  <c r="B123" i="42"/>
  <c r="T122" i="42"/>
  <c r="P122" i="42"/>
  <c r="X122" i="42" s="1"/>
  <c r="H122" i="42"/>
  <c r="D122" i="42"/>
  <c r="D120" i="42" s="1"/>
  <c r="L120" i="42" s="1"/>
  <c r="B122" i="42"/>
  <c r="T121" i="42"/>
  <c r="P121" i="42"/>
  <c r="H121" i="42"/>
  <c r="L121" i="42" s="1"/>
  <c r="D121" i="42"/>
  <c r="B121" i="42"/>
  <c r="H120" i="42"/>
  <c r="N120" i="42" s="1"/>
  <c r="Z118" i="42"/>
  <c r="X118" i="42"/>
  <c r="N118" i="42"/>
  <c r="L118" i="42"/>
  <c r="B118" i="42"/>
  <c r="T117" i="42"/>
  <c r="P117" i="42"/>
  <c r="X117" i="42" s="1"/>
  <c r="L117" i="42"/>
  <c r="N117" i="42" s="1"/>
  <c r="H117" i="42"/>
  <c r="D117" i="42"/>
  <c r="B117" i="42"/>
  <c r="X116" i="42"/>
  <c r="Z116" i="42" s="1"/>
  <c r="L116" i="42"/>
  <c r="N116" i="42" s="1"/>
  <c r="B116" i="42"/>
  <c r="X115" i="42"/>
  <c r="Z115" i="42" s="1"/>
  <c r="N115" i="42"/>
  <c r="L115" i="42"/>
  <c r="B115" i="42"/>
  <c r="Z114" i="42"/>
  <c r="X114" i="42"/>
  <c r="L114" i="42"/>
  <c r="N114" i="42" s="1"/>
  <c r="B114" i="42"/>
  <c r="T113" i="42"/>
  <c r="P113" i="42"/>
  <c r="H113" i="42"/>
  <c r="D113" i="42"/>
  <c r="L113" i="42" s="1"/>
  <c r="N113" i="42" s="1"/>
  <c r="B113" i="42"/>
  <c r="X112" i="42"/>
  <c r="Z112" i="42" s="1"/>
  <c r="N112" i="42"/>
  <c r="L112" i="42"/>
  <c r="B112" i="42"/>
  <c r="X111" i="42"/>
  <c r="Z111" i="42" s="1"/>
  <c r="T111" i="42"/>
  <c r="P111" i="42"/>
  <c r="H111" i="42"/>
  <c r="L111" i="42" s="1"/>
  <c r="D111" i="42"/>
  <c r="B111" i="42"/>
  <c r="Z110" i="42"/>
  <c r="X110" i="42"/>
  <c r="N110" i="42"/>
  <c r="L110" i="42"/>
  <c r="B110" i="42"/>
  <c r="T109" i="42"/>
  <c r="P109" i="42"/>
  <c r="L109" i="42"/>
  <c r="N109" i="42" s="1"/>
  <c r="H109" i="42"/>
  <c r="D109" i="42"/>
  <c r="B109" i="42"/>
  <c r="X108" i="42"/>
  <c r="Z108" i="42" s="1"/>
  <c r="L108" i="42"/>
  <c r="N108" i="42" s="1"/>
  <c r="B108" i="42"/>
  <c r="X107" i="42"/>
  <c r="Z107" i="42" s="1"/>
  <c r="L107" i="42"/>
  <c r="N107" i="42" s="1"/>
  <c r="B107" i="42"/>
  <c r="Z106" i="42"/>
  <c r="X106" i="42"/>
  <c r="N106" i="42"/>
  <c r="L106" i="42"/>
  <c r="B106" i="42"/>
  <c r="Z105" i="42"/>
  <c r="X105" i="42"/>
  <c r="N105" i="42"/>
  <c r="L105" i="42"/>
  <c r="B105" i="42"/>
  <c r="X104" i="42"/>
  <c r="Z104" i="42" s="1"/>
  <c r="L104" i="42"/>
  <c r="N104" i="42" s="1"/>
  <c r="B104" i="42"/>
  <c r="X103" i="42"/>
  <c r="Z103" i="42" s="1"/>
  <c r="L103" i="42"/>
  <c r="N103" i="42" s="1"/>
  <c r="B103" i="42"/>
  <c r="Z102" i="42"/>
  <c r="X102" i="42"/>
  <c r="L102" i="42"/>
  <c r="N102" i="42" s="1"/>
  <c r="B102" i="42"/>
  <c r="Z101" i="42"/>
  <c r="X101" i="42"/>
  <c r="L101" i="42"/>
  <c r="N101" i="42" s="1"/>
  <c r="B101" i="42"/>
  <c r="X100" i="42"/>
  <c r="Z100" i="42" s="1"/>
  <c r="L100" i="42"/>
  <c r="N100" i="42" s="1"/>
  <c r="B100" i="42"/>
  <c r="T99" i="42"/>
  <c r="P99" i="42"/>
  <c r="X99" i="42" s="1"/>
  <c r="Z99" i="42" s="1"/>
  <c r="H99" i="42"/>
  <c r="D99" i="42"/>
  <c r="B99" i="42"/>
  <c r="X98" i="42"/>
  <c r="Z98" i="42" s="1"/>
  <c r="N98" i="42"/>
  <c r="L98" i="42"/>
  <c r="B98" i="42"/>
  <c r="Z97" i="42"/>
  <c r="X97" i="42"/>
  <c r="N97" i="42"/>
  <c r="L97" i="42"/>
  <c r="B97" i="42"/>
  <c r="X96" i="42"/>
  <c r="Z96" i="42" s="1"/>
  <c r="T96" i="42"/>
  <c r="P96" i="42"/>
  <c r="L96" i="42"/>
  <c r="N96" i="42" s="1"/>
  <c r="H96" i="42"/>
  <c r="D96" i="42"/>
  <c r="B96" i="42"/>
  <c r="X95" i="42"/>
  <c r="Z95" i="42" s="1"/>
  <c r="L95" i="42"/>
  <c r="N95" i="42" s="1"/>
  <c r="B95" i="42"/>
  <c r="Z94" i="42"/>
  <c r="X94" i="42"/>
  <c r="N94" i="42"/>
  <c r="L94" i="42"/>
  <c r="B94" i="42"/>
  <c r="Z93" i="42"/>
  <c r="X93" i="42"/>
  <c r="N93" i="42"/>
  <c r="L93" i="42"/>
  <c r="B93" i="42"/>
  <c r="Z92" i="42"/>
  <c r="X92" i="42"/>
  <c r="L92" i="42"/>
  <c r="N92" i="42" s="1"/>
  <c r="B92" i="42"/>
  <c r="X91" i="42"/>
  <c r="Z91" i="42" s="1"/>
  <c r="L91" i="42"/>
  <c r="N91" i="42" s="1"/>
  <c r="B91" i="42"/>
  <c r="Z90" i="42"/>
  <c r="X90" i="42"/>
  <c r="T90" i="42"/>
  <c r="P90" i="42"/>
  <c r="H90" i="42"/>
  <c r="D90" i="42"/>
  <c r="L90" i="42" s="1"/>
  <c r="B90" i="42"/>
  <c r="Z89" i="42"/>
  <c r="X89" i="42"/>
  <c r="L89" i="42"/>
  <c r="N89" i="42" s="1"/>
  <c r="B89" i="42"/>
  <c r="X88" i="42"/>
  <c r="Z88" i="42" s="1"/>
  <c r="L88" i="42"/>
  <c r="N88" i="42" s="1"/>
  <c r="B88" i="42"/>
  <c r="T87" i="42"/>
  <c r="P87" i="42"/>
  <c r="X87" i="42" s="1"/>
  <c r="Z87" i="42" s="1"/>
  <c r="H87" i="42"/>
  <c r="D87" i="42"/>
  <c r="B87" i="42"/>
  <c r="X86" i="42"/>
  <c r="Z86" i="42" s="1"/>
  <c r="N86" i="42"/>
  <c r="L86" i="42"/>
  <c r="B86" i="42"/>
  <c r="X85" i="42"/>
  <c r="Z85" i="42" s="1"/>
  <c r="N85" i="42"/>
  <c r="L85" i="42"/>
  <c r="B85" i="42"/>
  <c r="X84" i="42"/>
  <c r="Z84" i="42" s="1"/>
  <c r="N84" i="42"/>
  <c r="L84" i="42"/>
  <c r="B84" i="42"/>
  <c r="X83" i="42"/>
  <c r="Z83" i="42" s="1"/>
  <c r="N83" i="42"/>
  <c r="L83" i="42"/>
  <c r="B83" i="42"/>
  <c r="X82" i="42"/>
  <c r="Z82" i="42" s="1"/>
  <c r="T82" i="42"/>
  <c r="P82" i="42"/>
  <c r="L82" i="42"/>
  <c r="N82" i="42" s="1"/>
  <c r="H82" i="42"/>
  <c r="D82" i="42"/>
  <c r="B82" i="42"/>
  <c r="Z81" i="42"/>
  <c r="X81" i="42"/>
  <c r="R81" i="42"/>
  <c r="N81" i="42"/>
  <c r="L81" i="42"/>
  <c r="B81" i="42"/>
  <c r="T80" i="42"/>
  <c r="Z80" i="42" s="1"/>
  <c r="P80" i="42"/>
  <c r="X80" i="42" s="1"/>
  <c r="N80" i="42"/>
  <c r="L80" i="42"/>
  <c r="H80" i="42"/>
  <c r="D80" i="42"/>
  <c r="B80" i="42"/>
  <c r="Z79" i="42"/>
  <c r="X79" i="42"/>
  <c r="N79" i="42"/>
  <c r="L79" i="42"/>
  <c r="B79" i="42"/>
  <c r="Z78" i="42"/>
  <c r="T78" i="42"/>
  <c r="P78" i="42"/>
  <c r="X78" i="42" s="1"/>
  <c r="L78" i="42"/>
  <c r="H78" i="42"/>
  <c r="N78" i="42" s="1"/>
  <c r="D78" i="42"/>
  <c r="B78" i="42"/>
  <c r="X77" i="42"/>
  <c r="Z77" i="42" s="1"/>
  <c r="N77" i="42"/>
  <c r="L77" i="42"/>
  <c r="B77" i="42"/>
  <c r="X76" i="42"/>
  <c r="Z76" i="42" s="1"/>
  <c r="T76" i="42"/>
  <c r="P76" i="42"/>
  <c r="L76" i="42"/>
  <c r="N76" i="42" s="1"/>
  <c r="H76" i="42"/>
  <c r="D76" i="42"/>
  <c r="B76" i="42"/>
  <c r="X75" i="42"/>
  <c r="Z75" i="42" s="1"/>
  <c r="L75" i="42"/>
  <c r="N75" i="42" s="1"/>
  <c r="B75" i="42"/>
  <c r="Z74" i="42"/>
  <c r="X74" i="42"/>
  <c r="T74" i="42"/>
  <c r="P74" i="42"/>
  <c r="H74" i="42"/>
  <c r="N74" i="42" s="1"/>
  <c r="D74" i="42"/>
  <c r="L74" i="42" s="1"/>
  <c r="B74" i="42"/>
  <c r="Z73" i="42"/>
  <c r="X73" i="42"/>
  <c r="L73" i="42"/>
  <c r="N73" i="42" s="1"/>
  <c r="B73" i="42"/>
  <c r="X72" i="42"/>
  <c r="Z72" i="42" s="1"/>
  <c r="L72" i="42"/>
  <c r="N72" i="42" s="1"/>
  <c r="B72" i="42"/>
  <c r="T71" i="42"/>
  <c r="P71" i="42"/>
  <c r="X71" i="42" s="1"/>
  <c r="Z71" i="42" s="1"/>
  <c r="H71" i="42"/>
  <c r="D71" i="42"/>
  <c r="B71" i="42"/>
  <c r="X70" i="42"/>
  <c r="Z70" i="42" s="1"/>
  <c r="N70" i="42"/>
  <c r="L70" i="42"/>
  <c r="B70" i="42"/>
  <c r="T69" i="42"/>
  <c r="X69" i="42" s="1"/>
  <c r="P69" i="42"/>
  <c r="N69" i="42"/>
  <c r="H69" i="42"/>
  <c r="D69" i="42"/>
  <c r="L69" i="42" s="1"/>
  <c r="B69" i="42"/>
  <c r="Z68" i="42"/>
  <c r="X68" i="42"/>
  <c r="L68" i="42"/>
  <c r="N68" i="42" s="1"/>
  <c r="B68" i="42"/>
  <c r="X67" i="42"/>
  <c r="Z67" i="42" s="1"/>
  <c r="T67" i="42"/>
  <c r="P67" i="42"/>
  <c r="H67" i="42"/>
  <c r="D67" i="42"/>
  <c r="L67" i="42" s="1"/>
  <c r="B67" i="42"/>
  <c r="Z66" i="42"/>
  <c r="X66" i="42"/>
  <c r="N66" i="42"/>
  <c r="L66" i="42"/>
  <c r="B66" i="42"/>
  <c r="T65" i="42"/>
  <c r="P65" i="42"/>
  <c r="H65" i="42"/>
  <c r="D65" i="42"/>
  <c r="L65" i="42" s="1"/>
  <c r="N65" i="42" s="1"/>
  <c r="B65" i="42"/>
  <c r="X64" i="42"/>
  <c r="Z64" i="42" s="1"/>
  <c r="N64" i="42"/>
  <c r="L64" i="42"/>
  <c r="B64" i="42"/>
  <c r="T63" i="42"/>
  <c r="P63" i="42"/>
  <c r="X63" i="42" s="1"/>
  <c r="Z63" i="42" s="1"/>
  <c r="H63" i="42"/>
  <c r="L63" i="42" s="1"/>
  <c r="D63" i="42"/>
  <c r="B63" i="42"/>
  <c r="Z62" i="42"/>
  <c r="X62" i="42"/>
  <c r="N62" i="42"/>
  <c r="L62" i="42"/>
  <c r="B62" i="42"/>
  <c r="T61" i="42"/>
  <c r="Z61" i="42" s="1"/>
  <c r="P61" i="42"/>
  <c r="X61" i="42" s="1"/>
  <c r="N61" i="42"/>
  <c r="L61" i="42"/>
  <c r="H61" i="42"/>
  <c r="D61" i="42"/>
  <c r="B61" i="42"/>
  <c r="X60" i="42"/>
  <c r="Z60" i="42" s="1"/>
  <c r="L60" i="42"/>
  <c r="N60" i="42" s="1"/>
  <c r="B60" i="42"/>
  <c r="X59" i="42"/>
  <c r="Z59" i="42" s="1"/>
  <c r="L59" i="42"/>
  <c r="N59" i="42" s="1"/>
  <c r="B59" i="42"/>
  <c r="Z58" i="42"/>
  <c r="X58" i="42"/>
  <c r="L58" i="42"/>
  <c r="N58" i="42" s="1"/>
  <c r="B58" i="42"/>
  <c r="T57" i="42"/>
  <c r="P57" i="42"/>
  <c r="H57" i="42"/>
  <c r="D57" i="42"/>
  <c r="L57" i="42" s="1"/>
  <c r="N57" i="42" s="1"/>
  <c r="B57" i="42"/>
  <c r="X56" i="42"/>
  <c r="Z56" i="42" s="1"/>
  <c r="N56" i="42"/>
  <c r="L56" i="42"/>
  <c r="B56" i="42"/>
  <c r="X55" i="42"/>
  <c r="Z55" i="42" s="1"/>
  <c r="T55" i="42"/>
  <c r="P55" i="42"/>
  <c r="H55" i="42"/>
  <c r="L55" i="42" s="1"/>
  <c r="D55" i="42"/>
  <c r="B55" i="42"/>
  <c r="Z54" i="42"/>
  <c r="X54" i="42"/>
  <c r="N54" i="42"/>
  <c r="L54" i="42"/>
  <c r="B54" i="42"/>
  <c r="T53" i="42"/>
  <c r="P53" i="42"/>
  <c r="L53" i="42"/>
  <c r="N53" i="42" s="1"/>
  <c r="H53" i="42"/>
  <c r="D53" i="42"/>
  <c r="B53" i="42"/>
  <c r="X52" i="42"/>
  <c r="Z52" i="42" s="1"/>
  <c r="L52" i="42"/>
  <c r="N52" i="42" s="1"/>
  <c r="B52" i="42"/>
  <c r="T51" i="42"/>
  <c r="P51" i="42"/>
  <c r="X51" i="42" s="1"/>
  <c r="Z51" i="42" s="1"/>
  <c r="H51" i="42"/>
  <c r="D51" i="42"/>
  <c r="L51" i="42" s="1"/>
  <c r="B51" i="42"/>
  <c r="X50" i="42"/>
  <c r="Z50" i="42" s="1"/>
  <c r="N50" i="42"/>
  <c r="L50" i="42"/>
  <c r="B50" i="42"/>
  <c r="X49" i="42"/>
  <c r="Z49" i="42" s="1"/>
  <c r="N49" i="42"/>
  <c r="L49" i="42"/>
  <c r="B49" i="42"/>
  <c r="X48" i="42"/>
  <c r="Z48" i="42" s="1"/>
  <c r="N48" i="42"/>
  <c r="L48" i="42"/>
  <c r="B48" i="42"/>
  <c r="X47" i="42"/>
  <c r="Z47" i="42" s="1"/>
  <c r="L47" i="42"/>
  <c r="N47" i="42" s="1"/>
  <c r="B47" i="42"/>
  <c r="X46" i="42"/>
  <c r="Z46" i="42" s="1"/>
  <c r="N46" i="42"/>
  <c r="L46" i="42"/>
  <c r="B46" i="42"/>
  <c r="X45" i="42"/>
  <c r="Z45" i="42" s="1"/>
  <c r="N45" i="42"/>
  <c r="L45" i="42"/>
  <c r="B45" i="42"/>
  <c r="X44" i="42"/>
  <c r="Z44" i="42" s="1"/>
  <c r="N44" i="42"/>
  <c r="L44" i="42"/>
  <c r="B44" i="42"/>
  <c r="T43" i="42"/>
  <c r="P43" i="42"/>
  <c r="X43" i="42" s="1"/>
  <c r="Z43" i="42" s="1"/>
  <c r="H43" i="42"/>
  <c r="L43" i="42" s="1"/>
  <c r="D43" i="42"/>
  <c r="B43" i="42"/>
  <c r="Z42" i="42"/>
  <c r="X42" i="42"/>
  <c r="N42" i="42"/>
  <c r="L42" i="42"/>
  <c r="B42" i="42"/>
  <c r="Z41" i="42"/>
  <c r="X41" i="42"/>
  <c r="N41" i="42"/>
  <c r="L41" i="42"/>
  <c r="B41" i="42"/>
  <c r="Z40" i="42"/>
  <c r="X40" i="42"/>
  <c r="L40" i="42"/>
  <c r="N40" i="42" s="1"/>
  <c r="B40" i="42"/>
  <c r="X39" i="42"/>
  <c r="Z39" i="42" s="1"/>
  <c r="L39" i="42"/>
  <c r="N39" i="42" s="1"/>
  <c r="B39" i="42"/>
  <c r="Z38" i="42"/>
  <c r="X38" i="42"/>
  <c r="N38" i="42"/>
  <c r="L38" i="42"/>
  <c r="B38" i="42"/>
  <c r="Z37" i="42"/>
  <c r="X37" i="42"/>
  <c r="N37" i="42"/>
  <c r="L37" i="42"/>
  <c r="B37" i="42"/>
  <c r="Z36" i="42"/>
  <c r="X36" i="42"/>
  <c r="L36" i="42"/>
  <c r="N36" i="42" s="1"/>
  <c r="B36" i="42"/>
  <c r="X35" i="42"/>
  <c r="Z35" i="42" s="1"/>
  <c r="L35" i="42"/>
  <c r="N35" i="42" s="1"/>
  <c r="B35" i="42"/>
  <c r="Z34" i="42"/>
  <c r="X34" i="42"/>
  <c r="N34" i="42"/>
  <c r="L34" i="42"/>
  <c r="B34" i="42"/>
  <c r="Z33" i="42"/>
  <c r="T33" i="42"/>
  <c r="P33" i="42"/>
  <c r="X33" i="42" s="1"/>
  <c r="H33" i="42"/>
  <c r="D33" i="42"/>
  <c r="L33" i="42" s="1"/>
  <c r="B33" i="42"/>
  <c r="T32" i="42"/>
  <c r="P32" i="42"/>
  <c r="X32" i="42" s="1"/>
  <c r="H32" i="42"/>
  <c r="D32" i="42"/>
  <c r="L32" i="42" s="1"/>
  <c r="N32" i="42" s="1"/>
  <c r="X28" i="42"/>
  <c r="Z28" i="42" s="1"/>
  <c r="L28" i="42"/>
  <c r="N28" i="42" s="1"/>
  <c r="B28" i="42"/>
  <c r="X27" i="42"/>
  <c r="Z27" i="42" s="1"/>
  <c r="L27" i="42"/>
  <c r="N27" i="42" s="1"/>
  <c r="B27" i="42"/>
  <c r="Z26" i="42"/>
  <c r="T26" i="42"/>
  <c r="P26" i="42"/>
  <c r="X26" i="42" s="1"/>
  <c r="H26" i="42"/>
  <c r="D26" i="42"/>
  <c r="T24" i="42"/>
  <c r="P24" i="42"/>
  <c r="X24" i="42" s="1"/>
  <c r="Z24" i="42" s="1"/>
  <c r="N24" i="42"/>
  <c r="L24" i="42"/>
  <c r="H24" i="42"/>
  <c r="D24" i="42"/>
  <c r="B24" i="42"/>
  <c r="T23" i="42"/>
  <c r="P23" i="42"/>
  <c r="H23" i="42"/>
  <c r="N23" i="42" s="1"/>
  <c r="D23" i="42"/>
  <c r="L23" i="42" s="1"/>
  <c r="B23" i="42"/>
  <c r="T22" i="42"/>
  <c r="P22" i="42"/>
  <c r="X22" i="42" s="1"/>
  <c r="H22" i="42"/>
  <c r="D22" i="42"/>
  <c r="B22" i="42"/>
  <c r="X21" i="42"/>
  <c r="Z21" i="42" s="1"/>
  <c r="T21" i="42"/>
  <c r="P21" i="42"/>
  <c r="H21" i="42"/>
  <c r="N21" i="42" s="1"/>
  <c r="D21" i="42"/>
  <c r="B21" i="42"/>
  <c r="Z20" i="42"/>
  <c r="T20" i="42"/>
  <c r="P20" i="42"/>
  <c r="X20" i="42" s="1"/>
  <c r="L20" i="42"/>
  <c r="N20" i="42" s="1"/>
  <c r="H20" i="42"/>
  <c r="D20" i="42"/>
  <c r="B20" i="42"/>
  <c r="T19" i="42"/>
  <c r="P19" i="42"/>
  <c r="H19" i="42"/>
  <c r="D19" i="42"/>
  <c r="B19" i="42"/>
  <c r="T18" i="42"/>
  <c r="P18" i="42"/>
  <c r="X18" i="42" s="1"/>
  <c r="H18" i="42"/>
  <c r="D18" i="42"/>
  <c r="B18" i="42"/>
  <c r="X17" i="42"/>
  <c r="T17" i="42"/>
  <c r="Z17" i="42" s="1"/>
  <c r="P17" i="42"/>
  <c r="H17" i="42"/>
  <c r="D17" i="42"/>
  <c r="B17" i="42"/>
  <c r="Z16" i="42"/>
  <c r="T16" i="42"/>
  <c r="P16" i="42"/>
  <c r="X16" i="42" s="1"/>
  <c r="L16" i="42"/>
  <c r="N16" i="42" s="1"/>
  <c r="H16" i="42"/>
  <c r="D16" i="42"/>
  <c r="B16" i="42"/>
  <c r="T15" i="42"/>
  <c r="P15" i="42"/>
  <c r="H15" i="42"/>
  <c r="D15" i="42"/>
  <c r="L15" i="42" s="1"/>
  <c r="B15" i="42"/>
  <c r="X14" i="42"/>
  <c r="T14" i="42"/>
  <c r="P14" i="42"/>
  <c r="L14" i="42"/>
  <c r="H14" i="42"/>
  <c r="D14" i="42"/>
  <c r="B14" i="42"/>
  <c r="T13" i="42"/>
  <c r="X13" i="42" s="1"/>
  <c r="Z13" i="42" s="1"/>
  <c r="P13" i="42"/>
  <c r="N13" i="42"/>
  <c r="L13" i="42"/>
  <c r="H13" i="42"/>
  <c r="D13" i="42"/>
  <c r="B13" i="42"/>
  <c r="P12" i="42"/>
  <c r="D4" i="42"/>
  <c r="Z136" i="39"/>
  <c r="X136" i="39"/>
  <c r="L136" i="39"/>
  <c r="N136" i="39" s="1"/>
  <c r="T132" i="39"/>
  <c r="X132" i="39" s="1"/>
  <c r="Z132" i="39" s="1"/>
  <c r="R132" i="39"/>
  <c r="P132" i="39"/>
  <c r="H132" i="39"/>
  <c r="D132" i="39"/>
  <c r="B132" i="39"/>
  <c r="T131" i="39"/>
  <c r="X131" i="39" s="1"/>
  <c r="Z131" i="39" s="1"/>
  <c r="R131" i="39"/>
  <c r="P131" i="39"/>
  <c r="L131" i="39"/>
  <c r="H131" i="39"/>
  <c r="N131" i="39" s="1"/>
  <c r="D131" i="39"/>
  <c r="B131" i="39"/>
  <c r="T130" i="39"/>
  <c r="T129" i="39" s="1"/>
  <c r="P130" i="39"/>
  <c r="X130" i="39" s="1"/>
  <c r="Z130" i="39" s="1"/>
  <c r="L130" i="39"/>
  <c r="N130" i="39" s="1"/>
  <c r="H130" i="39"/>
  <c r="D130" i="39"/>
  <c r="B130" i="39"/>
  <c r="P129" i="39"/>
  <c r="X129" i="39" s="1"/>
  <c r="Z129" i="39" s="1"/>
  <c r="D129" i="39"/>
  <c r="X127" i="39"/>
  <c r="Z127" i="39" s="1"/>
  <c r="L127" i="39"/>
  <c r="N127" i="39" s="1"/>
  <c r="B127" i="39"/>
  <c r="X126" i="39"/>
  <c r="T126" i="39"/>
  <c r="Z126" i="39" s="1"/>
  <c r="P126" i="39"/>
  <c r="L126" i="39"/>
  <c r="H126" i="39"/>
  <c r="D126" i="39"/>
  <c r="B126" i="39"/>
  <c r="X125" i="39"/>
  <c r="Z125" i="39" s="1"/>
  <c r="N125" i="39"/>
  <c r="L125" i="39"/>
  <c r="B125" i="39"/>
  <c r="Z124" i="39"/>
  <c r="X124" i="39"/>
  <c r="N124" i="39"/>
  <c r="L124" i="39"/>
  <c r="B124" i="39"/>
  <c r="Z123" i="39"/>
  <c r="X123" i="39"/>
  <c r="L123" i="39"/>
  <c r="N123" i="39" s="1"/>
  <c r="B123" i="39"/>
  <c r="T122" i="39"/>
  <c r="P122" i="39"/>
  <c r="X122" i="39" s="1"/>
  <c r="Z122" i="39" s="1"/>
  <c r="H122" i="39"/>
  <c r="D122" i="39"/>
  <c r="B122" i="39"/>
  <c r="Z121" i="39"/>
  <c r="X121" i="39"/>
  <c r="N121" i="39"/>
  <c r="L121" i="39"/>
  <c r="B121" i="39"/>
  <c r="X120" i="39"/>
  <c r="T120" i="39"/>
  <c r="P120" i="39"/>
  <c r="N120" i="39"/>
  <c r="L120" i="39"/>
  <c r="H120" i="39"/>
  <c r="D120" i="39"/>
  <c r="B120" i="39"/>
  <c r="X119" i="39"/>
  <c r="Z119" i="39" s="1"/>
  <c r="L119" i="39"/>
  <c r="N119" i="39" s="1"/>
  <c r="B119" i="39"/>
  <c r="T118" i="39"/>
  <c r="P118" i="39"/>
  <c r="X118" i="39" s="1"/>
  <c r="H118" i="39"/>
  <c r="L118" i="39" s="1"/>
  <c r="D118" i="39"/>
  <c r="B118" i="39"/>
  <c r="X117" i="39"/>
  <c r="Z117" i="39" s="1"/>
  <c r="N117" i="39"/>
  <c r="L117" i="39"/>
  <c r="B117" i="39"/>
  <c r="Z116" i="39"/>
  <c r="X116" i="39"/>
  <c r="N116" i="39"/>
  <c r="L116" i="39"/>
  <c r="B116" i="39"/>
  <c r="Z115" i="39"/>
  <c r="X115" i="39"/>
  <c r="N115" i="39"/>
  <c r="L115" i="39"/>
  <c r="B115" i="39"/>
  <c r="Z114" i="39"/>
  <c r="X114" i="39"/>
  <c r="R114" i="39"/>
  <c r="N114" i="39"/>
  <c r="L114" i="39"/>
  <c r="B114" i="39"/>
  <c r="Z113" i="39"/>
  <c r="X113" i="39"/>
  <c r="N113" i="39"/>
  <c r="L113" i="39"/>
  <c r="B113" i="39"/>
  <c r="Z112" i="39"/>
  <c r="X112" i="39"/>
  <c r="L112" i="39"/>
  <c r="N112" i="39" s="1"/>
  <c r="B112" i="39"/>
  <c r="X111" i="39"/>
  <c r="Z111" i="39" s="1"/>
  <c r="L111" i="39"/>
  <c r="N111" i="39" s="1"/>
  <c r="B111" i="39"/>
  <c r="X110" i="39"/>
  <c r="Z110" i="39" s="1"/>
  <c r="N110" i="39"/>
  <c r="L110" i="39"/>
  <c r="B110" i="39"/>
  <c r="X109" i="39"/>
  <c r="Z109" i="39" s="1"/>
  <c r="N109" i="39"/>
  <c r="L109" i="39"/>
  <c r="B109" i="39"/>
  <c r="T108" i="39"/>
  <c r="P108" i="39"/>
  <c r="X108" i="39" s="1"/>
  <c r="Z108" i="39" s="1"/>
  <c r="H108" i="39"/>
  <c r="D108" i="39"/>
  <c r="L108" i="39" s="1"/>
  <c r="N108" i="39" s="1"/>
  <c r="B108" i="39"/>
  <c r="X107" i="39"/>
  <c r="Z107" i="39" s="1"/>
  <c r="R107" i="39"/>
  <c r="L107" i="39"/>
  <c r="N107" i="39" s="1"/>
  <c r="B107" i="39"/>
  <c r="Z106" i="39"/>
  <c r="X106" i="39"/>
  <c r="N106" i="39"/>
  <c r="L106" i="39"/>
  <c r="B106" i="39"/>
  <c r="T105" i="39"/>
  <c r="P105" i="39"/>
  <c r="H105" i="39"/>
  <c r="D105" i="39"/>
  <c r="L105" i="39" s="1"/>
  <c r="B105" i="39"/>
  <c r="X104" i="39"/>
  <c r="Z104" i="39" s="1"/>
  <c r="N104" i="39"/>
  <c r="L104" i="39"/>
  <c r="B104" i="39"/>
  <c r="Z103" i="39"/>
  <c r="X103" i="39"/>
  <c r="L103" i="39"/>
  <c r="N103" i="39" s="1"/>
  <c r="B103" i="39"/>
  <c r="Z102" i="39"/>
  <c r="X102" i="39"/>
  <c r="N102" i="39"/>
  <c r="L102" i="39"/>
  <c r="B102" i="39"/>
  <c r="Z101" i="39"/>
  <c r="X101" i="39"/>
  <c r="L101" i="39"/>
  <c r="N101" i="39" s="1"/>
  <c r="B101" i="39"/>
  <c r="X100" i="39"/>
  <c r="Z100" i="39" s="1"/>
  <c r="N100" i="39"/>
  <c r="L100" i="39"/>
  <c r="B100" i="39"/>
  <c r="Z99" i="39"/>
  <c r="X99" i="39"/>
  <c r="T99" i="39"/>
  <c r="P99" i="39"/>
  <c r="H99" i="39"/>
  <c r="D99" i="39"/>
  <c r="B99" i="39"/>
  <c r="Z98" i="39"/>
  <c r="X98" i="39"/>
  <c r="L98" i="39"/>
  <c r="N98" i="39" s="1"/>
  <c r="B98" i="39"/>
  <c r="X97" i="39"/>
  <c r="Z97" i="39" s="1"/>
  <c r="N97" i="39"/>
  <c r="L97" i="39"/>
  <c r="B97" i="39"/>
  <c r="T96" i="39"/>
  <c r="P96" i="39"/>
  <c r="X96" i="39" s="1"/>
  <c r="Z96" i="39" s="1"/>
  <c r="H96" i="39"/>
  <c r="N96" i="39" s="1"/>
  <c r="D96" i="39"/>
  <c r="L96" i="39" s="1"/>
  <c r="B96" i="39"/>
  <c r="X95" i="39"/>
  <c r="Z95" i="39" s="1"/>
  <c r="N95" i="39"/>
  <c r="L95" i="39"/>
  <c r="B95" i="39"/>
  <c r="X94" i="39"/>
  <c r="Z94" i="39" s="1"/>
  <c r="N94" i="39"/>
  <c r="L94" i="39"/>
  <c r="B94" i="39"/>
  <c r="Z93" i="39"/>
  <c r="X93" i="39"/>
  <c r="N93" i="39"/>
  <c r="L93" i="39"/>
  <c r="B93" i="39"/>
  <c r="X92" i="39"/>
  <c r="Z92" i="39" s="1"/>
  <c r="N92" i="39"/>
  <c r="L92" i="39"/>
  <c r="B92" i="39"/>
  <c r="X91" i="39"/>
  <c r="T91" i="39"/>
  <c r="P91" i="39"/>
  <c r="H91" i="39"/>
  <c r="L91" i="39" s="1"/>
  <c r="N91" i="39" s="1"/>
  <c r="D91" i="39"/>
  <c r="B91" i="39"/>
  <c r="Z90" i="39"/>
  <c r="X90" i="39"/>
  <c r="L90" i="39"/>
  <c r="N90" i="39" s="1"/>
  <c r="B90" i="39"/>
  <c r="T89" i="39"/>
  <c r="P89" i="39"/>
  <c r="X89" i="39" s="1"/>
  <c r="Z89" i="39" s="1"/>
  <c r="L89" i="39"/>
  <c r="H89" i="39"/>
  <c r="N89" i="39" s="1"/>
  <c r="D89" i="39"/>
  <c r="B89" i="39"/>
  <c r="Z88" i="39"/>
  <c r="X88" i="39"/>
  <c r="N88" i="39"/>
  <c r="L88" i="39"/>
  <c r="B88" i="39"/>
  <c r="Z87" i="39"/>
  <c r="T87" i="39"/>
  <c r="P87" i="39"/>
  <c r="X87" i="39" s="1"/>
  <c r="N87" i="39"/>
  <c r="H87" i="39"/>
  <c r="L87" i="39" s="1"/>
  <c r="D87" i="39"/>
  <c r="B87" i="39"/>
  <c r="X86" i="39"/>
  <c r="Z86" i="39" s="1"/>
  <c r="N86" i="39"/>
  <c r="L86" i="39"/>
  <c r="B86" i="39"/>
  <c r="T85" i="39"/>
  <c r="X85" i="39" s="1"/>
  <c r="Z85" i="39" s="1"/>
  <c r="R85" i="39"/>
  <c r="P85" i="39"/>
  <c r="L85" i="39"/>
  <c r="H85" i="39"/>
  <c r="N85" i="39" s="1"/>
  <c r="D85" i="39"/>
  <c r="B85" i="39"/>
  <c r="X84" i="39"/>
  <c r="Z84" i="39" s="1"/>
  <c r="R84" i="39"/>
  <c r="L84" i="39"/>
  <c r="N84" i="39" s="1"/>
  <c r="B84" i="39"/>
  <c r="X83" i="39"/>
  <c r="T83" i="39"/>
  <c r="Z83" i="39" s="1"/>
  <c r="P83" i="39"/>
  <c r="N83" i="39"/>
  <c r="H83" i="39"/>
  <c r="D83" i="39"/>
  <c r="L83" i="39" s="1"/>
  <c r="B83" i="39"/>
  <c r="X82" i="39"/>
  <c r="Z82" i="39" s="1"/>
  <c r="L82" i="39"/>
  <c r="N82" i="39" s="1"/>
  <c r="B82" i="39"/>
  <c r="Z81" i="39"/>
  <c r="X81" i="39"/>
  <c r="N81" i="39"/>
  <c r="L81" i="39"/>
  <c r="B81" i="39"/>
  <c r="T80" i="39"/>
  <c r="X80" i="39" s="1"/>
  <c r="P80" i="39"/>
  <c r="H80" i="39"/>
  <c r="N80" i="39" s="1"/>
  <c r="D80" i="39"/>
  <c r="L80" i="39" s="1"/>
  <c r="B80" i="39"/>
  <c r="X79" i="39"/>
  <c r="Z79" i="39" s="1"/>
  <c r="N79" i="39"/>
  <c r="L79" i="39"/>
  <c r="B79" i="39"/>
  <c r="X78" i="39"/>
  <c r="Z78" i="39" s="1"/>
  <c r="N78" i="39"/>
  <c r="L78" i="39"/>
  <c r="B78" i="39"/>
  <c r="T77" i="39"/>
  <c r="X77" i="39" s="1"/>
  <c r="Z77" i="39" s="1"/>
  <c r="R77" i="39"/>
  <c r="P77" i="39"/>
  <c r="L77" i="39"/>
  <c r="H77" i="39"/>
  <c r="N77" i="39" s="1"/>
  <c r="D77" i="39"/>
  <c r="B77" i="39"/>
  <c r="X76" i="39"/>
  <c r="Z76" i="39" s="1"/>
  <c r="R76" i="39"/>
  <c r="L76" i="39"/>
  <c r="N76" i="39" s="1"/>
  <c r="B76" i="39"/>
  <c r="X75" i="39"/>
  <c r="T75" i="39"/>
  <c r="Z75" i="39" s="1"/>
  <c r="P75" i="39"/>
  <c r="N75" i="39"/>
  <c r="H75" i="39"/>
  <c r="D75" i="39"/>
  <c r="L75" i="39" s="1"/>
  <c r="B75" i="39"/>
  <c r="X74" i="39"/>
  <c r="Z74" i="39" s="1"/>
  <c r="L74" i="39"/>
  <c r="N74" i="39" s="1"/>
  <c r="B74" i="39"/>
  <c r="T73" i="39"/>
  <c r="X73" i="39" s="1"/>
  <c r="Z73" i="39" s="1"/>
  <c r="P73" i="39"/>
  <c r="H73" i="39"/>
  <c r="D73" i="39"/>
  <c r="L73" i="39" s="1"/>
  <c r="N73" i="39" s="1"/>
  <c r="B73" i="39"/>
  <c r="Z72" i="39"/>
  <c r="X72" i="39"/>
  <c r="N72" i="39"/>
  <c r="L72" i="39"/>
  <c r="B72" i="39"/>
  <c r="X71" i="39"/>
  <c r="T71" i="39"/>
  <c r="Z71" i="39" s="1"/>
  <c r="P71" i="39"/>
  <c r="N71" i="39"/>
  <c r="H71" i="39"/>
  <c r="L71" i="39" s="1"/>
  <c r="D71" i="39"/>
  <c r="B71" i="39"/>
  <c r="Z70" i="39"/>
  <c r="X70" i="39"/>
  <c r="L70" i="39"/>
  <c r="N70" i="39" s="1"/>
  <c r="B70" i="39"/>
  <c r="T69" i="39"/>
  <c r="P69" i="39"/>
  <c r="X69" i="39" s="1"/>
  <c r="Z69" i="39" s="1"/>
  <c r="L69" i="39"/>
  <c r="H69" i="39"/>
  <c r="N69" i="39" s="1"/>
  <c r="D69" i="39"/>
  <c r="B69" i="39"/>
  <c r="X68" i="39"/>
  <c r="Z68" i="39" s="1"/>
  <c r="N68" i="39"/>
  <c r="L68" i="39"/>
  <c r="B68" i="39"/>
  <c r="Z67" i="39"/>
  <c r="X67" i="39"/>
  <c r="L67" i="39"/>
  <c r="N67" i="39" s="1"/>
  <c r="B67" i="39"/>
  <c r="X66" i="39"/>
  <c r="Z66" i="39" s="1"/>
  <c r="L66" i="39"/>
  <c r="N66" i="39" s="1"/>
  <c r="B66" i="39"/>
  <c r="T65" i="39"/>
  <c r="X65" i="39" s="1"/>
  <c r="Z65" i="39" s="1"/>
  <c r="P65" i="39"/>
  <c r="H65" i="39"/>
  <c r="D65" i="39"/>
  <c r="L65" i="39" s="1"/>
  <c r="N65" i="39" s="1"/>
  <c r="B65" i="39"/>
  <c r="Z64" i="39"/>
  <c r="X64" i="39"/>
  <c r="L64" i="39"/>
  <c r="N64" i="39" s="1"/>
  <c r="F64" i="39"/>
  <c r="B64" i="39"/>
  <c r="X63" i="39"/>
  <c r="T63" i="39"/>
  <c r="Z63" i="39" s="1"/>
  <c r="P63" i="39"/>
  <c r="H63" i="39"/>
  <c r="L63" i="39" s="1"/>
  <c r="N63" i="39" s="1"/>
  <c r="D63" i="39"/>
  <c r="B63" i="39"/>
  <c r="Z62" i="39"/>
  <c r="X62" i="39"/>
  <c r="L62" i="39"/>
  <c r="N62" i="39" s="1"/>
  <c r="B62" i="39"/>
  <c r="Z61" i="39"/>
  <c r="T61" i="39"/>
  <c r="P61" i="39"/>
  <c r="X61" i="39" s="1"/>
  <c r="L61" i="39"/>
  <c r="H61" i="39"/>
  <c r="N61" i="39" s="1"/>
  <c r="D61" i="39"/>
  <c r="B61" i="39"/>
  <c r="X60" i="39"/>
  <c r="Z60" i="39" s="1"/>
  <c r="N60" i="39"/>
  <c r="L60" i="39"/>
  <c r="B60" i="39"/>
  <c r="T59" i="39"/>
  <c r="P59" i="39"/>
  <c r="X59" i="39" s="1"/>
  <c r="Z59" i="39" s="1"/>
  <c r="H59" i="39"/>
  <c r="L59" i="39" s="1"/>
  <c r="N59" i="39" s="1"/>
  <c r="D59" i="39"/>
  <c r="B59" i="39"/>
  <c r="X58" i="39"/>
  <c r="Z58" i="39" s="1"/>
  <c r="N58" i="39"/>
  <c r="L58" i="39"/>
  <c r="B58" i="39"/>
  <c r="Z57" i="39"/>
  <c r="X57" i="39"/>
  <c r="N57" i="39"/>
  <c r="L57" i="39"/>
  <c r="B57" i="39"/>
  <c r="Z56" i="39"/>
  <c r="X56" i="39"/>
  <c r="L56" i="39"/>
  <c r="N56" i="39" s="1"/>
  <c r="B56" i="39"/>
  <c r="X55" i="39"/>
  <c r="Z55" i="39" s="1"/>
  <c r="L55" i="39"/>
  <c r="N55" i="39" s="1"/>
  <c r="B55" i="39"/>
  <c r="X54" i="39"/>
  <c r="Z54" i="39" s="1"/>
  <c r="N54" i="39"/>
  <c r="L54" i="39"/>
  <c r="B54" i="39"/>
  <c r="Z53" i="39"/>
  <c r="X53" i="39"/>
  <c r="N53" i="39"/>
  <c r="L53" i="39"/>
  <c r="B53" i="39"/>
  <c r="Z52" i="39"/>
  <c r="X52" i="39"/>
  <c r="L52" i="39"/>
  <c r="N52" i="39" s="1"/>
  <c r="B52" i="39"/>
  <c r="X51" i="39"/>
  <c r="T51" i="39"/>
  <c r="Z51" i="39" s="1"/>
  <c r="P51" i="39"/>
  <c r="H51" i="39"/>
  <c r="L51" i="39" s="1"/>
  <c r="N51" i="39" s="1"/>
  <c r="D51" i="39"/>
  <c r="B51" i="39"/>
  <c r="Z50" i="39"/>
  <c r="X50" i="39"/>
  <c r="L50" i="39"/>
  <c r="N50" i="39" s="1"/>
  <c r="B50" i="39"/>
  <c r="Z49" i="39"/>
  <c r="X49" i="39"/>
  <c r="N49" i="39"/>
  <c r="L49" i="39"/>
  <c r="B49" i="39"/>
  <c r="X48" i="39"/>
  <c r="Z48" i="39" s="1"/>
  <c r="R48" i="39"/>
  <c r="L48" i="39"/>
  <c r="N48" i="39" s="1"/>
  <c r="B48" i="39"/>
  <c r="X47" i="39"/>
  <c r="Z47" i="39" s="1"/>
  <c r="N47" i="39"/>
  <c r="L47" i="39"/>
  <c r="B47" i="39"/>
  <c r="Z46" i="39"/>
  <c r="X46" i="39"/>
  <c r="L46" i="39"/>
  <c r="N46" i="39" s="1"/>
  <c r="B46" i="39"/>
  <c r="Z45" i="39"/>
  <c r="X45" i="39"/>
  <c r="N45" i="39"/>
  <c r="L45" i="39"/>
  <c r="B45" i="39"/>
  <c r="X44" i="39"/>
  <c r="Z44" i="39" s="1"/>
  <c r="R44" i="39"/>
  <c r="L44" i="39"/>
  <c r="N44" i="39" s="1"/>
  <c r="B44" i="39"/>
  <c r="X43" i="39"/>
  <c r="Z43" i="39" s="1"/>
  <c r="N43" i="39"/>
  <c r="L43" i="39"/>
  <c r="B43" i="39"/>
  <c r="Z42" i="39"/>
  <c r="X42" i="39"/>
  <c r="L42" i="39"/>
  <c r="N42" i="39" s="1"/>
  <c r="B42" i="39"/>
  <c r="T41" i="39"/>
  <c r="P41" i="39"/>
  <c r="X41" i="39" s="1"/>
  <c r="Z41" i="39" s="1"/>
  <c r="L41" i="39"/>
  <c r="H41" i="39"/>
  <c r="N41" i="39" s="1"/>
  <c r="D41" i="39"/>
  <c r="B41" i="39"/>
  <c r="T40" i="39"/>
  <c r="X40" i="39" s="1"/>
  <c r="P40" i="39"/>
  <c r="H40" i="39"/>
  <c r="D40" i="39"/>
  <c r="L40" i="39" s="1"/>
  <c r="X36" i="39"/>
  <c r="Z36" i="39" s="1"/>
  <c r="N36" i="39"/>
  <c r="L36" i="39"/>
  <c r="B36" i="39"/>
  <c r="Z35" i="39"/>
  <c r="X35" i="39"/>
  <c r="L35" i="39"/>
  <c r="N35" i="39" s="1"/>
  <c r="B35" i="39"/>
  <c r="T34" i="39"/>
  <c r="P34" i="39"/>
  <c r="X34" i="39" s="1"/>
  <c r="H34" i="39"/>
  <c r="L34" i="39" s="1"/>
  <c r="D34" i="39"/>
  <c r="X32" i="39"/>
  <c r="Z32" i="39" s="1"/>
  <c r="T32" i="39"/>
  <c r="P32" i="39"/>
  <c r="N32" i="39"/>
  <c r="L32" i="39"/>
  <c r="H32" i="39"/>
  <c r="D32" i="39"/>
  <c r="B32" i="39"/>
  <c r="T31" i="39"/>
  <c r="P31" i="39"/>
  <c r="X31" i="39" s="1"/>
  <c r="Z31" i="39" s="1"/>
  <c r="H31" i="39"/>
  <c r="D31" i="39"/>
  <c r="L31" i="39" s="1"/>
  <c r="N31" i="39" s="1"/>
  <c r="B31" i="39"/>
  <c r="T30" i="39"/>
  <c r="Z30" i="39" s="1"/>
  <c r="P30" i="39"/>
  <c r="X30" i="39" s="1"/>
  <c r="H30" i="39"/>
  <c r="N30" i="39" s="1"/>
  <c r="D30" i="39"/>
  <c r="L30" i="39" s="1"/>
  <c r="B30" i="39"/>
  <c r="T29" i="39"/>
  <c r="P29" i="39"/>
  <c r="H29" i="39"/>
  <c r="D29" i="39"/>
  <c r="B29" i="39"/>
  <c r="X28" i="39"/>
  <c r="Z28" i="39" s="1"/>
  <c r="T28" i="39"/>
  <c r="P28" i="39"/>
  <c r="L28" i="39"/>
  <c r="N28" i="39" s="1"/>
  <c r="H28" i="39"/>
  <c r="D28" i="39"/>
  <c r="B28" i="39"/>
  <c r="T27" i="39"/>
  <c r="P27" i="39"/>
  <c r="X27" i="39" s="1"/>
  <c r="Z27" i="39" s="1"/>
  <c r="H27" i="39"/>
  <c r="D27" i="39"/>
  <c r="L27" i="39" s="1"/>
  <c r="N27" i="39" s="1"/>
  <c r="B27" i="39"/>
  <c r="T26" i="39"/>
  <c r="Z26" i="39" s="1"/>
  <c r="P26" i="39"/>
  <c r="X26" i="39" s="1"/>
  <c r="H26" i="39"/>
  <c r="N26" i="39" s="1"/>
  <c r="D26" i="39"/>
  <c r="L26" i="39" s="1"/>
  <c r="B26" i="39"/>
  <c r="T25" i="39"/>
  <c r="P25" i="39"/>
  <c r="H25" i="39"/>
  <c r="D25" i="39"/>
  <c r="B25" i="39"/>
  <c r="X24" i="39"/>
  <c r="Z24" i="39" s="1"/>
  <c r="T24" i="39"/>
  <c r="P24" i="39"/>
  <c r="N24" i="39"/>
  <c r="L24" i="39"/>
  <c r="H24" i="39"/>
  <c r="D24" i="39"/>
  <c r="B24" i="39"/>
  <c r="Z23" i="39"/>
  <c r="T23" i="39"/>
  <c r="P23" i="39"/>
  <c r="X23" i="39" s="1"/>
  <c r="N23" i="39"/>
  <c r="H23" i="39"/>
  <c r="D23" i="39"/>
  <c r="L23" i="39" s="1"/>
  <c r="B23" i="39"/>
  <c r="T22" i="39"/>
  <c r="P22" i="39"/>
  <c r="X22" i="39" s="1"/>
  <c r="H22" i="39"/>
  <c r="D22" i="39"/>
  <c r="L22" i="39" s="1"/>
  <c r="B22" i="39"/>
  <c r="T21" i="39"/>
  <c r="P21" i="39"/>
  <c r="H21" i="39"/>
  <c r="D21" i="39"/>
  <c r="B21" i="39"/>
  <c r="X20" i="39"/>
  <c r="Z20" i="39" s="1"/>
  <c r="T20" i="39"/>
  <c r="P20" i="39"/>
  <c r="N20" i="39"/>
  <c r="L20" i="39"/>
  <c r="H20" i="39"/>
  <c r="D20" i="39"/>
  <c r="B20" i="39"/>
  <c r="T19" i="39"/>
  <c r="P19" i="39"/>
  <c r="X19" i="39" s="1"/>
  <c r="Z19" i="39" s="1"/>
  <c r="H19" i="39"/>
  <c r="D19" i="39"/>
  <c r="L19" i="39" s="1"/>
  <c r="N19" i="39" s="1"/>
  <c r="B19" i="39"/>
  <c r="T18" i="39"/>
  <c r="Z18" i="39" s="1"/>
  <c r="P18" i="39"/>
  <c r="X18" i="39" s="1"/>
  <c r="H18" i="39"/>
  <c r="N18" i="39" s="1"/>
  <c r="D18" i="39"/>
  <c r="L18" i="39" s="1"/>
  <c r="B18" i="39"/>
  <c r="T17" i="39"/>
  <c r="P17" i="39"/>
  <c r="H17" i="39"/>
  <c r="D17" i="39"/>
  <c r="B17" i="39"/>
  <c r="X16" i="39"/>
  <c r="Z16" i="39" s="1"/>
  <c r="T16" i="39"/>
  <c r="P16" i="39"/>
  <c r="L16" i="39"/>
  <c r="N16" i="39" s="1"/>
  <c r="H16" i="39"/>
  <c r="D16" i="39"/>
  <c r="B16" i="39"/>
  <c r="T15" i="39"/>
  <c r="P15" i="39"/>
  <c r="X15" i="39" s="1"/>
  <c r="Z15" i="39" s="1"/>
  <c r="H15" i="39"/>
  <c r="D15" i="39"/>
  <c r="L15" i="39" s="1"/>
  <c r="N15" i="39" s="1"/>
  <c r="B15" i="39"/>
  <c r="T14" i="39"/>
  <c r="Z14" i="39" s="1"/>
  <c r="P14" i="39"/>
  <c r="X14" i="39" s="1"/>
  <c r="H14" i="39"/>
  <c r="N14" i="39" s="1"/>
  <c r="D14" i="39"/>
  <c r="L14" i="39" s="1"/>
  <c r="B14" i="39"/>
  <c r="T13" i="39"/>
  <c r="P13" i="39"/>
  <c r="H13" i="39"/>
  <c r="D13" i="39"/>
  <c r="D12" i="39" s="1"/>
  <c r="B13" i="39"/>
  <c r="P12" i="39"/>
  <c r="D4" i="39"/>
  <c r="X130" i="36"/>
  <c r="Z130" i="36" s="1"/>
  <c r="N130" i="36"/>
  <c r="L130" i="36"/>
  <c r="X126" i="36"/>
  <c r="T126" i="36"/>
  <c r="Z126" i="36" s="1"/>
  <c r="P126" i="36"/>
  <c r="H126" i="36"/>
  <c r="L126" i="36" s="1"/>
  <c r="N126" i="36" s="1"/>
  <c r="D126" i="36"/>
  <c r="B126" i="36"/>
  <c r="T125" i="36"/>
  <c r="P125" i="36"/>
  <c r="X125" i="36" s="1"/>
  <c r="Z125" i="36" s="1"/>
  <c r="H125" i="36"/>
  <c r="D125" i="36"/>
  <c r="B125" i="36"/>
  <c r="Z124" i="36"/>
  <c r="X124" i="36"/>
  <c r="T124" i="36"/>
  <c r="P124" i="36"/>
  <c r="H124" i="36"/>
  <c r="D124" i="36"/>
  <c r="L124" i="36" s="1"/>
  <c r="N124" i="36" s="1"/>
  <c r="B124" i="36"/>
  <c r="T123" i="36"/>
  <c r="D123" i="36"/>
  <c r="Z121" i="36"/>
  <c r="X121" i="36"/>
  <c r="L121" i="36"/>
  <c r="N121" i="36" s="1"/>
  <c r="B121" i="36"/>
  <c r="X120" i="36"/>
  <c r="T120" i="36"/>
  <c r="Z120" i="36" s="1"/>
  <c r="P120" i="36"/>
  <c r="H120" i="36"/>
  <c r="L120" i="36" s="1"/>
  <c r="N120" i="36" s="1"/>
  <c r="D120" i="36"/>
  <c r="B120" i="36"/>
  <c r="X119" i="36"/>
  <c r="Z119" i="36" s="1"/>
  <c r="L119" i="36"/>
  <c r="N119" i="36" s="1"/>
  <c r="B119" i="36"/>
  <c r="Z118" i="36"/>
  <c r="X118" i="36"/>
  <c r="N118" i="36"/>
  <c r="L118" i="36"/>
  <c r="B118" i="36"/>
  <c r="X117" i="36"/>
  <c r="Z117" i="36" s="1"/>
  <c r="L117" i="36"/>
  <c r="N117" i="36" s="1"/>
  <c r="B117" i="36"/>
  <c r="X116" i="36"/>
  <c r="T116" i="36"/>
  <c r="Z116" i="36" s="1"/>
  <c r="P116" i="36"/>
  <c r="H116" i="36"/>
  <c r="D116" i="36"/>
  <c r="L116" i="36" s="1"/>
  <c r="N116" i="36" s="1"/>
  <c r="B116" i="36"/>
  <c r="X115" i="36"/>
  <c r="Z115" i="36" s="1"/>
  <c r="L115" i="36"/>
  <c r="N115" i="36" s="1"/>
  <c r="B115" i="36"/>
  <c r="Z114" i="36"/>
  <c r="X114" i="36"/>
  <c r="T114" i="36"/>
  <c r="P114" i="36"/>
  <c r="H114" i="36"/>
  <c r="D114" i="36"/>
  <c r="L114" i="36" s="1"/>
  <c r="N114" i="36" s="1"/>
  <c r="B114" i="36"/>
  <c r="Z113" i="36"/>
  <c r="X113" i="36"/>
  <c r="L113" i="36"/>
  <c r="N113" i="36" s="1"/>
  <c r="B113" i="36"/>
  <c r="X112" i="36"/>
  <c r="T112" i="36"/>
  <c r="Z112" i="36" s="1"/>
  <c r="P112" i="36"/>
  <c r="H112" i="36"/>
  <c r="L112" i="36" s="1"/>
  <c r="N112" i="36" s="1"/>
  <c r="D112" i="36"/>
  <c r="B112" i="36"/>
  <c r="X111" i="36"/>
  <c r="Z111" i="36" s="1"/>
  <c r="L111" i="36"/>
  <c r="N111" i="36" s="1"/>
  <c r="B111" i="36"/>
  <c r="Z110" i="36"/>
  <c r="X110" i="36"/>
  <c r="N110" i="36"/>
  <c r="L110" i="36"/>
  <c r="B110" i="36"/>
  <c r="Z109" i="36"/>
  <c r="X109" i="36"/>
  <c r="N109" i="36"/>
  <c r="L109" i="36"/>
  <c r="B109" i="36"/>
  <c r="X108" i="36"/>
  <c r="Z108" i="36" s="1"/>
  <c r="N108" i="36"/>
  <c r="L108" i="36"/>
  <c r="B108" i="36"/>
  <c r="X107" i="36"/>
  <c r="Z107" i="36" s="1"/>
  <c r="L107" i="36"/>
  <c r="N107" i="36" s="1"/>
  <c r="B107" i="36"/>
  <c r="Z106" i="36"/>
  <c r="X106" i="36"/>
  <c r="N106" i="36"/>
  <c r="L106" i="36"/>
  <c r="B106" i="36"/>
  <c r="X105" i="36"/>
  <c r="Z105" i="36" s="1"/>
  <c r="L105" i="36"/>
  <c r="N105" i="36" s="1"/>
  <c r="B105" i="36"/>
  <c r="X104" i="36"/>
  <c r="Z104" i="36" s="1"/>
  <c r="N104" i="36"/>
  <c r="L104" i="36"/>
  <c r="B104" i="36"/>
  <c r="X103" i="36"/>
  <c r="Z103" i="36" s="1"/>
  <c r="L103" i="36"/>
  <c r="N103" i="36" s="1"/>
  <c r="B103" i="36"/>
  <c r="Z102" i="36"/>
  <c r="T102" i="36"/>
  <c r="P102" i="36"/>
  <c r="X102" i="36" s="1"/>
  <c r="H102" i="36"/>
  <c r="D102" i="36"/>
  <c r="L102" i="36" s="1"/>
  <c r="B102" i="36"/>
  <c r="X101" i="36"/>
  <c r="Z101" i="36" s="1"/>
  <c r="N101" i="36"/>
  <c r="L101" i="36"/>
  <c r="B101" i="36"/>
  <c r="Z100" i="36"/>
  <c r="X100" i="36"/>
  <c r="N100" i="36"/>
  <c r="L100" i="36"/>
  <c r="B100" i="36"/>
  <c r="T99" i="36"/>
  <c r="Z99" i="36" s="1"/>
  <c r="P99" i="36"/>
  <c r="X99" i="36" s="1"/>
  <c r="H99" i="36"/>
  <c r="L99" i="36" s="1"/>
  <c r="D99" i="36"/>
  <c r="B99" i="36"/>
  <c r="Z98" i="36"/>
  <c r="X98" i="36"/>
  <c r="N98" i="36"/>
  <c r="L98" i="36"/>
  <c r="B98" i="36"/>
  <c r="Z97" i="36"/>
  <c r="X97" i="36"/>
  <c r="L97" i="36"/>
  <c r="N97" i="36" s="1"/>
  <c r="B97" i="36"/>
  <c r="X96" i="36"/>
  <c r="Z96" i="36" s="1"/>
  <c r="L96" i="36"/>
  <c r="N96" i="36" s="1"/>
  <c r="B96" i="36"/>
  <c r="X95" i="36"/>
  <c r="Z95" i="36" s="1"/>
  <c r="L95" i="36"/>
  <c r="N95" i="36" s="1"/>
  <c r="B95" i="36"/>
  <c r="Z94" i="36"/>
  <c r="X94" i="36"/>
  <c r="N94" i="36"/>
  <c r="L94" i="36"/>
  <c r="B94" i="36"/>
  <c r="T93" i="36"/>
  <c r="P93" i="36"/>
  <c r="X93" i="36" s="1"/>
  <c r="L93" i="36"/>
  <c r="H93" i="36"/>
  <c r="N93" i="36" s="1"/>
  <c r="D93" i="36"/>
  <c r="B93" i="36"/>
  <c r="X92" i="36"/>
  <c r="Z92" i="36" s="1"/>
  <c r="N92" i="36"/>
  <c r="L92" i="36"/>
  <c r="B92" i="36"/>
  <c r="X91" i="36"/>
  <c r="Z91" i="36" s="1"/>
  <c r="L91" i="36"/>
  <c r="N91" i="36" s="1"/>
  <c r="B91" i="36"/>
  <c r="Z90" i="36"/>
  <c r="T90" i="36"/>
  <c r="P90" i="36"/>
  <c r="X90" i="36" s="1"/>
  <c r="L90" i="36"/>
  <c r="H90" i="36"/>
  <c r="N90" i="36" s="1"/>
  <c r="D90" i="36"/>
  <c r="B90" i="36"/>
  <c r="X89" i="36"/>
  <c r="Z89" i="36" s="1"/>
  <c r="N89" i="36"/>
  <c r="L89" i="36"/>
  <c r="B89" i="36"/>
  <c r="Z88" i="36"/>
  <c r="X88" i="36"/>
  <c r="L88" i="36"/>
  <c r="N88" i="36" s="1"/>
  <c r="B88" i="36"/>
  <c r="X87" i="36"/>
  <c r="Z87" i="36" s="1"/>
  <c r="N87" i="36"/>
  <c r="L87" i="36"/>
  <c r="B87" i="36"/>
  <c r="Z86" i="36"/>
  <c r="X86" i="36"/>
  <c r="N86" i="36"/>
  <c r="L86" i="36"/>
  <c r="B86" i="36"/>
  <c r="T85" i="36"/>
  <c r="X85" i="36" s="1"/>
  <c r="P85" i="36"/>
  <c r="H85" i="36"/>
  <c r="D85" i="36"/>
  <c r="L85" i="36" s="1"/>
  <c r="B85" i="36"/>
  <c r="X84" i="36"/>
  <c r="Z84" i="36" s="1"/>
  <c r="L84" i="36"/>
  <c r="N84" i="36" s="1"/>
  <c r="B84" i="36"/>
  <c r="X83" i="36"/>
  <c r="T83" i="36"/>
  <c r="Z83" i="36" s="1"/>
  <c r="P83" i="36"/>
  <c r="H83" i="36"/>
  <c r="D83" i="36"/>
  <c r="L83" i="36" s="1"/>
  <c r="B83" i="36"/>
  <c r="Z82" i="36"/>
  <c r="X82" i="36"/>
  <c r="N82" i="36"/>
  <c r="L82" i="36"/>
  <c r="B82" i="36"/>
  <c r="T81" i="36"/>
  <c r="P81" i="36"/>
  <c r="H81" i="36"/>
  <c r="D81" i="36"/>
  <c r="L81" i="36" s="1"/>
  <c r="N81" i="36" s="1"/>
  <c r="B81" i="36"/>
  <c r="Z80" i="36"/>
  <c r="X80" i="36"/>
  <c r="N80" i="36"/>
  <c r="L80" i="36"/>
  <c r="B80" i="36"/>
  <c r="T79" i="36"/>
  <c r="Z79" i="36" s="1"/>
  <c r="P79" i="36"/>
  <c r="X79" i="36" s="1"/>
  <c r="H79" i="36"/>
  <c r="L79" i="36" s="1"/>
  <c r="D79" i="36"/>
  <c r="B79" i="36"/>
  <c r="Z78" i="36"/>
  <c r="X78" i="36"/>
  <c r="N78" i="36"/>
  <c r="L78" i="36"/>
  <c r="B78" i="36"/>
  <c r="T77" i="36"/>
  <c r="P77" i="36"/>
  <c r="X77" i="36" s="1"/>
  <c r="L77" i="36"/>
  <c r="H77" i="36"/>
  <c r="N77" i="36" s="1"/>
  <c r="D77" i="36"/>
  <c r="B77" i="36"/>
  <c r="X76" i="36"/>
  <c r="Z76" i="36" s="1"/>
  <c r="N76" i="36"/>
  <c r="L76" i="36"/>
  <c r="B76" i="36"/>
  <c r="T75" i="36"/>
  <c r="P75" i="36"/>
  <c r="X75" i="36" s="1"/>
  <c r="Z75" i="36" s="1"/>
  <c r="H75" i="36"/>
  <c r="D75" i="36"/>
  <c r="B75" i="36"/>
  <c r="Z74" i="36"/>
  <c r="X74" i="36"/>
  <c r="N74" i="36"/>
  <c r="L74" i="36"/>
  <c r="B74" i="36"/>
  <c r="X73" i="36"/>
  <c r="Z73" i="36" s="1"/>
  <c r="N73" i="36"/>
  <c r="L73" i="36"/>
  <c r="B73" i="36"/>
  <c r="T72" i="36"/>
  <c r="P72" i="36"/>
  <c r="X72" i="36" s="1"/>
  <c r="Z72" i="36" s="1"/>
  <c r="N72" i="36"/>
  <c r="L72" i="36"/>
  <c r="H72" i="36"/>
  <c r="D72" i="36"/>
  <c r="B72" i="36"/>
  <c r="X71" i="36"/>
  <c r="Z71" i="36" s="1"/>
  <c r="N71" i="36"/>
  <c r="L71" i="36"/>
  <c r="B71" i="36"/>
  <c r="T70" i="36"/>
  <c r="X70" i="36" s="1"/>
  <c r="Z70" i="36" s="1"/>
  <c r="P70" i="36"/>
  <c r="L70" i="36"/>
  <c r="H70" i="36"/>
  <c r="N70" i="36" s="1"/>
  <c r="D70" i="36"/>
  <c r="B70" i="36"/>
  <c r="X69" i="36"/>
  <c r="Z69" i="36" s="1"/>
  <c r="L69" i="36"/>
  <c r="N69" i="36" s="1"/>
  <c r="B69" i="36"/>
  <c r="X68" i="36"/>
  <c r="T68" i="36"/>
  <c r="Z68" i="36" s="1"/>
  <c r="P68" i="36"/>
  <c r="N68" i="36"/>
  <c r="H68" i="36"/>
  <c r="D68" i="36"/>
  <c r="L68" i="36" s="1"/>
  <c r="B68" i="36"/>
  <c r="X67" i="36"/>
  <c r="Z67" i="36" s="1"/>
  <c r="L67" i="36"/>
  <c r="N67" i="36" s="1"/>
  <c r="B67" i="36"/>
  <c r="Z66" i="36"/>
  <c r="X66" i="36"/>
  <c r="T66" i="36"/>
  <c r="P66" i="36"/>
  <c r="H66" i="36"/>
  <c r="D66" i="36"/>
  <c r="L66" i="36" s="1"/>
  <c r="N66" i="36" s="1"/>
  <c r="B66" i="36"/>
  <c r="Z65" i="36"/>
  <c r="X65" i="36"/>
  <c r="L65" i="36"/>
  <c r="N65" i="36" s="1"/>
  <c r="B65" i="36"/>
  <c r="X64" i="36"/>
  <c r="T64" i="36"/>
  <c r="Z64" i="36" s="1"/>
  <c r="P64" i="36"/>
  <c r="H64" i="36"/>
  <c r="L64" i="36" s="1"/>
  <c r="N64" i="36" s="1"/>
  <c r="D64" i="36"/>
  <c r="B64" i="36"/>
  <c r="Z63" i="36"/>
  <c r="X63" i="36"/>
  <c r="N63" i="36"/>
  <c r="L63" i="36"/>
  <c r="B63" i="36"/>
  <c r="Z62" i="36"/>
  <c r="T62" i="36"/>
  <c r="P62" i="36"/>
  <c r="X62" i="36" s="1"/>
  <c r="L62" i="36"/>
  <c r="H62" i="36"/>
  <c r="N62" i="36" s="1"/>
  <c r="D62" i="36"/>
  <c r="B62" i="36"/>
  <c r="X61" i="36"/>
  <c r="Z61" i="36" s="1"/>
  <c r="N61" i="36"/>
  <c r="L61" i="36"/>
  <c r="B61" i="36"/>
  <c r="Z60" i="36"/>
  <c r="X60" i="36"/>
  <c r="L60" i="36"/>
  <c r="N60" i="36" s="1"/>
  <c r="B60" i="36"/>
  <c r="X59" i="36"/>
  <c r="Z59" i="36" s="1"/>
  <c r="L59" i="36"/>
  <c r="N59" i="36" s="1"/>
  <c r="B59" i="36"/>
  <c r="Z58" i="36"/>
  <c r="X58" i="36"/>
  <c r="T58" i="36"/>
  <c r="P58" i="36"/>
  <c r="H58" i="36"/>
  <c r="D58" i="36"/>
  <c r="L58" i="36" s="1"/>
  <c r="N58" i="36" s="1"/>
  <c r="B58" i="36"/>
  <c r="Z57" i="36"/>
  <c r="X57" i="36"/>
  <c r="L57" i="36"/>
  <c r="N57" i="36" s="1"/>
  <c r="B57" i="36"/>
  <c r="X56" i="36"/>
  <c r="T56" i="36"/>
  <c r="Z56" i="36" s="1"/>
  <c r="P56" i="36"/>
  <c r="H56" i="36"/>
  <c r="L56" i="36" s="1"/>
  <c r="N56" i="36" s="1"/>
  <c r="D56" i="36"/>
  <c r="B56" i="36"/>
  <c r="X55" i="36"/>
  <c r="Z55" i="36" s="1"/>
  <c r="L55" i="36"/>
  <c r="N55" i="36" s="1"/>
  <c r="B55" i="36"/>
  <c r="T54" i="36"/>
  <c r="P54" i="36"/>
  <c r="X54" i="36" s="1"/>
  <c r="Z54" i="36" s="1"/>
  <c r="L54" i="36"/>
  <c r="H54" i="36"/>
  <c r="N54" i="36" s="1"/>
  <c r="D54" i="36"/>
  <c r="B54" i="36"/>
  <c r="X53" i="36"/>
  <c r="Z53" i="36" s="1"/>
  <c r="N53" i="36"/>
  <c r="L53" i="36"/>
  <c r="B53" i="36"/>
  <c r="T52" i="36"/>
  <c r="P52" i="36"/>
  <c r="X52" i="36" s="1"/>
  <c r="Z52" i="36" s="1"/>
  <c r="N52" i="36"/>
  <c r="L52" i="36"/>
  <c r="H52" i="36"/>
  <c r="D52" i="36"/>
  <c r="B52" i="36"/>
  <c r="X51" i="36"/>
  <c r="Z51" i="36" s="1"/>
  <c r="L51" i="36"/>
  <c r="N51" i="36" s="1"/>
  <c r="B51" i="36"/>
  <c r="Z50" i="36"/>
  <c r="X50" i="36"/>
  <c r="N50" i="36"/>
  <c r="L50" i="36"/>
  <c r="B50" i="36"/>
  <c r="Z49" i="36"/>
  <c r="X49" i="36"/>
  <c r="L49" i="36"/>
  <c r="N49" i="36" s="1"/>
  <c r="B49" i="36"/>
  <c r="X48" i="36"/>
  <c r="Z48" i="36" s="1"/>
  <c r="L48" i="36"/>
  <c r="N48" i="36" s="1"/>
  <c r="B48" i="36"/>
  <c r="X47" i="36"/>
  <c r="Z47" i="36" s="1"/>
  <c r="L47" i="36"/>
  <c r="N47" i="36" s="1"/>
  <c r="B47" i="36"/>
  <c r="Z46" i="36"/>
  <c r="X46" i="36"/>
  <c r="N46" i="36"/>
  <c r="L46" i="36"/>
  <c r="B46" i="36"/>
  <c r="Z45" i="36"/>
  <c r="X45" i="36"/>
  <c r="L45" i="36"/>
  <c r="N45" i="36" s="1"/>
  <c r="B45" i="36"/>
  <c r="X44" i="36"/>
  <c r="T44" i="36"/>
  <c r="Z44" i="36" s="1"/>
  <c r="P44" i="36"/>
  <c r="N44" i="36"/>
  <c r="L44" i="36"/>
  <c r="H44" i="36"/>
  <c r="D44" i="36"/>
  <c r="B44" i="36"/>
  <c r="X43" i="36"/>
  <c r="Z43" i="36" s="1"/>
  <c r="L43" i="36"/>
  <c r="N43" i="36" s="1"/>
  <c r="B43" i="36"/>
  <c r="Z42" i="36"/>
  <c r="X42" i="36"/>
  <c r="N42" i="36"/>
  <c r="L42" i="36"/>
  <c r="B42" i="36"/>
  <c r="X41" i="36"/>
  <c r="Z41" i="36" s="1"/>
  <c r="L41" i="36"/>
  <c r="N41" i="36" s="1"/>
  <c r="B41" i="36"/>
  <c r="X40" i="36"/>
  <c r="Z40" i="36" s="1"/>
  <c r="N40" i="36"/>
  <c r="L40" i="36"/>
  <c r="B40" i="36"/>
  <c r="X39" i="36"/>
  <c r="Z39" i="36" s="1"/>
  <c r="L39" i="36"/>
  <c r="N39" i="36" s="1"/>
  <c r="B39" i="36"/>
  <c r="Z38" i="36"/>
  <c r="X38" i="36"/>
  <c r="N38" i="36"/>
  <c r="L38" i="36"/>
  <c r="B38" i="36"/>
  <c r="X37" i="36"/>
  <c r="Z37" i="36" s="1"/>
  <c r="L37" i="36"/>
  <c r="N37" i="36" s="1"/>
  <c r="B37" i="36"/>
  <c r="X36" i="36"/>
  <c r="Z36" i="36" s="1"/>
  <c r="N36" i="36"/>
  <c r="L36" i="36"/>
  <c r="B36" i="36"/>
  <c r="X35" i="36"/>
  <c r="Z35" i="36" s="1"/>
  <c r="L35" i="36"/>
  <c r="N35" i="36" s="1"/>
  <c r="B35" i="36"/>
  <c r="T34" i="36"/>
  <c r="P34" i="36"/>
  <c r="X34" i="36" s="1"/>
  <c r="Z34" i="36" s="1"/>
  <c r="L34" i="36"/>
  <c r="H34" i="36"/>
  <c r="N34" i="36" s="1"/>
  <c r="D34" i="36"/>
  <c r="B34" i="36"/>
  <c r="T33" i="36"/>
  <c r="X33" i="36" s="1"/>
  <c r="P33" i="36"/>
  <c r="H33" i="36"/>
  <c r="D33" i="36"/>
  <c r="L33" i="36" s="1"/>
  <c r="X29" i="36"/>
  <c r="Z29" i="36" s="1"/>
  <c r="N29" i="36"/>
  <c r="L29" i="36"/>
  <c r="B29" i="36"/>
  <c r="Z28" i="36"/>
  <c r="X28" i="36"/>
  <c r="L28" i="36"/>
  <c r="N28" i="36" s="1"/>
  <c r="B28" i="36"/>
  <c r="T27" i="36"/>
  <c r="P27" i="36"/>
  <c r="X27" i="36" s="1"/>
  <c r="H27" i="36"/>
  <c r="D27" i="36"/>
  <c r="T25" i="36"/>
  <c r="P25" i="36"/>
  <c r="X25" i="36" s="1"/>
  <c r="Z25" i="36" s="1"/>
  <c r="N25" i="36"/>
  <c r="L25" i="36"/>
  <c r="H25" i="36"/>
  <c r="D25" i="36"/>
  <c r="B25" i="36"/>
  <c r="Z24" i="36"/>
  <c r="X24" i="36"/>
  <c r="T24" i="36"/>
  <c r="P24" i="36"/>
  <c r="H24" i="36"/>
  <c r="D24" i="36"/>
  <c r="B24" i="36"/>
  <c r="T23" i="36"/>
  <c r="P23" i="36"/>
  <c r="X23" i="36" s="1"/>
  <c r="N23" i="36"/>
  <c r="H23" i="36"/>
  <c r="D23" i="36"/>
  <c r="L23" i="36" s="1"/>
  <c r="B23" i="36"/>
  <c r="Z22" i="36"/>
  <c r="T22" i="36"/>
  <c r="X22" i="36" s="1"/>
  <c r="P22" i="36"/>
  <c r="H22" i="36"/>
  <c r="D22" i="36"/>
  <c r="B22" i="36"/>
  <c r="X21" i="36"/>
  <c r="Z21" i="36" s="1"/>
  <c r="T21" i="36"/>
  <c r="P21" i="36"/>
  <c r="L21" i="36"/>
  <c r="N21" i="36" s="1"/>
  <c r="H21" i="36"/>
  <c r="D21" i="36"/>
  <c r="B21" i="36"/>
  <c r="Z20" i="36"/>
  <c r="X20" i="36"/>
  <c r="T20" i="36"/>
  <c r="P20" i="36"/>
  <c r="H20" i="36"/>
  <c r="D20" i="36"/>
  <c r="L20" i="36" s="1"/>
  <c r="N20" i="36" s="1"/>
  <c r="B20" i="36"/>
  <c r="T19" i="36"/>
  <c r="P19" i="36"/>
  <c r="X19" i="36" s="1"/>
  <c r="H19" i="36"/>
  <c r="D19" i="36"/>
  <c r="L19" i="36" s="1"/>
  <c r="N19" i="36" s="1"/>
  <c r="B19" i="36"/>
  <c r="T18" i="36"/>
  <c r="X18" i="36" s="1"/>
  <c r="P18" i="36"/>
  <c r="H18" i="36"/>
  <c r="D18" i="36"/>
  <c r="B18" i="36"/>
  <c r="T17" i="36"/>
  <c r="P17" i="36"/>
  <c r="X17" i="36" s="1"/>
  <c r="Z17" i="36" s="1"/>
  <c r="N17" i="36"/>
  <c r="L17" i="36"/>
  <c r="H17" i="36"/>
  <c r="D17" i="36"/>
  <c r="B17" i="36"/>
  <c r="Z16" i="36"/>
  <c r="X16" i="36"/>
  <c r="T16" i="36"/>
  <c r="P16" i="36"/>
  <c r="H16" i="36"/>
  <c r="N16" i="36" s="1"/>
  <c r="D16" i="36"/>
  <c r="L16" i="36" s="1"/>
  <c r="B16" i="36"/>
  <c r="T15" i="36"/>
  <c r="Z15" i="36" s="1"/>
  <c r="P15" i="36"/>
  <c r="X15" i="36" s="1"/>
  <c r="H15" i="36"/>
  <c r="D15" i="36"/>
  <c r="L15" i="36" s="1"/>
  <c r="N15" i="36" s="1"/>
  <c r="B15" i="36"/>
  <c r="Z14" i="36"/>
  <c r="T14" i="36"/>
  <c r="X14" i="36" s="1"/>
  <c r="P14" i="36"/>
  <c r="H14" i="36"/>
  <c r="D14" i="36"/>
  <c r="B14" i="36"/>
  <c r="X13" i="36"/>
  <c r="Z13" i="36" s="1"/>
  <c r="T13" i="36"/>
  <c r="P13" i="36"/>
  <c r="L13" i="36"/>
  <c r="N13" i="36" s="1"/>
  <c r="H13" i="36"/>
  <c r="D13" i="36"/>
  <c r="B13" i="36"/>
  <c r="D4" i="36"/>
  <c r="X102" i="33"/>
  <c r="Z102" i="33" s="1"/>
  <c r="L102" i="33"/>
  <c r="N102" i="33" s="1"/>
  <c r="X98" i="33"/>
  <c r="T98" i="33"/>
  <c r="P98" i="33"/>
  <c r="H98" i="33"/>
  <c r="D98" i="33"/>
  <c r="B98" i="33"/>
  <c r="T97" i="33"/>
  <c r="P97" i="33"/>
  <c r="H97" i="33"/>
  <c r="N97" i="33" s="1"/>
  <c r="D97" i="33"/>
  <c r="L97" i="33" s="1"/>
  <c r="B97" i="33"/>
  <c r="T96" i="33"/>
  <c r="P96" i="33"/>
  <c r="H96" i="33"/>
  <c r="D96" i="33"/>
  <c r="L96" i="33" s="1"/>
  <c r="B96" i="33"/>
  <c r="X95" i="33"/>
  <c r="T95" i="33"/>
  <c r="Z95" i="33" s="1"/>
  <c r="P95" i="33"/>
  <c r="N95" i="33"/>
  <c r="H95" i="33"/>
  <c r="L95" i="33" s="1"/>
  <c r="D95" i="33"/>
  <c r="B95" i="33"/>
  <c r="T94" i="33"/>
  <c r="P94" i="33"/>
  <c r="X94" i="33" s="1"/>
  <c r="Z94" i="33" s="1"/>
  <c r="H94" i="33"/>
  <c r="D94" i="33"/>
  <c r="B94" i="33"/>
  <c r="Z93" i="33"/>
  <c r="X93" i="33"/>
  <c r="T93" i="33"/>
  <c r="P93" i="33"/>
  <c r="H93" i="33"/>
  <c r="D93" i="33"/>
  <c r="L93" i="33" s="1"/>
  <c r="N93" i="33" s="1"/>
  <c r="B93" i="33"/>
  <c r="T92" i="33"/>
  <c r="P92" i="33"/>
  <c r="X92" i="33" s="1"/>
  <c r="Z90" i="33"/>
  <c r="X90" i="33"/>
  <c r="N90" i="33"/>
  <c r="L90" i="33"/>
  <c r="B90" i="33"/>
  <c r="X89" i="33"/>
  <c r="T89" i="33"/>
  <c r="Z89" i="33" s="1"/>
  <c r="P89" i="33"/>
  <c r="N89" i="33"/>
  <c r="H89" i="33"/>
  <c r="L89" i="33" s="1"/>
  <c r="D89" i="33"/>
  <c r="B89" i="33"/>
  <c r="X88" i="33"/>
  <c r="Z88" i="33" s="1"/>
  <c r="L88" i="33"/>
  <c r="N88" i="33" s="1"/>
  <c r="B88" i="33"/>
  <c r="T87" i="33"/>
  <c r="P87" i="33"/>
  <c r="H87" i="33"/>
  <c r="N87" i="33" s="1"/>
  <c r="D87" i="33"/>
  <c r="L87" i="33" s="1"/>
  <c r="B87" i="33"/>
  <c r="X86" i="33"/>
  <c r="Z86" i="33" s="1"/>
  <c r="N86" i="33"/>
  <c r="L86" i="33"/>
  <c r="B86" i="33"/>
  <c r="Z85" i="33"/>
  <c r="X85" i="33"/>
  <c r="L85" i="33"/>
  <c r="N85" i="33" s="1"/>
  <c r="B85" i="33"/>
  <c r="X84" i="33"/>
  <c r="Z84" i="33" s="1"/>
  <c r="L84" i="33"/>
  <c r="N84" i="33" s="1"/>
  <c r="B84" i="33"/>
  <c r="X83" i="33"/>
  <c r="Z83" i="33" s="1"/>
  <c r="N83" i="33"/>
  <c r="L83" i="33"/>
  <c r="B83" i="33"/>
  <c r="X82" i="33"/>
  <c r="Z82" i="33" s="1"/>
  <c r="N82" i="33"/>
  <c r="L82" i="33"/>
  <c r="B82" i="33"/>
  <c r="T81" i="33"/>
  <c r="P81" i="33"/>
  <c r="X81" i="33" s="1"/>
  <c r="Z81" i="33" s="1"/>
  <c r="N81" i="33"/>
  <c r="H81" i="33"/>
  <c r="D81" i="33"/>
  <c r="L81" i="33" s="1"/>
  <c r="B81" i="33"/>
  <c r="X80" i="33"/>
  <c r="Z80" i="33" s="1"/>
  <c r="L80" i="33"/>
  <c r="N80" i="33" s="1"/>
  <c r="B80" i="33"/>
  <c r="T79" i="33"/>
  <c r="X79" i="33" s="1"/>
  <c r="P79" i="33"/>
  <c r="L79" i="33"/>
  <c r="H79" i="33"/>
  <c r="N79" i="33" s="1"/>
  <c r="D79" i="33"/>
  <c r="B79" i="33"/>
  <c r="X78" i="33"/>
  <c r="Z78" i="33" s="1"/>
  <c r="N78" i="33"/>
  <c r="L78" i="33"/>
  <c r="B78" i="33"/>
  <c r="X77" i="33"/>
  <c r="Z77" i="33" s="1"/>
  <c r="L77" i="33"/>
  <c r="N77" i="33" s="1"/>
  <c r="B77" i="33"/>
  <c r="T76" i="33"/>
  <c r="P76" i="33"/>
  <c r="X76" i="33" s="1"/>
  <c r="Z76" i="33" s="1"/>
  <c r="L76" i="33"/>
  <c r="N76" i="33" s="1"/>
  <c r="H76" i="33"/>
  <c r="D76" i="33"/>
  <c r="B76" i="33"/>
  <c r="Z75" i="33"/>
  <c r="X75" i="33"/>
  <c r="N75" i="33"/>
  <c r="L75" i="33"/>
  <c r="B75" i="33"/>
  <c r="T74" i="33"/>
  <c r="X74" i="33" s="1"/>
  <c r="P74" i="33"/>
  <c r="H74" i="33"/>
  <c r="D74" i="33"/>
  <c r="L74" i="33" s="1"/>
  <c r="B74" i="33"/>
  <c r="X73" i="33"/>
  <c r="Z73" i="33" s="1"/>
  <c r="L73" i="33"/>
  <c r="N73" i="33" s="1"/>
  <c r="B73" i="33"/>
  <c r="X72" i="33"/>
  <c r="Z72" i="33" s="1"/>
  <c r="T72" i="33"/>
  <c r="P72" i="33"/>
  <c r="H72" i="33"/>
  <c r="D72" i="33"/>
  <c r="B72" i="33"/>
  <c r="Z71" i="33"/>
  <c r="X71" i="33"/>
  <c r="N71" i="33"/>
  <c r="L71" i="33"/>
  <c r="B71" i="33"/>
  <c r="Z70" i="33"/>
  <c r="X70" i="33"/>
  <c r="L70" i="33"/>
  <c r="N70" i="33" s="1"/>
  <c r="B70" i="33"/>
  <c r="X69" i="33"/>
  <c r="T69" i="33"/>
  <c r="P69" i="33"/>
  <c r="H69" i="33"/>
  <c r="D69" i="33"/>
  <c r="L69" i="33" s="1"/>
  <c r="N69" i="33" s="1"/>
  <c r="B69" i="33"/>
  <c r="X68" i="33"/>
  <c r="Z68" i="33" s="1"/>
  <c r="L68" i="33"/>
  <c r="N68" i="33" s="1"/>
  <c r="B68" i="33"/>
  <c r="X67" i="33"/>
  <c r="T67" i="33"/>
  <c r="Z67" i="33" s="1"/>
  <c r="P67" i="33"/>
  <c r="H67" i="33"/>
  <c r="D67" i="33"/>
  <c r="L67" i="33" s="1"/>
  <c r="N67" i="33" s="1"/>
  <c r="B67" i="33"/>
  <c r="Z66" i="33"/>
  <c r="X66" i="33"/>
  <c r="L66" i="33"/>
  <c r="N66" i="33" s="1"/>
  <c r="B66" i="33"/>
  <c r="T65" i="33"/>
  <c r="P65" i="33"/>
  <c r="X65" i="33" s="1"/>
  <c r="Z65" i="33" s="1"/>
  <c r="H65" i="33"/>
  <c r="D65" i="33"/>
  <c r="B65" i="33"/>
  <c r="Z64" i="33"/>
  <c r="X64" i="33"/>
  <c r="N64" i="33"/>
  <c r="L64" i="33"/>
  <c r="B64" i="33"/>
  <c r="Z63" i="33"/>
  <c r="T63" i="33"/>
  <c r="P63" i="33"/>
  <c r="X63" i="33" s="1"/>
  <c r="H63" i="33"/>
  <c r="N63" i="33" s="1"/>
  <c r="D63" i="33"/>
  <c r="L63" i="33" s="1"/>
  <c r="B63" i="33"/>
  <c r="X62" i="33"/>
  <c r="Z62" i="33" s="1"/>
  <c r="N62" i="33"/>
  <c r="L62" i="33"/>
  <c r="B62" i="33"/>
  <c r="T61" i="33"/>
  <c r="P61" i="33"/>
  <c r="X61" i="33" s="1"/>
  <c r="Z61" i="33" s="1"/>
  <c r="H61" i="33"/>
  <c r="D61" i="33"/>
  <c r="L61" i="33" s="1"/>
  <c r="B61" i="33"/>
  <c r="X60" i="33"/>
  <c r="Z60" i="33" s="1"/>
  <c r="N60" i="33"/>
  <c r="L60" i="33"/>
  <c r="B60" i="33"/>
  <c r="X59" i="33"/>
  <c r="Z59" i="33" s="1"/>
  <c r="N59" i="33"/>
  <c r="L59" i="33"/>
  <c r="B59" i="33"/>
  <c r="Z58" i="33"/>
  <c r="X58" i="33"/>
  <c r="L58" i="33"/>
  <c r="N58" i="33" s="1"/>
  <c r="B58" i="33"/>
  <c r="Z57" i="33"/>
  <c r="X57" i="33"/>
  <c r="L57" i="33"/>
  <c r="N57" i="33" s="1"/>
  <c r="B57" i="33"/>
  <c r="Z56" i="33"/>
  <c r="X56" i="33"/>
  <c r="N56" i="33"/>
  <c r="L56" i="33"/>
  <c r="B56" i="33"/>
  <c r="X55" i="33"/>
  <c r="Z55" i="33" s="1"/>
  <c r="N55" i="33"/>
  <c r="L55" i="33"/>
  <c r="B55" i="33"/>
  <c r="T54" i="33"/>
  <c r="P54" i="33"/>
  <c r="X54" i="33" s="1"/>
  <c r="Z54" i="33" s="1"/>
  <c r="H54" i="33"/>
  <c r="D54" i="33"/>
  <c r="L54" i="33" s="1"/>
  <c r="B54" i="33"/>
  <c r="X53" i="33"/>
  <c r="Z53" i="33" s="1"/>
  <c r="N53" i="33"/>
  <c r="L53" i="33"/>
  <c r="B53" i="33"/>
  <c r="X52" i="33"/>
  <c r="Z52" i="33" s="1"/>
  <c r="N52" i="33"/>
  <c r="L52" i="33"/>
  <c r="B52" i="33"/>
  <c r="Z51" i="33"/>
  <c r="X51" i="33"/>
  <c r="L51" i="33"/>
  <c r="N51" i="33" s="1"/>
  <c r="B51" i="33"/>
  <c r="X50" i="33"/>
  <c r="Z50" i="33" s="1"/>
  <c r="L50" i="33"/>
  <c r="N50" i="33" s="1"/>
  <c r="B50" i="33"/>
  <c r="X49" i="33"/>
  <c r="Z49" i="33" s="1"/>
  <c r="N49" i="33"/>
  <c r="L49" i="33"/>
  <c r="B49" i="33"/>
  <c r="X48" i="33"/>
  <c r="Z48" i="33" s="1"/>
  <c r="N48" i="33"/>
  <c r="L48" i="33"/>
  <c r="B48" i="33"/>
  <c r="Z47" i="33"/>
  <c r="X47" i="33"/>
  <c r="L47" i="33"/>
  <c r="N47" i="33" s="1"/>
  <c r="B47" i="33"/>
  <c r="X46" i="33"/>
  <c r="Z46" i="33" s="1"/>
  <c r="L46" i="33"/>
  <c r="N46" i="33" s="1"/>
  <c r="B46" i="33"/>
  <c r="T45" i="33"/>
  <c r="P45" i="33"/>
  <c r="H45" i="33"/>
  <c r="D45" i="33"/>
  <c r="B45" i="33"/>
  <c r="T44" i="33"/>
  <c r="X44" i="33" s="1"/>
  <c r="Z44" i="33" s="1"/>
  <c r="P44" i="33"/>
  <c r="H44" i="33"/>
  <c r="D44" i="33"/>
  <c r="X40" i="33"/>
  <c r="Z40" i="33" s="1"/>
  <c r="N40" i="33"/>
  <c r="L40" i="33"/>
  <c r="B40" i="33"/>
  <c r="X39" i="33"/>
  <c r="Z39" i="33" s="1"/>
  <c r="L39" i="33"/>
  <c r="N39" i="33" s="1"/>
  <c r="B39" i="33"/>
  <c r="X38" i="33"/>
  <c r="Z38" i="33" s="1"/>
  <c r="L38" i="33"/>
  <c r="N38" i="33" s="1"/>
  <c r="B38" i="33"/>
  <c r="X37" i="33"/>
  <c r="Z37" i="33" s="1"/>
  <c r="N37" i="33"/>
  <c r="L37" i="33"/>
  <c r="B37" i="33"/>
  <c r="X36" i="33"/>
  <c r="Z36" i="33" s="1"/>
  <c r="L36" i="33"/>
  <c r="N36" i="33" s="1"/>
  <c r="B36" i="33"/>
  <c r="X35" i="33"/>
  <c r="Z35" i="33" s="1"/>
  <c r="T35" i="33"/>
  <c r="P35" i="33"/>
  <c r="H35" i="33"/>
  <c r="D35" i="33"/>
  <c r="L35" i="33" s="1"/>
  <c r="N35" i="33" s="1"/>
  <c r="Z33" i="33"/>
  <c r="X33" i="33"/>
  <c r="T33" i="33"/>
  <c r="P33" i="33"/>
  <c r="L33" i="33"/>
  <c r="H33" i="33"/>
  <c r="N33" i="33" s="1"/>
  <c r="D33" i="33"/>
  <c r="B33" i="33"/>
  <c r="X32" i="33"/>
  <c r="T32" i="33"/>
  <c r="Z32" i="33" s="1"/>
  <c r="P32" i="33"/>
  <c r="N32" i="33"/>
  <c r="L32" i="33"/>
  <c r="H32" i="33"/>
  <c r="D32" i="33"/>
  <c r="B32" i="33"/>
  <c r="Z31" i="33"/>
  <c r="X31" i="33"/>
  <c r="T31" i="33"/>
  <c r="P31" i="33"/>
  <c r="N31" i="33"/>
  <c r="H31" i="33"/>
  <c r="D31" i="33"/>
  <c r="L31" i="33" s="1"/>
  <c r="B31" i="33"/>
  <c r="T30" i="33"/>
  <c r="Z30" i="33" s="1"/>
  <c r="P30" i="33"/>
  <c r="X30" i="33" s="1"/>
  <c r="N30" i="33"/>
  <c r="H30" i="33"/>
  <c r="D30" i="33"/>
  <c r="L30" i="33" s="1"/>
  <c r="B30" i="33"/>
  <c r="T29" i="33"/>
  <c r="P29" i="33"/>
  <c r="H29" i="33"/>
  <c r="N29" i="33" s="1"/>
  <c r="D29" i="33"/>
  <c r="L29" i="33" s="1"/>
  <c r="B29" i="33"/>
  <c r="T28" i="33"/>
  <c r="P28" i="33"/>
  <c r="X28" i="33" s="1"/>
  <c r="H28" i="33"/>
  <c r="D28" i="33"/>
  <c r="B28" i="33"/>
  <c r="X27" i="33"/>
  <c r="T27" i="33"/>
  <c r="Z27" i="33" s="1"/>
  <c r="P27" i="33"/>
  <c r="L27" i="33"/>
  <c r="H27" i="33"/>
  <c r="N27" i="33" s="1"/>
  <c r="D27" i="33"/>
  <c r="B27" i="33"/>
  <c r="T26" i="33"/>
  <c r="P26" i="33"/>
  <c r="X26" i="33" s="1"/>
  <c r="Z26" i="33" s="1"/>
  <c r="N26" i="33"/>
  <c r="L26" i="33"/>
  <c r="H26" i="33"/>
  <c r="D26" i="33"/>
  <c r="B26" i="33"/>
  <c r="T25" i="33"/>
  <c r="Z25" i="33" s="1"/>
  <c r="P25" i="33"/>
  <c r="X25" i="33" s="1"/>
  <c r="H25" i="33"/>
  <c r="D25" i="33"/>
  <c r="L25" i="33" s="1"/>
  <c r="B25" i="33"/>
  <c r="T24" i="33"/>
  <c r="P24" i="33"/>
  <c r="H24" i="33"/>
  <c r="D24" i="33"/>
  <c r="B24" i="33"/>
  <c r="X23" i="33"/>
  <c r="T23" i="33"/>
  <c r="Z23" i="33" s="1"/>
  <c r="P23" i="33"/>
  <c r="L23" i="33"/>
  <c r="H23" i="33"/>
  <c r="N23" i="33" s="1"/>
  <c r="D23" i="33"/>
  <c r="B23" i="33"/>
  <c r="T22" i="33"/>
  <c r="P22" i="33"/>
  <c r="X22" i="33" s="1"/>
  <c r="Z22" i="33" s="1"/>
  <c r="N22" i="33"/>
  <c r="L22" i="33"/>
  <c r="H22" i="33"/>
  <c r="D22" i="33"/>
  <c r="B22" i="33"/>
  <c r="T21" i="33"/>
  <c r="P21" i="33"/>
  <c r="X21" i="33" s="1"/>
  <c r="H21" i="33"/>
  <c r="N21" i="33" s="1"/>
  <c r="D21" i="33"/>
  <c r="L21" i="33" s="1"/>
  <c r="B21" i="33"/>
  <c r="T20" i="33"/>
  <c r="P20" i="33"/>
  <c r="X20" i="33" s="1"/>
  <c r="H20" i="33"/>
  <c r="D20" i="33"/>
  <c r="B20" i="33"/>
  <c r="X19" i="33"/>
  <c r="T19" i="33"/>
  <c r="Z19" i="33" s="1"/>
  <c r="P19" i="33"/>
  <c r="L19" i="33"/>
  <c r="H19" i="33"/>
  <c r="N19" i="33" s="1"/>
  <c r="D19" i="33"/>
  <c r="B19" i="33"/>
  <c r="Z18" i="33"/>
  <c r="T18" i="33"/>
  <c r="P18" i="33"/>
  <c r="X18" i="33" s="1"/>
  <c r="N18" i="33"/>
  <c r="L18" i="33"/>
  <c r="H18" i="33"/>
  <c r="D18" i="33"/>
  <c r="B18" i="33"/>
  <c r="T17" i="33"/>
  <c r="P17" i="33"/>
  <c r="X17" i="33" s="1"/>
  <c r="H17" i="33"/>
  <c r="D17" i="33"/>
  <c r="L17" i="33" s="1"/>
  <c r="B17" i="33"/>
  <c r="T16" i="33"/>
  <c r="P16" i="33"/>
  <c r="H16" i="33"/>
  <c r="D16" i="33"/>
  <c r="B16" i="33"/>
  <c r="X15" i="33"/>
  <c r="T15" i="33"/>
  <c r="Z15" i="33" s="1"/>
  <c r="P15" i="33"/>
  <c r="L15" i="33"/>
  <c r="H15" i="33"/>
  <c r="D15" i="33"/>
  <c r="B15" i="33"/>
  <c r="Z14" i="33"/>
  <c r="T14" i="33"/>
  <c r="P14" i="33"/>
  <c r="X14" i="33" s="1"/>
  <c r="N14" i="33"/>
  <c r="L14" i="33"/>
  <c r="H14" i="33"/>
  <c r="D14" i="33"/>
  <c r="B14" i="33"/>
  <c r="T13" i="33"/>
  <c r="P13" i="33"/>
  <c r="H13" i="33"/>
  <c r="N13" i="33" s="1"/>
  <c r="D13" i="33"/>
  <c r="L13" i="33" s="1"/>
  <c r="B13" i="33"/>
  <c r="D4" i="33"/>
  <c r="Z153" i="30"/>
  <c r="X153" i="30"/>
  <c r="L153" i="30"/>
  <c r="N153" i="30" s="1"/>
  <c r="T149" i="30"/>
  <c r="X149" i="30" s="1"/>
  <c r="P149" i="30"/>
  <c r="H149" i="30"/>
  <c r="D149" i="30"/>
  <c r="D148" i="30" s="1"/>
  <c r="B149" i="30"/>
  <c r="P148" i="30"/>
  <c r="X146" i="30"/>
  <c r="Z146" i="30" s="1"/>
  <c r="L146" i="30"/>
  <c r="N146" i="30" s="1"/>
  <c r="J146" i="30"/>
  <c r="B146" i="30"/>
  <c r="X145" i="30"/>
  <c r="Z145" i="30" s="1"/>
  <c r="T145" i="30"/>
  <c r="P145" i="30"/>
  <c r="H145" i="30"/>
  <c r="D145" i="30"/>
  <c r="L145" i="30" s="1"/>
  <c r="B145" i="30"/>
  <c r="Z144" i="30"/>
  <c r="X144" i="30"/>
  <c r="N144" i="30"/>
  <c r="L144" i="30"/>
  <c r="B144" i="30"/>
  <c r="Z143" i="30"/>
  <c r="X143" i="30"/>
  <c r="N143" i="30"/>
  <c r="L143" i="30"/>
  <c r="B143" i="30"/>
  <c r="T142" i="30"/>
  <c r="P142" i="30"/>
  <c r="X142" i="30" s="1"/>
  <c r="N142" i="30"/>
  <c r="H142" i="30"/>
  <c r="D142" i="30"/>
  <c r="L142" i="30" s="1"/>
  <c r="B142" i="30"/>
  <c r="X141" i="30"/>
  <c r="Z141" i="30" s="1"/>
  <c r="N141" i="30"/>
  <c r="L141" i="30"/>
  <c r="B141" i="30"/>
  <c r="Z140" i="30"/>
  <c r="X140" i="30"/>
  <c r="T140" i="30"/>
  <c r="P140" i="30"/>
  <c r="N140" i="30"/>
  <c r="L140" i="30"/>
  <c r="J140" i="30"/>
  <c r="H140" i="30"/>
  <c r="D140" i="30"/>
  <c r="B140" i="30"/>
  <c r="Z139" i="30"/>
  <c r="X139" i="30"/>
  <c r="L139" i="30"/>
  <c r="N139" i="30" s="1"/>
  <c r="B139" i="30"/>
  <c r="T138" i="30"/>
  <c r="P138" i="30"/>
  <c r="H138" i="30"/>
  <c r="L138" i="30" s="1"/>
  <c r="N138" i="30" s="1"/>
  <c r="D138" i="30"/>
  <c r="B138" i="30"/>
  <c r="X137" i="30"/>
  <c r="Z137" i="30" s="1"/>
  <c r="N137" i="30"/>
  <c r="L137" i="30"/>
  <c r="B137" i="30"/>
  <c r="Z136" i="30"/>
  <c r="X136" i="30"/>
  <c r="N136" i="30"/>
  <c r="L136" i="30"/>
  <c r="B136" i="30"/>
  <c r="X135" i="30"/>
  <c r="Z135" i="30" s="1"/>
  <c r="N135" i="30"/>
  <c r="L135" i="30"/>
  <c r="B135" i="30"/>
  <c r="X134" i="30"/>
  <c r="Z134" i="30" s="1"/>
  <c r="N134" i="30"/>
  <c r="L134" i="30"/>
  <c r="J134" i="30"/>
  <c r="B134" i="30"/>
  <c r="X133" i="30"/>
  <c r="Z133" i="30" s="1"/>
  <c r="L133" i="30"/>
  <c r="N133" i="30" s="1"/>
  <c r="B133" i="30"/>
  <c r="Z132" i="30"/>
  <c r="X132" i="30"/>
  <c r="N132" i="30"/>
  <c r="L132" i="30"/>
  <c r="B132" i="30"/>
  <c r="T131" i="30"/>
  <c r="P131" i="30"/>
  <c r="H131" i="30"/>
  <c r="D131" i="30"/>
  <c r="L131" i="30" s="1"/>
  <c r="N131" i="30" s="1"/>
  <c r="B131" i="30"/>
  <c r="Z130" i="30"/>
  <c r="X130" i="30"/>
  <c r="L130" i="30"/>
  <c r="N130" i="30" s="1"/>
  <c r="B130" i="30"/>
  <c r="X129" i="30"/>
  <c r="Z129" i="30" s="1"/>
  <c r="N129" i="30"/>
  <c r="L129" i="30"/>
  <c r="B129" i="30"/>
  <c r="Z128" i="30"/>
  <c r="X128" i="30"/>
  <c r="T128" i="30"/>
  <c r="P128" i="30"/>
  <c r="N128" i="30"/>
  <c r="L128" i="30"/>
  <c r="J128" i="30"/>
  <c r="H128" i="30"/>
  <c r="D128" i="30"/>
  <c r="B128" i="30"/>
  <c r="Z127" i="30"/>
  <c r="X127" i="30"/>
  <c r="L127" i="30"/>
  <c r="N127" i="30" s="1"/>
  <c r="B127" i="30"/>
  <c r="X126" i="30"/>
  <c r="Z126" i="30" s="1"/>
  <c r="L126" i="30"/>
  <c r="N126" i="30" s="1"/>
  <c r="J126" i="30"/>
  <c r="B126" i="30"/>
  <c r="X125" i="30"/>
  <c r="Z125" i="30" s="1"/>
  <c r="L125" i="30"/>
  <c r="N125" i="30" s="1"/>
  <c r="B125" i="30"/>
  <c r="T124" i="30"/>
  <c r="X124" i="30" s="1"/>
  <c r="Z124" i="30" s="1"/>
  <c r="P124" i="30"/>
  <c r="H124" i="30"/>
  <c r="D124" i="30"/>
  <c r="B124" i="30"/>
  <c r="X123" i="30"/>
  <c r="Z123" i="30" s="1"/>
  <c r="L123" i="30"/>
  <c r="N123" i="30" s="1"/>
  <c r="B123" i="30"/>
  <c r="X122" i="30"/>
  <c r="Z122" i="30" s="1"/>
  <c r="N122" i="30"/>
  <c r="L122" i="30"/>
  <c r="J122" i="30"/>
  <c r="B122" i="30"/>
  <c r="T121" i="30"/>
  <c r="P121" i="30"/>
  <c r="X121" i="30" s="1"/>
  <c r="Z121" i="30" s="1"/>
  <c r="H121" i="30"/>
  <c r="D121" i="30"/>
  <c r="B121" i="30"/>
  <c r="X120" i="30"/>
  <c r="Z120" i="30" s="1"/>
  <c r="N120" i="30"/>
  <c r="L120" i="30"/>
  <c r="B120" i="30"/>
  <c r="X119" i="30"/>
  <c r="Z119" i="30" s="1"/>
  <c r="N119" i="30"/>
  <c r="L119" i="30"/>
  <c r="B119" i="30"/>
  <c r="Z118" i="30"/>
  <c r="X118" i="30"/>
  <c r="N118" i="30"/>
  <c r="L118" i="30"/>
  <c r="B118" i="30"/>
  <c r="X117" i="30"/>
  <c r="T117" i="30"/>
  <c r="Z117" i="30" s="1"/>
  <c r="P117" i="30"/>
  <c r="H117" i="30"/>
  <c r="L117" i="30" s="1"/>
  <c r="D117" i="30"/>
  <c r="B117" i="30"/>
  <c r="Z116" i="30"/>
  <c r="X116" i="30"/>
  <c r="N116" i="30"/>
  <c r="L116" i="30"/>
  <c r="B116" i="30"/>
  <c r="T115" i="30"/>
  <c r="P115" i="30"/>
  <c r="X115" i="30" s="1"/>
  <c r="L115" i="30"/>
  <c r="N115" i="30" s="1"/>
  <c r="H115" i="30"/>
  <c r="D115" i="30"/>
  <c r="B115" i="30"/>
  <c r="X114" i="30"/>
  <c r="Z114" i="30" s="1"/>
  <c r="N114" i="30"/>
  <c r="L114" i="30"/>
  <c r="J114" i="30"/>
  <c r="B114" i="30"/>
  <c r="T113" i="30"/>
  <c r="P113" i="30"/>
  <c r="X113" i="30" s="1"/>
  <c r="Z113" i="30" s="1"/>
  <c r="H113" i="30"/>
  <c r="D113" i="30"/>
  <c r="B113" i="30"/>
  <c r="Z112" i="30"/>
  <c r="X112" i="30"/>
  <c r="N112" i="30"/>
  <c r="L112" i="30"/>
  <c r="B112" i="30"/>
  <c r="T111" i="30"/>
  <c r="X111" i="30" s="1"/>
  <c r="P111" i="30"/>
  <c r="H111" i="30"/>
  <c r="D111" i="30"/>
  <c r="L111" i="30" s="1"/>
  <c r="B111" i="30"/>
  <c r="X110" i="30"/>
  <c r="Z110" i="30" s="1"/>
  <c r="L110" i="30"/>
  <c r="N110" i="30" s="1"/>
  <c r="J110" i="30"/>
  <c r="B110" i="30"/>
  <c r="X109" i="30"/>
  <c r="Z109" i="30" s="1"/>
  <c r="T109" i="30"/>
  <c r="P109" i="30"/>
  <c r="H109" i="30"/>
  <c r="D109" i="30"/>
  <c r="B109" i="30"/>
  <c r="Z108" i="30"/>
  <c r="X108" i="30"/>
  <c r="N108" i="30"/>
  <c r="L108" i="30"/>
  <c r="B108" i="30"/>
  <c r="T107" i="30"/>
  <c r="P107" i="30"/>
  <c r="N107" i="30"/>
  <c r="H107" i="30"/>
  <c r="D107" i="30"/>
  <c r="L107" i="30" s="1"/>
  <c r="B107" i="30"/>
  <c r="Z106" i="30"/>
  <c r="X106" i="30"/>
  <c r="N106" i="30"/>
  <c r="L106" i="30"/>
  <c r="B106" i="30"/>
  <c r="X105" i="30"/>
  <c r="Z105" i="30" s="1"/>
  <c r="N105" i="30"/>
  <c r="L105" i="30"/>
  <c r="B105" i="30"/>
  <c r="Z104" i="30"/>
  <c r="X104" i="30"/>
  <c r="T104" i="30"/>
  <c r="P104" i="30"/>
  <c r="N104" i="30"/>
  <c r="L104" i="30"/>
  <c r="J104" i="30"/>
  <c r="H104" i="30"/>
  <c r="D104" i="30"/>
  <c r="B104" i="30"/>
  <c r="Z103" i="30"/>
  <c r="X103" i="30"/>
  <c r="L103" i="30"/>
  <c r="N103" i="30" s="1"/>
  <c r="B103" i="30"/>
  <c r="T102" i="30"/>
  <c r="P102" i="30"/>
  <c r="N102" i="30"/>
  <c r="H102" i="30"/>
  <c r="L102" i="30" s="1"/>
  <c r="D102" i="30"/>
  <c r="B102" i="30"/>
  <c r="X101" i="30"/>
  <c r="Z101" i="30" s="1"/>
  <c r="N101" i="30"/>
  <c r="L101" i="30"/>
  <c r="B101" i="30"/>
  <c r="T100" i="30"/>
  <c r="P100" i="30"/>
  <c r="X100" i="30" s="1"/>
  <c r="Z100" i="30" s="1"/>
  <c r="J100" i="30"/>
  <c r="H100" i="30"/>
  <c r="N100" i="30" s="1"/>
  <c r="D100" i="30"/>
  <c r="L100" i="30" s="1"/>
  <c r="B100" i="30"/>
  <c r="X99" i="30"/>
  <c r="Z99" i="30" s="1"/>
  <c r="N99" i="30"/>
  <c r="L99" i="30"/>
  <c r="B99" i="30"/>
  <c r="Z98" i="30"/>
  <c r="X98" i="30"/>
  <c r="L98" i="30"/>
  <c r="N98" i="30" s="1"/>
  <c r="B98" i="30"/>
  <c r="T97" i="30"/>
  <c r="P97" i="30"/>
  <c r="X97" i="30" s="1"/>
  <c r="H97" i="30"/>
  <c r="L97" i="30" s="1"/>
  <c r="D97" i="30"/>
  <c r="B97" i="30"/>
  <c r="Z96" i="30"/>
  <c r="X96" i="30"/>
  <c r="N96" i="30"/>
  <c r="L96" i="30"/>
  <c r="B96" i="30"/>
  <c r="T95" i="30"/>
  <c r="P95" i="30"/>
  <c r="X95" i="30" s="1"/>
  <c r="L95" i="30"/>
  <c r="N95" i="30" s="1"/>
  <c r="H95" i="30"/>
  <c r="D95" i="30"/>
  <c r="B95" i="30"/>
  <c r="X94" i="30"/>
  <c r="Z94" i="30" s="1"/>
  <c r="N94" i="30"/>
  <c r="L94" i="30"/>
  <c r="J94" i="30"/>
  <c r="B94" i="30"/>
  <c r="T93" i="30"/>
  <c r="P93" i="30"/>
  <c r="X93" i="30" s="1"/>
  <c r="Z93" i="30" s="1"/>
  <c r="H93" i="30"/>
  <c r="D93" i="30"/>
  <c r="B93" i="30"/>
  <c r="Z92" i="30"/>
  <c r="X92" i="30"/>
  <c r="N92" i="30"/>
  <c r="L92" i="30"/>
  <c r="B92" i="30"/>
  <c r="T91" i="30"/>
  <c r="X91" i="30" s="1"/>
  <c r="P91" i="30"/>
  <c r="H91" i="30"/>
  <c r="D91" i="30"/>
  <c r="L91" i="30" s="1"/>
  <c r="B91" i="30"/>
  <c r="X90" i="30"/>
  <c r="Z90" i="30" s="1"/>
  <c r="L90" i="30"/>
  <c r="N90" i="30" s="1"/>
  <c r="J90" i="30"/>
  <c r="B90" i="30"/>
  <c r="X89" i="30"/>
  <c r="Z89" i="30" s="1"/>
  <c r="L89" i="30"/>
  <c r="N89" i="30" s="1"/>
  <c r="B89" i="30"/>
  <c r="Z88" i="30"/>
  <c r="X88" i="30"/>
  <c r="N88" i="30"/>
  <c r="L88" i="30"/>
  <c r="B88" i="30"/>
  <c r="Z87" i="30"/>
  <c r="X87" i="30"/>
  <c r="L87" i="30"/>
  <c r="N87" i="30" s="1"/>
  <c r="B87" i="30"/>
  <c r="Z86" i="30"/>
  <c r="X86" i="30"/>
  <c r="N86" i="30"/>
  <c r="L86" i="30"/>
  <c r="J86" i="30"/>
  <c r="B86" i="30"/>
  <c r="X85" i="30"/>
  <c r="Z85" i="30" s="1"/>
  <c r="L85" i="30"/>
  <c r="N85" i="30" s="1"/>
  <c r="B85" i="30"/>
  <c r="Z84" i="30"/>
  <c r="T84" i="30"/>
  <c r="X84" i="30" s="1"/>
  <c r="P84" i="30"/>
  <c r="H84" i="30"/>
  <c r="D84" i="30"/>
  <c r="B84" i="30"/>
  <c r="X83" i="30"/>
  <c r="Z83" i="30" s="1"/>
  <c r="N83" i="30"/>
  <c r="L83" i="30"/>
  <c r="B83" i="30"/>
  <c r="X82" i="30"/>
  <c r="Z82" i="30" s="1"/>
  <c r="N82" i="30"/>
  <c r="L82" i="30"/>
  <c r="J82" i="30"/>
  <c r="B82" i="30"/>
  <c r="X81" i="30"/>
  <c r="Z81" i="30" s="1"/>
  <c r="L81" i="30"/>
  <c r="N81" i="30" s="1"/>
  <c r="B81" i="30"/>
  <c r="Z80" i="30"/>
  <c r="X80" i="30"/>
  <c r="N80" i="30"/>
  <c r="L80" i="30"/>
  <c r="B80" i="30"/>
  <c r="X79" i="30"/>
  <c r="Z79" i="30" s="1"/>
  <c r="L79" i="30"/>
  <c r="N79" i="30" s="1"/>
  <c r="B79" i="30"/>
  <c r="X78" i="30"/>
  <c r="Z78" i="30" s="1"/>
  <c r="N78" i="30"/>
  <c r="L78" i="30"/>
  <c r="J78" i="30"/>
  <c r="B78" i="30"/>
  <c r="X77" i="30"/>
  <c r="Z77" i="30" s="1"/>
  <c r="L77" i="30"/>
  <c r="N77" i="30" s="1"/>
  <c r="B77" i="30"/>
  <c r="Z76" i="30"/>
  <c r="X76" i="30"/>
  <c r="N76" i="30"/>
  <c r="L76" i="30"/>
  <c r="B76" i="30"/>
  <c r="T75" i="30"/>
  <c r="P75" i="30"/>
  <c r="H75" i="30"/>
  <c r="D75" i="30"/>
  <c r="L75" i="30" s="1"/>
  <c r="N75" i="30" s="1"/>
  <c r="B75" i="30"/>
  <c r="Z74" i="30"/>
  <c r="X74" i="30"/>
  <c r="T74" i="30"/>
  <c r="P74" i="30"/>
  <c r="N74" i="30"/>
  <c r="L74" i="30"/>
  <c r="H74" i="30"/>
  <c r="D74" i="30"/>
  <c r="Z70" i="30"/>
  <c r="X70" i="30"/>
  <c r="L70" i="30"/>
  <c r="N70" i="30" s="1"/>
  <c r="B70" i="30"/>
  <c r="X69" i="30"/>
  <c r="Z69" i="30" s="1"/>
  <c r="L69" i="30"/>
  <c r="N69" i="30" s="1"/>
  <c r="B69" i="30"/>
  <c r="Z68" i="30"/>
  <c r="X68" i="30"/>
  <c r="N68" i="30"/>
  <c r="L68" i="30"/>
  <c r="B68" i="30"/>
  <c r="X67" i="30"/>
  <c r="Z67" i="30" s="1"/>
  <c r="N67" i="30"/>
  <c r="L67" i="30"/>
  <c r="B67" i="30"/>
  <c r="Z66" i="30"/>
  <c r="X66" i="30"/>
  <c r="L66" i="30"/>
  <c r="N66" i="30" s="1"/>
  <c r="B66" i="30"/>
  <c r="X65" i="30"/>
  <c r="Z65" i="30" s="1"/>
  <c r="L65" i="30"/>
  <c r="N65" i="30" s="1"/>
  <c r="B65" i="30"/>
  <c r="Z64" i="30"/>
  <c r="X64" i="30"/>
  <c r="N64" i="30"/>
  <c r="L64" i="30"/>
  <c r="B64" i="30"/>
  <c r="X63" i="30"/>
  <c r="Z63" i="30" s="1"/>
  <c r="N63" i="30"/>
  <c r="L63" i="30"/>
  <c r="B63" i="30"/>
  <c r="Z62" i="30"/>
  <c r="X62" i="30"/>
  <c r="L62" i="30"/>
  <c r="N62" i="30" s="1"/>
  <c r="B62" i="30"/>
  <c r="X61" i="30"/>
  <c r="Z61" i="30" s="1"/>
  <c r="L61" i="30"/>
  <c r="N61" i="30" s="1"/>
  <c r="B61" i="30"/>
  <c r="Z60" i="30"/>
  <c r="X60" i="30"/>
  <c r="N60" i="30"/>
  <c r="L60" i="30"/>
  <c r="B60" i="30"/>
  <c r="X59" i="30"/>
  <c r="Z59" i="30" s="1"/>
  <c r="N59" i="30"/>
  <c r="L59" i="30"/>
  <c r="B59" i="30"/>
  <c r="Z58" i="30"/>
  <c r="X58" i="30"/>
  <c r="L58" i="30"/>
  <c r="N58" i="30" s="1"/>
  <c r="B58" i="30"/>
  <c r="X57" i="30"/>
  <c r="Z57" i="30" s="1"/>
  <c r="L57" i="30"/>
  <c r="N57" i="30" s="1"/>
  <c r="B57" i="30"/>
  <c r="Z56" i="30"/>
  <c r="X56" i="30"/>
  <c r="N56" i="30"/>
  <c r="L56" i="30"/>
  <c r="B56" i="30"/>
  <c r="X55" i="30"/>
  <c r="Z55" i="30" s="1"/>
  <c r="N55" i="30"/>
  <c r="L55" i="30"/>
  <c r="B55" i="30"/>
  <c r="Z54" i="30"/>
  <c r="X54" i="30"/>
  <c r="L54" i="30"/>
  <c r="N54" i="30" s="1"/>
  <c r="B54" i="30"/>
  <c r="X53" i="30"/>
  <c r="Z53" i="30" s="1"/>
  <c r="L53" i="30"/>
  <c r="N53" i="30" s="1"/>
  <c r="B53" i="30"/>
  <c r="Z52" i="30"/>
  <c r="X52" i="30"/>
  <c r="N52" i="30"/>
  <c r="L52" i="30"/>
  <c r="B52" i="30"/>
  <c r="X51" i="30"/>
  <c r="Z51" i="30" s="1"/>
  <c r="N51" i="30"/>
  <c r="L51" i="30"/>
  <c r="B51" i="30"/>
  <c r="Z50" i="30"/>
  <c r="X50" i="30"/>
  <c r="N50" i="30"/>
  <c r="L50" i="30"/>
  <c r="B50" i="30"/>
  <c r="X49" i="30"/>
  <c r="Z49" i="30" s="1"/>
  <c r="L49" i="30"/>
  <c r="N49" i="30" s="1"/>
  <c r="B49" i="30"/>
  <c r="Z48" i="30"/>
  <c r="X48" i="30"/>
  <c r="N48" i="30"/>
  <c r="L48" i="30"/>
  <c r="B48" i="30"/>
  <c r="X47" i="30"/>
  <c r="Z47" i="30" s="1"/>
  <c r="N47" i="30"/>
  <c r="L47" i="30"/>
  <c r="B47" i="30"/>
  <c r="T46" i="30"/>
  <c r="P46" i="30"/>
  <c r="X46" i="30" s="1"/>
  <c r="Z46" i="30" s="1"/>
  <c r="N46" i="30"/>
  <c r="L46" i="30"/>
  <c r="H46" i="30"/>
  <c r="D46" i="30"/>
  <c r="T44" i="30"/>
  <c r="P44" i="30"/>
  <c r="L44" i="30"/>
  <c r="H44" i="30"/>
  <c r="N44" i="30" s="1"/>
  <c r="D44" i="30"/>
  <c r="B44" i="30"/>
  <c r="X43" i="30"/>
  <c r="T43" i="30"/>
  <c r="P43" i="30"/>
  <c r="L43" i="30"/>
  <c r="N43" i="30" s="1"/>
  <c r="H43" i="30"/>
  <c r="D43" i="30"/>
  <c r="B43" i="30"/>
  <c r="Z42" i="30"/>
  <c r="X42" i="30"/>
  <c r="T42" i="30"/>
  <c r="P42" i="30"/>
  <c r="N42" i="30"/>
  <c r="H42" i="30"/>
  <c r="D42" i="30"/>
  <c r="L42" i="30" s="1"/>
  <c r="B42" i="30"/>
  <c r="T41" i="30"/>
  <c r="Z41" i="30" s="1"/>
  <c r="P41" i="30"/>
  <c r="X41" i="30" s="1"/>
  <c r="N41" i="30"/>
  <c r="H41" i="30"/>
  <c r="D41" i="30"/>
  <c r="L41" i="30" s="1"/>
  <c r="B41" i="30"/>
  <c r="T40" i="30"/>
  <c r="P40" i="30"/>
  <c r="L40" i="30"/>
  <c r="H40" i="30"/>
  <c r="N40" i="30" s="1"/>
  <c r="D40" i="30"/>
  <c r="B40" i="30"/>
  <c r="X39" i="30"/>
  <c r="T39" i="30"/>
  <c r="P39" i="30"/>
  <c r="L39" i="30"/>
  <c r="N39" i="30" s="1"/>
  <c r="H39" i="30"/>
  <c r="D39" i="30"/>
  <c r="B39" i="30"/>
  <c r="Z38" i="30"/>
  <c r="X38" i="30"/>
  <c r="T38" i="30"/>
  <c r="P38" i="30"/>
  <c r="N38" i="30"/>
  <c r="H38" i="30"/>
  <c r="D38" i="30"/>
  <c r="L38" i="30" s="1"/>
  <c r="B38" i="30"/>
  <c r="T37" i="30"/>
  <c r="P37" i="30"/>
  <c r="X37" i="30" s="1"/>
  <c r="H37" i="30"/>
  <c r="D37" i="30"/>
  <c r="L37" i="30" s="1"/>
  <c r="N37" i="30" s="1"/>
  <c r="B37" i="30"/>
  <c r="T36" i="30"/>
  <c r="P36" i="30"/>
  <c r="L36" i="30"/>
  <c r="H36" i="30"/>
  <c r="N36" i="30" s="1"/>
  <c r="D36" i="30"/>
  <c r="B36" i="30"/>
  <c r="X35" i="30"/>
  <c r="T35" i="30"/>
  <c r="P35" i="30"/>
  <c r="L35" i="30"/>
  <c r="N35" i="30" s="1"/>
  <c r="H35" i="30"/>
  <c r="D35" i="30"/>
  <c r="B35" i="30"/>
  <c r="Z34" i="30"/>
  <c r="X34" i="30"/>
  <c r="T34" i="30"/>
  <c r="P34" i="30"/>
  <c r="N34" i="30"/>
  <c r="H34" i="30"/>
  <c r="L34" i="30" s="1"/>
  <c r="D34" i="30"/>
  <c r="B34" i="30"/>
  <c r="T33" i="30"/>
  <c r="Z33" i="30" s="1"/>
  <c r="P33" i="30"/>
  <c r="X33" i="30" s="1"/>
  <c r="N33" i="30"/>
  <c r="H33" i="30"/>
  <c r="D33" i="30"/>
  <c r="L33" i="30" s="1"/>
  <c r="B33" i="30"/>
  <c r="T32" i="30"/>
  <c r="P32" i="30"/>
  <c r="L32" i="30"/>
  <c r="H32" i="30"/>
  <c r="N32" i="30" s="1"/>
  <c r="D32" i="30"/>
  <c r="B32" i="30"/>
  <c r="X31" i="30"/>
  <c r="T31" i="30"/>
  <c r="P31" i="30"/>
  <c r="L31" i="30"/>
  <c r="N31" i="30" s="1"/>
  <c r="H31" i="30"/>
  <c r="D31" i="30"/>
  <c r="B31" i="30"/>
  <c r="Z30" i="30"/>
  <c r="X30" i="30"/>
  <c r="T30" i="30"/>
  <c r="P30" i="30"/>
  <c r="N30" i="30"/>
  <c r="H30" i="30"/>
  <c r="L30" i="30" s="1"/>
  <c r="D30" i="30"/>
  <c r="B30" i="30"/>
  <c r="T29" i="30"/>
  <c r="P29" i="30"/>
  <c r="X29" i="30" s="1"/>
  <c r="H29" i="30"/>
  <c r="D29" i="30"/>
  <c r="L29" i="30" s="1"/>
  <c r="N29" i="30" s="1"/>
  <c r="B29" i="30"/>
  <c r="T28" i="30"/>
  <c r="P28" i="30"/>
  <c r="L28" i="30"/>
  <c r="H28" i="30"/>
  <c r="N28" i="30" s="1"/>
  <c r="D28" i="30"/>
  <c r="B28" i="30"/>
  <c r="X27" i="30"/>
  <c r="T27" i="30"/>
  <c r="P27" i="30"/>
  <c r="L27" i="30"/>
  <c r="N27" i="30" s="1"/>
  <c r="H27" i="30"/>
  <c r="D27" i="30"/>
  <c r="B27" i="30"/>
  <c r="Z26" i="30"/>
  <c r="X26" i="30"/>
  <c r="T26" i="30"/>
  <c r="P26" i="30"/>
  <c r="H26" i="30"/>
  <c r="L26" i="30" s="1"/>
  <c r="N26" i="30" s="1"/>
  <c r="D26" i="30"/>
  <c r="B26" i="30"/>
  <c r="T25" i="30"/>
  <c r="P25" i="30"/>
  <c r="X25" i="30" s="1"/>
  <c r="H25" i="30"/>
  <c r="D25" i="30"/>
  <c r="L25" i="30" s="1"/>
  <c r="N25" i="30" s="1"/>
  <c r="B25" i="30"/>
  <c r="T24" i="30"/>
  <c r="P24" i="30"/>
  <c r="L24" i="30"/>
  <c r="H24" i="30"/>
  <c r="N24" i="30" s="1"/>
  <c r="D24" i="30"/>
  <c r="B24" i="30"/>
  <c r="X23" i="30"/>
  <c r="T23" i="30"/>
  <c r="P23" i="30"/>
  <c r="L23" i="30"/>
  <c r="N23" i="30" s="1"/>
  <c r="H23" i="30"/>
  <c r="D23" i="30"/>
  <c r="B23" i="30"/>
  <c r="X22" i="30"/>
  <c r="Z22" i="30" s="1"/>
  <c r="T22" i="30"/>
  <c r="P22" i="30"/>
  <c r="N22" i="30"/>
  <c r="H22" i="30"/>
  <c r="L22" i="30" s="1"/>
  <c r="D22" i="30"/>
  <c r="B22" i="30"/>
  <c r="T21" i="30"/>
  <c r="P21" i="30"/>
  <c r="X21" i="30" s="1"/>
  <c r="H21" i="30"/>
  <c r="D21" i="30"/>
  <c r="L21" i="30" s="1"/>
  <c r="N21" i="30" s="1"/>
  <c r="B21" i="30"/>
  <c r="T20" i="30"/>
  <c r="P20" i="30"/>
  <c r="L20" i="30"/>
  <c r="H20" i="30"/>
  <c r="N20" i="30" s="1"/>
  <c r="D20" i="30"/>
  <c r="B20" i="30"/>
  <c r="X19" i="30"/>
  <c r="T19" i="30"/>
  <c r="Z19" i="30" s="1"/>
  <c r="P19" i="30"/>
  <c r="L19" i="30"/>
  <c r="N19" i="30" s="1"/>
  <c r="H19" i="30"/>
  <c r="D19" i="30"/>
  <c r="B19" i="30"/>
  <c r="X18" i="30"/>
  <c r="Z18" i="30" s="1"/>
  <c r="T18" i="30"/>
  <c r="P18" i="30"/>
  <c r="H18" i="30"/>
  <c r="L18" i="30" s="1"/>
  <c r="N18" i="30" s="1"/>
  <c r="D18" i="30"/>
  <c r="B18" i="30"/>
  <c r="T17" i="30"/>
  <c r="Z17" i="30" s="1"/>
  <c r="P17" i="30"/>
  <c r="X17" i="30" s="1"/>
  <c r="N17" i="30"/>
  <c r="H17" i="30"/>
  <c r="D17" i="30"/>
  <c r="L17" i="30" s="1"/>
  <c r="B17" i="30"/>
  <c r="T16" i="30"/>
  <c r="P16" i="30"/>
  <c r="L16" i="30"/>
  <c r="H16" i="30"/>
  <c r="N16" i="30" s="1"/>
  <c r="D16" i="30"/>
  <c r="B16" i="30"/>
  <c r="X15" i="30"/>
  <c r="T15" i="30"/>
  <c r="P15" i="30"/>
  <c r="L15" i="30"/>
  <c r="N15" i="30" s="1"/>
  <c r="H15" i="30"/>
  <c r="D15" i="30"/>
  <c r="B15" i="30"/>
  <c r="X14" i="30"/>
  <c r="Z14" i="30" s="1"/>
  <c r="T14" i="30"/>
  <c r="P14" i="30"/>
  <c r="N14" i="30"/>
  <c r="L14" i="30"/>
  <c r="H14" i="30"/>
  <c r="D14" i="30"/>
  <c r="B14" i="30"/>
  <c r="T13" i="30"/>
  <c r="Z13" i="30" s="1"/>
  <c r="P13" i="30"/>
  <c r="X13" i="30" s="1"/>
  <c r="N13" i="30"/>
  <c r="H13" i="30"/>
  <c r="D13" i="30"/>
  <c r="B13" i="30"/>
  <c r="T12" i="30"/>
  <c r="H12" i="30"/>
  <c r="J142" i="30" s="1"/>
  <c r="D4" i="30"/>
  <c r="Z124" i="27"/>
  <c r="X124" i="27"/>
  <c r="L124" i="27"/>
  <c r="N124" i="27" s="1"/>
  <c r="T120" i="27"/>
  <c r="P120" i="27"/>
  <c r="X120" i="27" s="1"/>
  <c r="L120" i="27"/>
  <c r="N120" i="27" s="1"/>
  <c r="H120" i="27"/>
  <c r="D120" i="27"/>
  <c r="B120" i="27"/>
  <c r="T119" i="27"/>
  <c r="Z119" i="27" s="1"/>
  <c r="P119" i="27"/>
  <c r="X119" i="27" s="1"/>
  <c r="N119" i="27"/>
  <c r="H119" i="27"/>
  <c r="H117" i="27" s="1"/>
  <c r="D119" i="27"/>
  <c r="D117" i="27" s="1"/>
  <c r="L117" i="27" s="1"/>
  <c r="B119" i="27"/>
  <c r="T118" i="27"/>
  <c r="P118" i="27"/>
  <c r="P117" i="27" s="1"/>
  <c r="H118" i="27"/>
  <c r="L118" i="27" s="1"/>
  <c r="D118" i="27"/>
  <c r="B118" i="27"/>
  <c r="Z115" i="27"/>
  <c r="X115" i="27"/>
  <c r="N115" i="27"/>
  <c r="L115" i="27"/>
  <c r="B115" i="27"/>
  <c r="T114" i="27"/>
  <c r="P114" i="27"/>
  <c r="N114" i="27"/>
  <c r="L114" i="27"/>
  <c r="H114" i="27"/>
  <c r="D114" i="27"/>
  <c r="B114" i="27"/>
  <c r="X113" i="27"/>
  <c r="Z113" i="27" s="1"/>
  <c r="N113" i="27"/>
  <c r="L113" i="27"/>
  <c r="B113" i="27"/>
  <c r="T112" i="27"/>
  <c r="P112" i="27"/>
  <c r="X112" i="27" s="1"/>
  <c r="Z112" i="27" s="1"/>
  <c r="H112" i="27"/>
  <c r="D112" i="27"/>
  <c r="B112" i="27"/>
  <c r="X111" i="27"/>
  <c r="Z111" i="27" s="1"/>
  <c r="N111" i="27"/>
  <c r="L111" i="27"/>
  <c r="B111" i="27"/>
  <c r="X110" i="27"/>
  <c r="Z110" i="27" s="1"/>
  <c r="N110" i="27"/>
  <c r="L110" i="27"/>
  <c r="B110" i="27"/>
  <c r="T109" i="27"/>
  <c r="P109" i="27"/>
  <c r="X109" i="27" s="1"/>
  <c r="Z109" i="27" s="1"/>
  <c r="L109" i="27"/>
  <c r="N109" i="27" s="1"/>
  <c r="H109" i="27"/>
  <c r="D109" i="27"/>
  <c r="B109" i="27"/>
  <c r="X108" i="27"/>
  <c r="Z108" i="27" s="1"/>
  <c r="L108" i="27"/>
  <c r="N108" i="27" s="1"/>
  <c r="B108" i="27"/>
  <c r="Z107" i="27"/>
  <c r="X107" i="27"/>
  <c r="N107" i="27"/>
  <c r="L107" i="27"/>
  <c r="B107" i="27"/>
  <c r="Z106" i="27"/>
  <c r="X106" i="27"/>
  <c r="L106" i="27"/>
  <c r="N106" i="27" s="1"/>
  <c r="B106" i="27"/>
  <c r="X105" i="27"/>
  <c r="Z105" i="27" s="1"/>
  <c r="N105" i="27"/>
  <c r="L105" i="27"/>
  <c r="B105" i="27"/>
  <c r="X104" i="27"/>
  <c r="Z104" i="27" s="1"/>
  <c r="T104" i="27"/>
  <c r="P104" i="27"/>
  <c r="H104" i="27"/>
  <c r="D104" i="27"/>
  <c r="B104" i="27"/>
  <c r="Z103" i="27"/>
  <c r="X103" i="27"/>
  <c r="N103" i="27"/>
  <c r="L103" i="27"/>
  <c r="B103" i="27"/>
  <c r="X102" i="27"/>
  <c r="Z102" i="27" s="1"/>
  <c r="L102" i="27"/>
  <c r="N102" i="27" s="1"/>
  <c r="B102" i="27"/>
  <c r="T101" i="27"/>
  <c r="P101" i="27"/>
  <c r="X101" i="27" s="1"/>
  <c r="H101" i="27"/>
  <c r="D101" i="27"/>
  <c r="B101" i="27"/>
  <c r="X100" i="27"/>
  <c r="Z100" i="27" s="1"/>
  <c r="L100" i="27"/>
  <c r="N100" i="27" s="1"/>
  <c r="B100" i="27"/>
  <c r="X99" i="27"/>
  <c r="Z99" i="27" s="1"/>
  <c r="N99" i="27"/>
  <c r="L99" i="27"/>
  <c r="B99" i="27"/>
  <c r="X98" i="27"/>
  <c r="Z98" i="27" s="1"/>
  <c r="N98" i="27"/>
  <c r="L98" i="27"/>
  <c r="B98" i="27"/>
  <c r="Z97" i="27"/>
  <c r="T97" i="27"/>
  <c r="P97" i="27"/>
  <c r="X97" i="27" s="1"/>
  <c r="H97" i="27"/>
  <c r="D97" i="27"/>
  <c r="L97" i="27" s="1"/>
  <c r="N97" i="27" s="1"/>
  <c r="B97" i="27"/>
  <c r="X96" i="27"/>
  <c r="Z96" i="27" s="1"/>
  <c r="L96" i="27"/>
  <c r="N96" i="27" s="1"/>
  <c r="B96" i="27"/>
  <c r="X95" i="27"/>
  <c r="Z95" i="27" s="1"/>
  <c r="T95" i="27"/>
  <c r="P95" i="27"/>
  <c r="L95" i="27"/>
  <c r="H95" i="27"/>
  <c r="D95" i="27"/>
  <c r="B95" i="27"/>
  <c r="Z94" i="27"/>
  <c r="X94" i="27"/>
  <c r="L94" i="27"/>
  <c r="N94" i="27" s="1"/>
  <c r="B94" i="27"/>
  <c r="T93" i="27"/>
  <c r="P93" i="27"/>
  <c r="X93" i="27" s="1"/>
  <c r="H93" i="27"/>
  <c r="N93" i="27" s="1"/>
  <c r="D93" i="27"/>
  <c r="L93" i="27" s="1"/>
  <c r="B93" i="27"/>
  <c r="X92" i="27"/>
  <c r="Z92" i="27" s="1"/>
  <c r="N92" i="27"/>
  <c r="L92" i="27"/>
  <c r="B92" i="27"/>
  <c r="Z91" i="27"/>
  <c r="X91" i="27"/>
  <c r="N91" i="27"/>
  <c r="L91" i="27"/>
  <c r="B91" i="27"/>
  <c r="T90" i="27"/>
  <c r="P90" i="27"/>
  <c r="H90" i="27"/>
  <c r="D90" i="27"/>
  <c r="L90" i="27" s="1"/>
  <c r="B90" i="27"/>
  <c r="X89" i="27"/>
  <c r="Z89" i="27" s="1"/>
  <c r="L89" i="27"/>
  <c r="N89" i="27" s="1"/>
  <c r="B89" i="27"/>
  <c r="T88" i="27"/>
  <c r="P88" i="27"/>
  <c r="X88" i="27" s="1"/>
  <c r="Z88" i="27" s="1"/>
  <c r="H88" i="27"/>
  <c r="D88" i="27"/>
  <c r="B88" i="27"/>
  <c r="Z87" i="27"/>
  <c r="X87" i="27"/>
  <c r="N87" i="27"/>
  <c r="L87" i="27"/>
  <c r="B87" i="27"/>
  <c r="X86" i="27"/>
  <c r="Z86" i="27" s="1"/>
  <c r="T86" i="27"/>
  <c r="P86" i="27"/>
  <c r="N86" i="27"/>
  <c r="H86" i="27"/>
  <c r="D86" i="27"/>
  <c r="L86" i="27" s="1"/>
  <c r="B86" i="27"/>
  <c r="Z85" i="27"/>
  <c r="X85" i="27"/>
  <c r="L85" i="27"/>
  <c r="N85" i="27" s="1"/>
  <c r="B85" i="27"/>
  <c r="X84" i="27"/>
  <c r="Z84" i="27" s="1"/>
  <c r="L84" i="27"/>
  <c r="N84" i="27" s="1"/>
  <c r="B84" i="27"/>
  <c r="X83" i="27"/>
  <c r="Z83" i="27" s="1"/>
  <c r="T83" i="27"/>
  <c r="P83" i="27"/>
  <c r="N83" i="27"/>
  <c r="H83" i="27"/>
  <c r="D83" i="27"/>
  <c r="L83" i="27" s="1"/>
  <c r="B83" i="27"/>
  <c r="Z82" i="27"/>
  <c r="X82" i="27"/>
  <c r="N82" i="27"/>
  <c r="L82" i="27"/>
  <c r="B82" i="27"/>
  <c r="X81" i="27"/>
  <c r="T81" i="27"/>
  <c r="P81" i="27"/>
  <c r="L81" i="27"/>
  <c r="N81" i="27" s="1"/>
  <c r="H81" i="27"/>
  <c r="D81" i="27"/>
  <c r="B81" i="27"/>
  <c r="X80" i="27"/>
  <c r="Z80" i="27" s="1"/>
  <c r="L80" i="27"/>
  <c r="N80" i="27" s="1"/>
  <c r="B80" i="27"/>
  <c r="Z79" i="27"/>
  <c r="X79" i="27"/>
  <c r="N79" i="27"/>
  <c r="L79" i="27"/>
  <c r="B79" i="27"/>
  <c r="Z78" i="27"/>
  <c r="X78" i="27"/>
  <c r="L78" i="27"/>
  <c r="N78" i="27" s="1"/>
  <c r="B78" i="27"/>
  <c r="X77" i="27"/>
  <c r="Z77" i="27" s="1"/>
  <c r="N77" i="27"/>
  <c r="L77" i="27"/>
  <c r="B77" i="27"/>
  <c r="X76" i="27"/>
  <c r="Z76" i="27" s="1"/>
  <c r="L76" i="27"/>
  <c r="N76" i="27" s="1"/>
  <c r="B76" i="27"/>
  <c r="T75" i="27"/>
  <c r="P75" i="27"/>
  <c r="X75" i="27" s="1"/>
  <c r="H75" i="27"/>
  <c r="D75" i="27"/>
  <c r="L75" i="27" s="1"/>
  <c r="B75" i="27"/>
  <c r="X74" i="27"/>
  <c r="Z74" i="27" s="1"/>
  <c r="N74" i="27"/>
  <c r="L74" i="27"/>
  <c r="B74" i="27"/>
  <c r="X73" i="27"/>
  <c r="Z73" i="27" s="1"/>
  <c r="L73" i="27"/>
  <c r="N73" i="27" s="1"/>
  <c r="B73" i="27"/>
  <c r="X72" i="27"/>
  <c r="Z72" i="27" s="1"/>
  <c r="L72" i="27"/>
  <c r="N72" i="27" s="1"/>
  <c r="B72" i="27"/>
  <c r="X71" i="27"/>
  <c r="Z71" i="27" s="1"/>
  <c r="L71" i="27"/>
  <c r="N71" i="27" s="1"/>
  <c r="B71" i="27"/>
  <c r="X70" i="27"/>
  <c r="Z70" i="27" s="1"/>
  <c r="N70" i="27"/>
  <c r="L70" i="27"/>
  <c r="B70" i="27"/>
  <c r="X69" i="27"/>
  <c r="Z69" i="27" s="1"/>
  <c r="L69" i="27"/>
  <c r="N69" i="27" s="1"/>
  <c r="B69" i="27"/>
  <c r="X68" i="27"/>
  <c r="Z68" i="27" s="1"/>
  <c r="L68" i="27"/>
  <c r="N68" i="27" s="1"/>
  <c r="B68" i="27"/>
  <c r="Z67" i="27"/>
  <c r="X67" i="27"/>
  <c r="L67" i="27"/>
  <c r="N67" i="27" s="1"/>
  <c r="B67" i="27"/>
  <c r="X66" i="27"/>
  <c r="Z66" i="27" s="1"/>
  <c r="N66" i="27"/>
  <c r="L66" i="27"/>
  <c r="B66" i="27"/>
  <c r="X65" i="27"/>
  <c r="Z65" i="27" s="1"/>
  <c r="T65" i="27"/>
  <c r="P65" i="27"/>
  <c r="H65" i="27"/>
  <c r="D65" i="27"/>
  <c r="L65" i="27" s="1"/>
  <c r="N65" i="27" s="1"/>
  <c r="B65" i="27"/>
  <c r="T64" i="27"/>
  <c r="P64" i="27"/>
  <c r="X64" i="27" s="1"/>
  <c r="Z64" i="27" s="1"/>
  <c r="H64" i="27"/>
  <c r="D64" i="27"/>
  <c r="Z60" i="27"/>
  <c r="X60" i="27"/>
  <c r="N60" i="27"/>
  <c r="L60" i="27"/>
  <c r="B60" i="27"/>
  <c r="Z59" i="27"/>
  <c r="X59" i="27"/>
  <c r="N59" i="27"/>
  <c r="L59" i="27"/>
  <c r="B59" i="27"/>
  <c r="Z58" i="27"/>
  <c r="X58" i="27"/>
  <c r="N58" i="27"/>
  <c r="L58" i="27"/>
  <c r="B58" i="27"/>
  <c r="X57" i="27"/>
  <c r="Z57" i="27" s="1"/>
  <c r="L57" i="27"/>
  <c r="N57" i="27" s="1"/>
  <c r="B57" i="27"/>
  <c r="Z56" i="27"/>
  <c r="X56" i="27"/>
  <c r="N56" i="27"/>
  <c r="L56" i="27"/>
  <c r="B56" i="27"/>
  <c r="Z55" i="27"/>
  <c r="X55" i="27"/>
  <c r="N55" i="27"/>
  <c r="L55" i="27"/>
  <c r="B55" i="27"/>
  <c r="Z54" i="27"/>
  <c r="X54" i="27"/>
  <c r="L54" i="27"/>
  <c r="N54" i="27" s="1"/>
  <c r="B54" i="27"/>
  <c r="X53" i="27"/>
  <c r="Z53" i="27" s="1"/>
  <c r="L53" i="27"/>
  <c r="N53" i="27" s="1"/>
  <c r="B53" i="27"/>
  <c r="X52" i="27"/>
  <c r="Z52" i="27" s="1"/>
  <c r="N52" i="27"/>
  <c r="L52" i="27"/>
  <c r="B52" i="27"/>
  <c r="X51" i="27"/>
  <c r="Z51" i="27" s="1"/>
  <c r="N51" i="27"/>
  <c r="L51" i="27"/>
  <c r="B51" i="27"/>
  <c r="Z50" i="27"/>
  <c r="X50" i="27"/>
  <c r="N50" i="27"/>
  <c r="L50" i="27"/>
  <c r="B50" i="27"/>
  <c r="Z49" i="27"/>
  <c r="X49" i="27"/>
  <c r="L49" i="27"/>
  <c r="N49" i="27" s="1"/>
  <c r="B49" i="27"/>
  <c r="X48" i="27"/>
  <c r="Z48" i="27" s="1"/>
  <c r="L48" i="27"/>
  <c r="N48" i="27" s="1"/>
  <c r="B48" i="27"/>
  <c r="X47" i="27"/>
  <c r="Z47" i="27" s="1"/>
  <c r="N47" i="27"/>
  <c r="L47" i="27"/>
  <c r="B47" i="27"/>
  <c r="Z46" i="27"/>
  <c r="X46" i="27"/>
  <c r="L46" i="27"/>
  <c r="N46" i="27" s="1"/>
  <c r="B46" i="27"/>
  <c r="Z45" i="27"/>
  <c r="X45" i="27"/>
  <c r="L45" i="27"/>
  <c r="N45" i="27" s="1"/>
  <c r="B45" i="27"/>
  <c r="T44" i="27"/>
  <c r="P44" i="27"/>
  <c r="X44" i="27" s="1"/>
  <c r="Z44" i="27" s="1"/>
  <c r="H44" i="27"/>
  <c r="D44" i="27"/>
  <c r="X42" i="27"/>
  <c r="Z42" i="27" s="1"/>
  <c r="T42" i="27"/>
  <c r="P42" i="27"/>
  <c r="H42" i="27"/>
  <c r="D42" i="27"/>
  <c r="B42" i="27"/>
  <c r="Z41" i="27"/>
  <c r="T41" i="27"/>
  <c r="X41" i="27" s="1"/>
  <c r="P41" i="27"/>
  <c r="H41" i="27"/>
  <c r="N41" i="27" s="1"/>
  <c r="D41" i="27"/>
  <c r="B41" i="27"/>
  <c r="T40" i="27"/>
  <c r="P40" i="27"/>
  <c r="L40" i="27"/>
  <c r="N40" i="27" s="1"/>
  <c r="H40" i="27"/>
  <c r="D40" i="27"/>
  <c r="B40" i="27"/>
  <c r="X39" i="27"/>
  <c r="Z39" i="27" s="1"/>
  <c r="T39" i="27"/>
  <c r="P39" i="27"/>
  <c r="H39" i="27"/>
  <c r="D39" i="27"/>
  <c r="B39" i="27"/>
  <c r="Z38" i="27"/>
  <c r="X38" i="27"/>
  <c r="T38" i="27"/>
  <c r="P38" i="27"/>
  <c r="N38" i="27"/>
  <c r="L38" i="27"/>
  <c r="H38" i="27"/>
  <c r="D38" i="27"/>
  <c r="B38" i="27"/>
  <c r="Z37" i="27"/>
  <c r="T37" i="27"/>
  <c r="P37" i="27"/>
  <c r="X37" i="27" s="1"/>
  <c r="H37" i="27"/>
  <c r="D37" i="27"/>
  <c r="B37" i="27"/>
  <c r="Z36" i="27"/>
  <c r="T36" i="27"/>
  <c r="P36" i="27"/>
  <c r="X36" i="27" s="1"/>
  <c r="L36" i="27"/>
  <c r="N36" i="27" s="1"/>
  <c r="H36" i="27"/>
  <c r="D36" i="27"/>
  <c r="B36" i="27"/>
  <c r="X35" i="27"/>
  <c r="Z35" i="27" s="1"/>
  <c r="T35" i="27"/>
  <c r="P35" i="27"/>
  <c r="L35" i="27"/>
  <c r="H35" i="27"/>
  <c r="N35" i="27" s="1"/>
  <c r="D35" i="27"/>
  <c r="B35" i="27"/>
  <c r="Z34" i="27"/>
  <c r="T34" i="27"/>
  <c r="P34" i="27"/>
  <c r="X34" i="27" s="1"/>
  <c r="N34" i="27"/>
  <c r="L34" i="27"/>
  <c r="H34" i="27"/>
  <c r="D34" i="27"/>
  <c r="B34" i="27"/>
  <c r="T33" i="27"/>
  <c r="Z33" i="27" s="1"/>
  <c r="P33" i="27"/>
  <c r="X33" i="27" s="1"/>
  <c r="H33" i="27"/>
  <c r="N33" i="27" s="1"/>
  <c r="D33" i="27"/>
  <c r="L33" i="27" s="1"/>
  <c r="B33" i="27"/>
  <c r="Z32" i="27"/>
  <c r="T32" i="27"/>
  <c r="P32" i="27"/>
  <c r="X32" i="27" s="1"/>
  <c r="N32" i="27"/>
  <c r="H32" i="27"/>
  <c r="D32" i="27"/>
  <c r="L32" i="27" s="1"/>
  <c r="B32" i="27"/>
  <c r="T31" i="27"/>
  <c r="X31" i="27" s="1"/>
  <c r="P31" i="27"/>
  <c r="L31" i="27"/>
  <c r="H31" i="27"/>
  <c r="N31" i="27" s="1"/>
  <c r="D31" i="27"/>
  <c r="B31" i="27"/>
  <c r="T30" i="27"/>
  <c r="P30" i="27"/>
  <c r="X30" i="27" s="1"/>
  <c r="Z30" i="27" s="1"/>
  <c r="H30" i="27"/>
  <c r="L30" i="27" s="1"/>
  <c r="D30" i="27"/>
  <c r="B30" i="27"/>
  <c r="T29" i="27"/>
  <c r="P29" i="27"/>
  <c r="H29" i="27"/>
  <c r="D29" i="27"/>
  <c r="L29" i="27" s="1"/>
  <c r="N29" i="27" s="1"/>
  <c r="B29" i="27"/>
  <c r="T28" i="27"/>
  <c r="P28" i="27"/>
  <c r="N28" i="27"/>
  <c r="H28" i="27"/>
  <c r="D28" i="27"/>
  <c r="L28" i="27" s="1"/>
  <c r="B28" i="27"/>
  <c r="T27" i="27"/>
  <c r="P27" i="27"/>
  <c r="H27" i="27"/>
  <c r="D27" i="27"/>
  <c r="B27" i="27"/>
  <c r="X26" i="27"/>
  <c r="Z26" i="27" s="1"/>
  <c r="T26" i="27"/>
  <c r="P26" i="27"/>
  <c r="H26" i="27"/>
  <c r="D26" i="27"/>
  <c r="B26" i="27"/>
  <c r="T25" i="27"/>
  <c r="P25" i="27"/>
  <c r="H25" i="27"/>
  <c r="D25" i="27"/>
  <c r="B25" i="27"/>
  <c r="T24" i="27"/>
  <c r="P24" i="27"/>
  <c r="N24" i="27"/>
  <c r="H24" i="27"/>
  <c r="D24" i="27"/>
  <c r="L24" i="27" s="1"/>
  <c r="B24" i="27"/>
  <c r="X23" i="27"/>
  <c r="Z23" i="27" s="1"/>
  <c r="T23" i="27"/>
  <c r="P23" i="27"/>
  <c r="H23" i="27"/>
  <c r="D23" i="27"/>
  <c r="B23" i="27"/>
  <c r="Z22" i="27"/>
  <c r="X22" i="27"/>
  <c r="T22" i="27"/>
  <c r="P22" i="27"/>
  <c r="L22" i="27"/>
  <c r="N22" i="27" s="1"/>
  <c r="H22" i="27"/>
  <c r="D22" i="27"/>
  <c r="B22" i="27"/>
  <c r="T21" i="27"/>
  <c r="P21" i="27"/>
  <c r="X21" i="27" s="1"/>
  <c r="Z21" i="27" s="1"/>
  <c r="H21" i="27"/>
  <c r="D21" i="27"/>
  <c r="B21" i="27"/>
  <c r="Z20" i="27"/>
  <c r="T20" i="27"/>
  <c r="P20" i="27"/>
  <c r="X20" i="27" s="1"/>
  <c r="L20" i="27"/>
  <c r="N20" i="27" s="1"/>
  <c r="H20" i="27"/>
  <c r="D20" i="27"/>
  <c r="B20" i="27"/>
  <c r="X19" i="27"/>
  <c r="Z19" i="27" s="1"/>
  <c r="T19" i="27"/>
  <c r="P19" i="27"/>
  <c r="L19" i="27"/>
  <c r="H19" i="27"/>
  <c r="D19" i="27"/>
  <c r="B19" i="27"/>
  <c r="T18" i="27"/>
  <c r="P18" i="27"/>
  <c r="X18" i="27" s="1"/>
  <c r="Z18" i="27" s="1"/>
  <c r="L18" i="27"/>
  <c r="N18" i="27" s="1"/>
  <c r="H18" i="27"/>
  <c r="D18" i="27"/>
  <c r="B18" i="27"/>
  <c r="T17" i="27"/>
  <c r="P17" i="27"/>
  <c r="X17" i="27" s="1"/>
  <c r="H17" i="27"/>
  <c r="N17" i="27" s="1"/>
  <c r="D17" i="27"/>
  <c r="L17" i="27" s="1"/>
  <c r="B17" i="27"/>
  <c r="Z16" i="27"/>
  <c r="T16" i="27"/>
  <c r="P16" i="27"/>
  <c r="X16" i="27" s="1"/>
  <c r="N16" i="27"/>
  <c r="H16" i="27"/>
  <c r="D16" i="27"/>
  <c r="L16" i="27" s="1"/>
  <c r="B16" i="27"/>
  <c r="T15" i="27"/>
  <c r="X15" i="27" s="1"/>
  <c r="P15" i="27"/>
  <c r="L15" i="27"/>
  <c r="H15" i="27"/>
  <c r="N15" i="27" s="1"/>
  <c r="D15" i="27"/>
  <c r="B15" i="27"/>
  <c r="T14" i="27"/>
  <c r="P14" i="27"/>
  <c r="H14" i="27"/>
  <c r="L14" i="27" s="1"/>
  <c r="D14" i="27"/>
  <c r="B14" i="27"/>
  <c r="T13" i="27"/>
  <c r="T12" i="27" s="1"/>
  <c r="P13" i="27"/>
  <c r="H13" i="27"/>
  <c r="D13" i="27"/>
  <c r="B13" i="27"/>
  <c r="D4" i="27"/>
  <c r="Z145" i="24"/>
  <c r="X145" i="24"/>
  <c r="L145" i="24"/>
  <c r="N145" i="24" s="1"/>
  <c r="Z141" i="24"/>
  <c r="T141" i="24"/>
  <c r="X141" i="24" s="1"/>
  <c r="P141" i="24"/>
  <c r="H141" i="24"/>
  <c r="N141" i="24" s="1"/>
  <c r="D141" i="24"/>
  <c r="B141" i="24"/>
  <c r="T140" i="24"/>
  <c r="P140" i="24"/>
  <c r="D140" i="24"/>
  <c r="X138" i="24"/>
  <c r="Z138" i="24" s="1"/>
  <c r="N138" i="24"/>
  <c r="L138" i="24"/>
  <c r="B138" i="24"/>
  <c r="T137" i="24"/>
  <c r="Z137" i="24" s="1"/>
  <c r="P137" i="24"/>
  <c r="X137" i="24" s="1"/>
  <c r="N137" i="24"/>
  <c r="H137" i="24"/>
  <c r="D137" i="24"/>
  <c r="L137" i="24" s="1"/>
  <c r="B137" i="24"/>
  <c r="Z136" i="24"/>
  <c r="X136" i="24"/>
  <c r="N136" i="24"/>
  <c r="L136" i="24"/>
  <c r="B136" i="24"/>
  <c r="Z135" i="24"/>
  <c r="X135" i="24"/>
  <c r="T135" i="24"/>
  <c r="P135" i="24"/>
  <c r="N135" i="24"/>
  <c r="H135" i="24"/>
  <c r="D135" i="24"/>
  <c r="L135" i="24" s="1"/>
  <c r="B135" i="24"/>
  <c r="Z134" i="24"/>
  <c r="X134" i="24"/>
  <c r="L134" i="24"/>
  <c r="N134" i="24" s="1"/>
  <c r="B134" i="24"/>
  <c r="T133" i="24"/>
  <c r="P133" i="24"/>
  <c r="H133" i="24"/>
  <c r="L133" i="24" s="1"/>
  <c r="N133" i="24" s="1"/>
  <c r="D133" i="24"/>
  <c r="B133" i="24"/>
  <c r="Z132" i="24"/>
  <c r="X132" i="24"/>
  <c r="N132" i="24"/>
  <c r="L132" i="24"/>
  <c r="B132" i="24"/>
  <c r="Z131" i="24"/>
  <c r="X131" i="24"/>
  <c r="N131" i="24"/>
  <c r="L131" i="24"/>
  <c r="B131" i="24"/>
  <c r="X130" i="24"/>
  <c r="Z130" i="24" s="1"/>
  <c r="L130" i="24"/>
  <c r="N130" i="24" s="1"/>
  <c r="B130" i="24"/>
  <c r="T129" i="24"/>
  <c r="P129" i="24"/>
  <c r="X129" i="24" s="1"/>
  <c r="H129" i="24"/>
  <c r="D129" i="24"/>
  <c r="L129" i="24" s="1"/>
  <c r="N129" i="24" s="1"/>
  <c r="B129" i="24"/>
  <c r="X128" i="24"/>
  <c r="Z128" i="24" s="1"/>
  <c r="N128" i="24"/>
  <c r="L128" i="24"/>
  <c r="B128" i="24"/>
  <c r="X127" i="24"/>
  <c r="Z127" i="24" s="1"/>
  <c r="T127" i="24"/>
  <c r="P127" i="24"/>
  <c r="N127" i="24"/>
  <c r="H127" i="24"/>
  <c r="D127" i="24"/>
  <c r="L127" i="24" s="1"/>
  <c r="B127" i="24"/>
  <c r="Z126" i="24"/>
  <c r="X126" i="24"/>
  <c r="L126" i="24"/>
  <c r="N126" i="24" s="1"/>
  <c r="B126" i="24"/>
  <c r="X125" i="24"/>
  <c r="Z125" i="24" s="1"/>
  <c r="L125" i="24"/>
  <c r="N125" i="24" s="1"/>
  <c r="B125" i="24"/>
  <c r="X124" i="24"/>
  <c r="T124" i="24"/>
  <c r="Z124" i="24" s="1"/>
  <c r="P124" i="24"/>
  <c r="H124" i="24"/>
  <c r="N124" i="24" s="1"/>
  <c r="D124" i="24"/>
  <c r="L124" i="24" s="1"/>
  <c r="B124" i="24"/>
  <c r="Z123" i="24"/>
  <c r="X123" i="24"/>
  <c r="L123" i="24"/>
  <c r="N123" i="24" s="1"/>
  <c r="B123" i="24"/>
  <c r="X122" i="24"/>
  <c r="Z122" i="24" s="1"/>
  <c r="N122" i="24"/>
  <c r="L122" i="24"/>
  <c r="B122" i="24"/>
  <c r="T121" i="24"/>
  <c r="Z121" i="24" s="1"/>
  <c r="P121" i="24"/>
  <c r="X121" i="24" s="1"/>
  <c r="H121" i="24"/>
  <c r="D121" i="24"/>
  <c r="L121" i="24" s="1"/>
  <c r="N121" i="24" s="1"/>
  <c r="B121" i="24"/>
  <c r="Z120" i="24"/>
  <c r="X120" i="24"/>
  <c r="N120" i="24"/>
  <c r="L120" i="24"/>
  <c r="B120" i="24"/>
  <c r="Z119" i="24"/>
  <c r="X119" i="24"/>
  <c r="T119" i="24"/>
  <c r="P119" i="24"/>
  <c r="N119" i="24"/>
  <c r="H119" i="24"/>
  <c r="D119" i="24"/>
  <c r="L119" i="24" s="1"/>
  <c r="B119" i="24"/>
  <c r="Z118" i="24"/>
  <c r="X118" i="24"/>
  <c r="N118" i="24"/>
  <c r="L118" i="24"/>
  <c r="F118" i="24"/>
  <c r="B118" i="24"/>
  <c r="T117" i="24"/>
  <c r="P117" i="24"/>
  <c r="N117" i="24"/>
  <c r="H117" i="24"/>
  <c r="L117" i="24" s="1"/>
  <c r="D117" i="24"/>
  <c r="B117" i="24"/>
  <c r="Z116" i="24"/>
  <c r="X116" i="24"/>
  <c r="L116" i="24"/>
  <c r="N116" i="24" s="1"/>
  <c r="B116" i="24"/>
  <c r="T115" i="24"/>
  <c r="P115" i="24"/>
  <c r="X115" i="24" s="1"/>
  <c r="Z115" i="24" s="1"/>
  <c r="H115" i="24"/>
  <c r="N115" i="24" s="1"/>
  <c r="D115" i="24"/>
  <c r="L115" i="24" s="1"/>
  <c r="B115" i="24"/>
  <c r="X114" i="24"/>
  <c r="Z114" i="24" s="1"/>
  <c r="N114" i="24"/>
  <c r="L114" i="24"/>
  <c r="B114" i="24"/>
  <c r="T113" i="24"/>
  <c r="P113" i="24"/>
  <c r="X113" i="24" s="1"/>
  <c r="Z113" i="24" s="1"/>
  <c r="N113" i="24"/>
  <c r="L113" i="24"/>
  <c r="H113" i="24"/>
  <c r="D113" i="24"/>
  <c r="B113" i="24"/>
  <c r="X112" i="24"/>
  <c r="Z112" i="24" s="1"/>
  <c r="N112" i="24"/>
  <c r="L112" i="24"/>
  <c r="B112" i="24"/>
  <c r="T111" i="24"/>
  <c r="X111" i="24" s="1"/>
  <c r="Z111" i="24" s="1"/>
  <c r="P111" i="24"/>
  <c r="H111" i="24"/>
  <c r="N111" i="24" s="1"/>
  <c r="D111" i="24"/>
  <c r="B111" i="24"/>
  <c r="X110" i="24"/>
  <c r="Z110" i="24" s="1"/>
  <c r="N110" i="24"/>
  <c r="L110" i="24"/>
  <c r="B110" i="24"/>
  <c r="T109" i="24"/>
  <c r="Z109" i="24" s="1"/>
  <c r="P109" i="24"/>
  <c r="X109" i="24" s="1"/>
  <c r="N109" i="24"/>
  <c r="H109" i="24"/>
  <c r="D109" i="24"/>
  <c r="L109" i="24" s="1"/>
  <c r="B109" i="24"/>
  <c r="X108" i="24"/>
  <c r="Z108" i="24" s="1"/>
  <c r="L108" i="24"/>
  <c r="N108" i="24" s="1"/>
  <c r="B108" i="24"/>
  <c r="X107" i="24"/>
  <c r="Z107" i="24" s="1"/>
  <c r="N107" i="24"/>
  <c r="L107" i="24"/>
  <c r="B107" i="24"/>
  <c r="T106" i="24"/>
  <c r="X106" i="24" s="1"/>
  <c r="P106" i="24"/>
  <c r="H106" i="24"/>
  <c r="D106" i="24"/>
  <c r="L106" i="24" s="1"/>
  <c r="B106" i="24"/>
  <c r="X105" i="24"/>
  <c r="Z105" i="24" s="1"/>
  <c r="L105" i="24"/>
  <c r="N105" i="24" s="1"/>
  <c r="B105" i="24"/>
  <c r="X104" i="24"/>
  <c r="Z104" i="24" s="1"/>
  <c r="T104" i="24"/>
  <c r="P104" i="24"/>
  <c r="H104" i="24"/>
  <c r="N104" i="24" s="1"/>
  <c r="D104" i="24"/>
  <c r="L104" i="24" s="1"/>
  <c r="B104" i="24"/>
  <c r="Z103" i="24"/>
  <c r="X103" i="24"/>
  <c r="L103" i="24"/>
  <c r="N103" i="24" s="1"/>
  <c r="B103" i="24"/>
  <c r="T102" i="24"/>
  <c r="P102" i="24"/>
  <c r="H102" i="24"/>
  <c r="D102" i="24"/>
  <c r="L102" i="24" s="1"/>
  <c r="N102" i="24" s="1"/>
  <c r="B102" i="24"/>
  <c r="Z101" i="24"/>
  <c r="X101" i="24"/>
  <c r="L101" i="24"/>
  <c r="N101" i="24" s="1"/>
  <c r="B101" i="24"/>
  <c r="X100" i="24"/>
  <c r="Z100" i="24" s="1"/>
  <c r="N100" i="24"/>
  <c r="L100" i="24"/>
  <c r="B100" i="24"/>
  <c r="Z99" i="24"/>
  <c r="X99" i="24"/>
  <c r="N99" i="24"/>
  <c r="L99" i="24"/>
  <c r="B99" i="24"/>
  <c r="Z98" i="24"/>
  <c r="X98" i="24"/>
  <c r="N98" i="24"/>
  <c r="L98" i="24"/>
  <c r="B98" i="24"/>
  <c r="Z97" i="24"/>
  <c r="X97" i="24"/>
  <c r="L97" i="24"/>
  <c r="N97" i="24" s="1"/>
  <c r="B97" i="24"/>
  <c r="T96" i="24"/>
  <c r="Z96" i="24" s="1"/>
  <c r="P96" i="24"/>
  <c r="X96" i="24" s="1"/>
  <c r="H96" i="24"/>
  <c r="L96" i="24" s="1"/>
  <c r="D96" i="24"/>
  <c r="B96" i="24"/>
  <c r="Z95" i="24"/>
  <c r="X95" i="24"/>
  <c r="N95" i="24"/>
  <c r="L95" i="24"/>
  <c r="B95" i="24"/>
  <c r="Z94" i="24"/>
  <c r="X94" i="24"/>
  <c r="L94" i="24"/>
  <c r="N94" i="24" s="1"/>
  <c r="B94" i="24"/>
  <c r="X93" i="24"/>
  <c r="Z93" i="24" s="1"/>
  <c r="L93" i="24"/>
  <c r="N93" i="24" s="1"/>
  <c r="B93" i="24"/>
  <c r="Z92" i="24"/>
  <c r="X92" i="24"/>
  <c r="N92" i="24"/>
  <c r="L92" i="24"/>
  <c r="B92" i="24"/>
  <c r="Z91" i="24"/>
  <c r="X91" i="24"/>
  <c r="N91" i="24"/>
  <c r="L91" i="24"/>
  <c r="B91" i="24"/>
  <c r="Z90" i="24"/>
  <c r="X90" i="24"/>
  <c r="L90" i="24"/>
  <c r="N90" i="24" s="1"/>
  <c r="B90" i="24"/>
  <c r="X89" i="24"/>
  <c r="Z89" i="24" s="1"/>
  <c r="L89" i="24"/>
  <c r="N89" i="24" s="1"/>
  <c r="B89" i="24"/>
  <c r="X88" i="24"/>
  <c r="Z88" i="24" s="1"/>
  <c r="N88" i="24"/>
  <c r="L88" i="24"/>
  <c r="B88" i="24"/>
  <c r="Z87" i="24"/>
  <c r="X87" i="24"/>
  <c r="N87" i="24"/>
  <c r="L87" i="24"/>
  <c r="B87" i="24"/>
  <c r="T86" i="24"/>
  <c r="P86" i="24"/>
  <c r="X86" i="24" s="1"/>
  <c r="L86" i="24"/>
  <c r="N86" i="24" s="1"/>
  <c r="H86" i="24"/>
  <c r="D86" i="24"/>
  <c r="B86" i="24"/>
  <c r="T85" i="24"/>
  <c r="P85" i="24"/>
  <c r="X85" i="24" s="1"/>
  <c r="N85" i="24"/>
  <c r="H85" i="24"/>
  <c r="D85" i="24"/>
  <c r="L85" i="24" s="1"/>
  <c r="X81" i="24"/>
  <c r="Z81" i="24" s="1"/>
  <c r="N81" i="24"/>
  <c r="L81" i="24"/>
  <c r="B81" i="24"/>
  <c r="Z80" i="24"/>
  <c r="X80" i="24"/>
  <c r="L80" i="24"/>
  <c r="N80" i="24" s="1"/>
  <c r="B80" i="24"/>
  <c r="Z79" i="24"/>
  <c r="X79" i="24"/>
  <c r="L79" i="24"/>
  <c r="N79" i="24" s="1"/>
  <c r="B79" i="24"/>
  <c r="X78" i="24"/>
  <c r="Z78" i="24" s="1"/>
  <c r="L78" i="24"/>
  <c r="N78" i="24" s="1"/>
  <c r="B78" i="24"/>
  <c r="Z77" i="24"/>
  <c r="X77" i="24"/>
  <c r="N77" i="24"/>
  <c r="L77" i="24"/>
  <c r="B77" i="24"/>
  <c r="Z76" i="24"/>
  <c r="X76" i="24"/>
  <c r="L76" i="24"/>
  <c r="N76" i="24" s="1"/>
  <c r="B76" i="24"/>
  <c r="Z75" i="24"/>
  <c r="X75" i="24"/>
  <c r="L75" i="24"/>
  <c r="N75" i="24" s="1"/>
  <c r="B75" i="24"/>
  <c r="X74" i="24"/>
  <c r="Z74" i="24" s="1"/>
  <c r="N74" i="24"/>
  <c r="L74" i="24"/>
  <c r="B74" i="24"/>
  <c r="X73" i="24"/>
  <c r="Z73" i="24" s="1"/>
  <c r="N73" i="24"/>
  <c r="L73" i="24"/>
  <c r="B73" i="24"/>
  <c r="Z72" i="24"/>
  <c r="X72" i="24"/>
  <c r="N72" i="24"/>
  <c r="L72" i="24"/>
  <c r="B72" i="24"/>
  <c r="Z71" i="24"/>
  <c r="X71" i="24"/>
  <c r="N71" i="24"/>
  <c r="L71" i="24"/>
  <c r="B71" i="24"/>
  <c r="X70" i="24"/>
  <c r="Z70" i="24" s="1"/>
  <c r="L70" i="24"/>
  <c r="N70" i="24" s="1"/>
  <c r="B70" i="24"/>
  <c r="X69" i="24"/>
  <c r="Z69" i="24" s="1"/>
  <c r="N69" i="24"/>
  <c r="L69" i="24"/>
  <c r="B69" i="24"/>
  <c r="Z68" i="24"/>
  <c r="X68" i="24"/>
  <c r="L68" i="24"/>
  <c r="N68" i="24" s="1"/>
  <c r="B68" i="24"/>
  <c r="Z67" i="24"/>
  <c r="X67" i="24"/>
  <c r="L67" i="24"/>
  <c r="N67" i="24" s="1"/>
  <c r="B67" i="24"/>
  <c r="X66" i="24"/>
  <c r="Z66" i="24" s="1"/>
  <c r="L66" i="24"/>
  <c r="N66" i="24" s="1"/>
  <c r="B66" i="24"/>
  <c r="X65" i="24"/>
  <c r="Z65" i="24" s="1"/>
  <c r="L65" i="24"/>
  <c r="N65" i="24" s="1"/>
  <c r="B65" i="24"/>
  <c r="Z64" i="24"/>
  <c r="X64" i="24"/>
  <c r="L64" i="24"/>
  <c r="N64" i="24" s="1"/>
  <c r="B64" i="24"/>
  <c r="Z63" i="24"/>
  <c r="X63" i="24"/>
  <c r="L63" i="24"/>
  <c r="N63" i="24" s="1"/>
  <c r="B63" i="24"/>
  <c r="X62" i="24"/>
  <c r="Z62" i="24" s="1"/>
  <c r="L62" i="24"/>
  <c r="N62" i="24" s="1"/>
  <c r="B62" i="24"/>
  <c r="X61" i="24"/>
  <c r="Z61" i="24" s="1"/>
  <c r="L61" i="24"/>
  <c r="N61" i="24" s="1"/>
  <c r="B61" i="24"/>
  <c r="Z60" i="24"/>
  <c r="X60" i="24"/>
  <c r="L60" i="24"/>
  <c r="N60" i="24" s="1"/>
  <c r="B60" i="24"/>
  <c r="Z59" i="24"/>
  <c r="X59" i="24"/>
  <c r="N59" i="24"/>
  <c r="L59" i="24"/>
  <c r="B59" i="24"/>
  <c r="Z58" i="24"/>
  <c r="X58" i="24"/>
  <c r="N58" i="24"/>
  <c r="L58" i="24"/>
  <c r="B58" i="24"/>
  <c r="T57" i="24"/>
  <c r="P57" i="24"/>
  <c r="X57" i="24" s="1"/>
  <c r="N57" i="24"/>
  <c r="H57" i="24"/>
  <c r="D57" i="24"/>
  <c r="L57" i="24" s="1"/>
  <c r="T55" i="24"/>
  <c r="Z55" i="24" s="1"/>
  <c r="P55" i="24"/>
  <c r="H55" i="24"/>
  <c r="D55" i="24"/>
  <c r="B55" i="24"/>
  <c r="T54" i="24"/>
  <c r="Z54" i="24" s="1"/>
  <c r="P54" i="24"/>
  <c r="N54" i="24"/>
  <c r="L54" i="24"/>
  <c r="H54" i="24"/>
  <c r="D54" i="24"/>
  <c r="B54" i="24"/>
  <c r="Z53" i="24"/>
  <c r="T53" i="24"/>
  <c r="P53" i="24"/>
  <c r="X53" i="24" s="1"/>
  <c r="L53" i="24"/>
  <c r="N53" i="24" s="1"/>
  <c r="H53" i="24"/>
  <c r="D53" i="24"/>
  <c r="B53" i="24"/>
  <c r="T52" i="24"/>
  <c r="P52" i="24"/>
  <c r="X52" i="24" s="1"/>
  <c r="H52" i="24"/>
  <c r="N52" i="24" s="1"/>
  <c r="D52" i="24"/>
  <c r="L52" i="24" s="1"/>
  <c r="B52" i="24"/>
  <c r="T51" i="24"/>
  <c r="P51" i="24"/>
  <c r="H51" i="24"/>
  <c r="D51" i="24"/>
  <c r="B51" i="24"/>
  <c r="T50" i="24"/>
  <c r="P50" i="24"/>
  <c r="N50" i="24"/>
  <c r="L50" i="24"/>
  <c r="H50" i="24"/>
  <c r="D50" i="24"/>
  <c r="B50" i="24"/>
  <c r="Z49" i="24"/>
  <c r="T49" i="24"/>
  <c r="P49" i="24"/>
  <c r="X49" i="24" s="1"/>
  <c r="N49" i="24"/>
  <c r="L49" i="24"/>
  <c r="H49" i="24"/>
  <c r="D49" i="24"/>
  <c r="B49" i="24"/>
  <c r="T48" i="24"/>
  <c r="P48" i="24"/>
  <c r="X48" i="24" s="1"/>
  <c r="H48" i="24"/>
  <c r="D48" i="24"/>
  <c r="L48" i="24" s="1"/>
  <c r="B48" i="24"/>
  <c r="T47" i="24"/>
  <c r="P47" i="24"/>
  <c r="H47" i="24"/>
  <c r="D47" i="24"/>
  <c r="B47" i="24"/>
  <c r="T46" i="24"/>
  <c r="P46" i="24"/>
  <c r="L46" i="24"/>
  <c r="N46" i="24" s="1"/>
  <c r="H46" i="24"/>
  <c r="D46" i="24"/>
  <c r="B46" i="24"/>
  <c r="Z45" i="24"/>
  <c r="T45" i="24"/>
  <c r="P45" i="24"/>
  <c r="X45" i="24" s="1"/>
  <c r="L45" i="24"/>
  <c r="N45" i="24" s="1"/>
  <c r="H45" i="24"/>
  <c r="D45" i="24"/>
  <c r="B45" i="24"/>
  <c r="T44" i="24"/>
  <c r="P44" i="24"/>
  <c r="X44" i="24" s="1"/>
  <c r="H44" i="24"/>
  <c r="N44" i="24" s="1"/>
  <c r="D44" i="24"/>
  <c r="L44" i="24" s="1"/>
  <c r="B44" i="24"/>
  <c r="T43" i="24"/>
  <c r="P43" i="24"/>
  <c r="H43" i="24"/>
  <c r="D43" i="24"/>
  <c r="B43" i="24"/>
  <c r="T42" i="24"/>
  <c r="P42" i="24"/>
  <c r="L42" i="24"/>
  <c r="N42" i="24" s="1"/>
  <c r="H42" i="24"/>
  <c r="D42" i="24"/>
  <c r="B42" i="24"/>
  <c r="T41" i="24"/>
  <c r="P41" i="24"/>
  <c r="X41" i="24" s="1"/>
  <c r="Z41" i="24" s="1"/>
  <c r="L41" i="24"/>
  <c r="N41" i="24" s="1"/>
  <c r="H41" i="24"/>
  <c r="D41" i="24"/>
  <c r="B41" i="24"/>
  <c r="T40" i="24"/>
  <c r="Z40" i="24" s="1"/>
  <c r="P40" i="24"/>
  <c r="X40" i="24" s="1"/>
  <c r="H40" i="24"/>
  <c r="N40" i="24" s="1"/>
  <c r="D40" i="24"/>
  <c r="L40" i="24" s="1"/>
  <c r="B40" i="24"/>
  <c r="T39" i="24"/>
  <c r="P39" i="24"/>
  <c r="H39" i="24"/>
  <c r="D39" i="24"/>
  <c r="B39" i="24"/>
  <c r="T38" i="24"/>
  <c r="P38" i="24"/>
  <c r="L38" i="24"/>
  <c r="N38" i="24" s="1"/>
  <c r="H38" i="24"/>
  <c r="D38" i="24"/>
  <c r="B38" i="24"/>
  <c r="T37" i="24"/>
  <c r="P37" i="24"/>
  <c r="X37" i="24" s="1"/>
  <c r="Z37" i="24" s="1"/>
  <c r="L37" i="24"/>
  <c r="N37" i="24" s="1"/>
  <c r="H37" i="24"/>
  <c r="D37" i="24"/>
  <c r="B37" i="24"/>
  <c r="T36" i="24"/>
  <c r="Z36" i="24" s="1"/>
  <c r="P36" i="24"/>
  <c r="X36" i="24" s="1"/>
  <c r="H36" i="24"/>
  <c r="L36" i="24" s="1"/>
  <c r="D36" i="24"/>
  <c r="B36" i="24"/>
  <c r="T35" i="24"/>
  <c r="P35" i="24"/>
  <c r="H35" i="24"/>
  <c r="D35" i="24"/>
  <c r="B35" i="24"/>
  <c r="T34" i="24"/>
  <c r="P34" i="24"/>
  <c r="L34" i="24"/>
  <c r="N34" i="24" s="1"/>
  <c r="H34" i="24"/>
  <c r="D34" i="24"/>
  <c r="B34" i="24"/>
  <c r="Z33" i="24"/>
  <c r="T33" i="24"/>
  <c r="P33" i="24"/>
  <c r="X33" i="24" s="1"/>
  <c r="N33" i="24"/>
  <c r="L33" i="24"/>
  <c r="H33" i="24"/>
  <c r="D33" i="24"/>
  <c r="B33" i="24"/>
  <c r="T32" i="24"/>
  <c r="Z32" i="24" s="1"/>
  <c r="P32" i="24"/>
  <c r="X32" i="24" s="1"/>
  <c r="H32" i="24"/>
  <c r="L32" i="24" s="1"/>
  <c r="D32" i="24"/>
  <c r="B32" i="24"/>
  <c r="T31" i="24"/>
  <c r="P31" i="24"/>
  <c r="H31" i="24"/>
  <c r="D31" i="24"/>
  <c r="B31" i="24"/>
  <c r="T30" i="24"/>
  <c r="P30" i="24"/>
  <c r="L30" i="24"/>
  <c r="N30" i="24" s="1"/>
  <c r="H30" i="24"/>
  <c r="D30" i="24"/>
  <c r="B30" i="24"/>
  <c r="Z29" i="24"/>
  <c r="T29" i="24"/>
  <c r="P29" i="24"/>
  <c r="X29" i="24" s="1"/>
  <c r="L29" i="24"/>
  <c r="N29" i="24" s="1"/>
  <c r="H29" i="24"/>
  <c r="D29" i="24"/>
  <c r="B29" i="24"/>
  <c r="T28" i="24"/>
  <c r="Z28" i="24" s="1"/>
  <c r="P28" i="24"/>
  <c r="X28" i="24" s="1"/>
  <c r="H28" i="24"/>
  <c r="L28" i="24" s="1"/>
  <c r="D28" i="24"/>
  <c r="B28" i="24"/>
  <c r="T27" i="24"/>
  <c r="P27" i="24"/>
  <c r="H27" i="24"/>
  <c r="D27" i="24"/>
  <c r="B27" i="24"/>
  <c r="T26" i="24"/>
  <c r="Z26" i="24" s="1"/>
  <c r="P26" i="24"/>
  <c r="N26" i="24"/>
  <c r="L26" i="24"/>
  <c r="H26" i="24"/>
  <c r="D26" i="24"/>
  <c r="B26" i="24"/>
  <c r="Z25" i="24"/>
  <c r="T25" i="24"/>
  <c r="P25" i="24"/>
  <c r="X25" i="24" s="1"/>
  <c r="L25" i="24"/>
  <c r="N25" i="24" s="1"/>
  <c r="H25" i="24"/>
  <c r="D25" i="24"/>
  <c r="B25" i="24"/>
  <c r="T24" i="24"/>
  <c r="P24" i="24"/>
  <c r="X24" i="24" s="1"/>
  <c r="H24" i="24"/>
  <c r="L24" i="24" s="1"/>
  <c r="D24" i="24"/>
  <c r="B24" i="24"/>
  <c r="T23" i="24"/>
  <c r="P23" i="24"/>
  <c r="H23" i="24"/>
  <c r="D23" i="24"/>
  <c r="B23" i="24"/>
  <c r="T22" i="24"/>
  <c r="P22" i="24"/>
  <c r="L22" i="24"/>
  <c r="N22" i="24" s="1"/>
  <c r="H22" i="24"/>
  <c r="D22" i="24"/>
  <c r="B22" i="24"/>
  <c r="Z21" i="24"/>
  <c r="T21" i="24"/>
  <c r="P21" i="24"/>
  <c r="X21" i="24" s="1"/>
  <c r="L21" i="24"/>
  <c r="N21" i="24" s="1"/>
  <c r="H21" i="24"/>
  <c r="D21" i="24"/>
  <c r="B21" i="24"/>
  <c r="T20" i="24"/>
  <c r="P20" i="24"/>
  <c r="X20" i="24" s="1"/>
  <c r="L20" i="24"/>
  <c r="H20" i="24"/>
  <c r="N20" i="24" s="1"/>
  <c r="D20" i="24"/>
  <c r="B20" i="24"/>
  <c r="T19" i="24"/>
  <c r="P19" i="24"/>
  <c r="H19" i="24"/>
  <c r="D19" i="24"/>
  <c r="B19" i="24"/>
  <c r="T18" i="24"/>
  <c r="P18" i="24"/>
  <c r="L18" i="24"/>
  <c r="N18" i="24" s="1"/>
  <c r="H18" i="24"/>
  <c r="D18" i="24"/>
  <c r="B18" i="24"/>
  <c r="Z17" i="24"/>
  <c r="T17" i="24"/>
  <c r="P17" i="24"/>
  <c r="X17" i="24" s="1"/>
  <c r="L17" i="24"/>
  <c r="N17" i="24" s="1"/>
  <c r="H17" i="24"/>
  <c r="D17" i="24"/>
  <c r="B17" i="24"/>
  <c r="T16" i="24"/>
  <c r="P16" i="24"/>
  <c r="X16" i="24" s="1"/>
  <c r="L16" i="24"/>
  <c r="H16" i="24"/>
  <c r="N16" i="24" s="1"/>
  <c r="D16" i="24"/>
  <c r="B16" i="24"/>
  <c r="T15" i="24"/>
  <c r="P15" i="24"/>
  <c r="H15" i="24"/>
  <c r="D15" i="24"/>
  <c r="B15" i="24"/>
  <c r="T14" i="24"/>
  <c r="P14" i="24"/>
  <c r="L14" i="24"/>
  <c r="N14" i="24" s="1"/>
  <c r="H14" i="24"/>
  <c r="D14" i="24"/>
  <c r="D12" i="24" s="1"/>
  <c r="F117" i="24" s="1"/>
  <c r="B14" i="24"/>
  <c r="Z13" i="24"/>
  <c r="T13" i="24"/>
  <c r="P13" i="24"/>
  <c r="X13" i="24" s="1"/>
  <c r="L13" i="24"/>
  <c r="N13" i="24" s="1"/>
  <c r="H13" i="24"/>
  <c r="D13" i="24"/>
  <c r="B13" i="24"/>
  <c r="D4" i="24"/>
  <c r="Z110" i="21"/>
  <c r="X110" i="21"/>
  <c r="N110" i="21"/>
  <c r="L110" i="21"/>
  <c r="Z106" i="21"/>
  <c r="X106" i="21"/>
  <c r="T106" i="21"/>
  <c r="P106" i="21"/>
  <c r="N106" i="21"/>
  <c r="L106" i="21"/>
  <c r="H106" i="21"/>
  <c r="D106" i="21"/>
  <c r="X104" i="21"/>
  <c r="Z104" i="21" s="1"/>
  <c r="N104" i="21"/>
  <c r="L104" i="21"/>
  <c r="B104" i="21"/>
  <c r="X103" i="21"/>
  <c r="T103" i="21"/>
  <c r="Z103" i="21" s="1"/>
  <c r="P103" i="21"/>
  <c r="L103" i="21"/>
  <c r="H103" i="21"/>
  <c r="N103" i="21" s="1"/>
  <c r="D103" i="21"/>
  <c r="B103" i="21"/>
  <c r="Z102" i="21"/>
  <c r="X102" i="21"/>
  <c r="N102" i="21"/>
  <c r="L102" i="21"/>
  <c r="B102" i="21"/>
  <c r="Z101" i="21"/>
  <c r="X101" i="21"/>
  <c r="T101" i="21"/>
  <c r="P101" i="21"/>
  <c r="H101" i="21"/>
  <c r="N101" i="21" s="1"/>
  <c r="D101" i="21"/>
  <c r="L101" i="21" s="1"/>
  <c r="B101" i="21"/>
  <c r="Z100" i="21"/>
  <c r="X100" i="21"/>
  <c r="N100" i="21"/>
  <c r="L100" i="21"/>
  <c r="B100" i="21"/>
  <c r="T99" i="21"/>
  <c r="P99" i="21"/>
  <c r="X99" i="21" s="1"/>
  <c r="N99" i="21"/>
  <c r="H99" i="21"/>
  <c r="D99" i="21"/>
  <c r="L99" i="21" s="1"/>
  <c r="B99" i="21"/>
  <c r="X98" i="21"/>
  <c r="Z98" i="21" s="1"/>
  <c r="N98" i="21"/>
  <c r="L98" i="21"/>
  <c r="B98" i="21"/>
  <c r="X97" i="21"/>
  <c r="T97" i="21"/>
  <c r="P97" i="21"/>
  <c r="L97" i="21"/>
  <c r="H97" i="21"/>
  <c r="N97" i="21" s="1"/>
  <c r="D97" i="21"/>
  <c r="B97" i="21"/>
  <c r="Z96" i="21"/>
  <c r="X96" i="21"/>
  <c r="N96" i="21"/>
  <c r="L96" i="21"/>
  <c r="B96" i="21"/>
  <c r="Z95" i="21"/>
  <c r="X95" i="21"/>
  <c r="L95" i="21"/>
  <c r="N95" i="21" s="1"/>
  <c r="F95" i="21"/>
  <c r="B95" i="21"/>
  <c r="Z94" i="21"/>
  <c r="X94" i="21"/>
  <c r="N94" i="21"/>
  <c r="L94" i="21"/>
  <c r="B94" i="21"/>
  <c r="X93" i="21"/>
  <c r="Z93" i="21" s="1"/>
  <c r="L93" i="21"/>
  <c r="N93" i="21" s="1"/>
  <c r="B93" i="21"/>
  <c r="Z92" i="21"/>
  <c r="X92" i="21"/>
  <c r="N92" i="21"/>
  <c r="L92" i="21"/>
  <c r="B92" i="21"/>
  <c r="Z91" i="21"/>
  <c r="X91" i="21"/>
  <c r="N91" i="21"/>
  <c r="L91" i="21"/>
  <c r="B91" i="21"/>
  <c r="Z90" i="21"/>
  <c r="X90" i="21"/>
  <c r="L90" i="21"/>
  <c r="N90" i="21" s="1"/>
  <c r="B90" i="21"/>
  <c r="X89" i="21"/>
  <c r="Z89" i="21" s="1"/>
  <c r="N89" i="21"/>
  <c r="L89" i="21"/>
  <c r="B89" i="21"/>
  <c r="Z88" i="21"/>
  <c r="T88" i="21"/>
  <c r="X88" i="21" s="1"/>
  <c r="P88" i="21"/>
  <c r="H88" i="21"/>
  <c r="D88" i="21"/>
  <c r="B88" i="21"/>
  <c r="X87" i="21"/>
  <c r="Z87" i="21" s="1"/>
  <c r="L87" i="21"/>
  <c r="N87" i="21" s="1"/>
  <c r="B87" i="21"/>
  <c r="X86" i="21"/>
  <c r="Z86" i="21" s="1"/>
  <c r="N86" i="21"/>
  <c r="L86" i="21"/>
  <c r="B86" i="21"/>
  <c r="T85" i="21"/>
  <c r="P85" i="21"/>
  <c r="X85" i="21" s="1"/>
  <c r="Z85" i="21" s="1"/>
  <c r="H85" i="21"/>
  <c r="D85" i="21"/>
  <c r="B85" i="21"/>
  <c r="X84" i="21"/>
  <c r="Z84" i="21" s="1"/>
  <c r="N84" i="21"/>
  <c r="L84" i="21"/>
  <c r="B84" i="21"/>
  <c r="X83" i="21"/>
  <c r="Z83" i="21" s="1"/>
  <c r="N83" i="21"/>
  <c r="L83" i="21"/>
  <c r="B83" i="21"/>
  <c r="X82" i="21"/>
  <c r="Z82" i="21" s="1"/>
  <c r="N82" i="21"/>
  <c r="L82" i="21"/>
  <c r="B82" i="21"/>
  <c r="X81" i="21"/>
  <c r="Z81" i="21" s="1"/>
  <c r="L81" i="21"/>
  <c r="N81" i="21" s="1"/>
  <c r="B81" i="21"/>
  <c r="X80" i="21"/>
  <c r="Z80" i="21" s="1"/>
  <c r="T80" i="21"/>
  <c r="P80" i="21"/>
  <c r="L80" i="21"/>
  <c r="N80" i="21" s="1"/>
  <c r="H80" i="21"/>
  <c r="D80" i="21"/>
  <c r="B80" i="21"/>
  <c r="Z79" i="21"/>
  <c r="X79" i="21"/>
  <c r="N79" i="21"/>
  <c r="L79" i="21"/>
  <c r="B79" i="21"/>
  <c r="T78" i="21"/>
  <c r="P78" i="21"/>
  <c r="N78" i="21"/>
  <c r="H78" i="21"/>
  <c r="L78" i="21" s="1"/>
  <c r="D78" i="21"/>
  <c r="B78" i="21"/>
  <c r="X77" i="21"/>
  <c r="Z77" i="21" s="1"/>
  <c r="L77" i="21"/>
  <c r="N77" i="21" s="1"/>
  <c r="B77" i="21"/>
  <c r="Z76" i="21"/>
  <c r="X76" i="21"/>
  <c r="N76" i="21"/>
  <c r="L76" i="21"/>
  <c r="B76" i="21"/>
  <c r="Z75" i="21"/>
  <c r="X75" i="21"/>
  <c r="N75" i="21"/>
  <c r="L75" i="21"/>
  <c r="B75" i="21"/>
  <c r="V74" i="21"/>
  <c r="T74" i="21"/>
  <c r="P74" i="21"/>
  <c r="X74" i="21" s="1"/>
  <c r="H74" i="21"/>
  <c r="D74" i="21"/>
  <c r="L74" i="21" s="1"/>
  <c r="N74" i="21" s="1"/>
  <c r="B74" i="21"/>
  <c r="X73" i="21"/>
  <c r="Z73" i="21" s="1"/>
  <c r="L73" i="21"/>
  <c r="N73" i="21" s="1"/>
  <c r="B73" i="21"/>
  <c r="X72" i="21"/>
  <c r="Z72" i="21" s="1"/>
  <c r="T72" i="21"/>
  <c r="P72" i="21"/>
  <c r="L72" i="21"/>
  <c r="N72" i="21" s="1"/>
  <c r="H72" i="21"/>
  <c r="D72" i="21"/>
  <c r="B72" i="21"/>
  <c r="Z71" i="21"/>
  <c r="X71" i="21"/>
  <c r="L71" i="21"/>
  <c r="N71" i="21" s="1"/>
  <c r="B71" i="21"/>
  <c r="T70" i="21"/>
  <c r="P70" i="21"/>
  <c r="N70" i="21"/>
  <c r="H70" i="21"/>
  <c r="L70" i="21" s="1"/>
  <c r="D70" i="21"/>
  <c r="B70" i="21"/>
  <c r="X69" i="21"/>
  <c r="Z69" i="21" s="1"/>
  <c r="L69" i="21"/>
  <c r="N69" i="21" s="1"/>
  <c r="B69" i="21"/>
  <c r="Z68" i="21"/>
  <c r="T68" i="21"/>
  <c r="P68" i="21"/>
  <c r="X68" i="21" s="1"/>
  <c r="H68" i="21"/>
  <c r="N68" i="21" s="1"/>
  <c r="D68" i="21"/>
  <c r="L68" i="21" s="1"/>
  <c r="B68" i="21"/>
  <c r="X67" i="21"/>
  <c r="Z67" i="21" s="1"/>
  <c r="N67" i="21"/>
  <c r="L67" i="21"/>
  <c r="B67" i="21"/>
  <c r="X66" i="21"/>
  <c r="Z66" i="21" s="1"/>
  <c r="V66" i="21"/>
  <c r="T66" i="21"/>
  <c r="P66" i="21"/>
  <c r="L66" i="21"/>
  <c r="N66" i="21" s="1"/>
  <c r="H66" i="21"/>
  <c r="D66" i="21"/>
  <c r="B66" i="21"/>
  <c r="X65" i="21"/>
  <c r="Z65" i="21" s="1"/>
  <c r="N65" i="21"/>
  <c r="L65" i="21"/>
  <c r="B65" i="21"/>
  <c r="Z64" i="21"/>
  <c r="X64" i="21"/>
  <c r="N64" i="21"/>
  <c r="L64" i="21"/>
  <c r="B64" i="21"/>
  <c r="T63" i="21"/>
  <c r="P63" i="21"/>
  <c r="L63" i="21"/>
  <c r="N63" i="21" s="1"/>
  <c r="H63" i="21"/>
  <c r="D63" i="21"/>
  <c r="B63" i="21"/>
  <c r="X62" i="21"/>
  <c r="Z62" i="21" s="1"/>
  <c r="V62" i="21"/>
  <c r="L62" i="21"/>
  <c r="N62" i="21" s="1"/>
  <c r="B62" i="21"/>
  <c r="T61" i="21"/>
  <c r="P61" i="21"/>
  <c r="X61" i="21" s="1"/>
  <c r="Z61" i="21" s="1"/>
  <c r="H61" i="21"/>
  <c r="D61" i="21"/>
  <c r="B61" i="21"/>
  <c r="X60" i="21"/>
  <c r="Z60" i="21" s="1"/>
  <c r="N60" i="21"/>
  <c r="L60" i="21"/>
  <c r="B60" i="21"/>
  <c r="T59" i="21"/>
  <c r="X59" i="21" s="1"/>
  <c r="P59" i="21"/>
  <c r="H59" i="21"/>
  <c r="D59" i="21"/>
  <c r="L59" i="21" s="1"/>
  <c r="B59" i="21"/>
  <c r="Z58" i="21"/>
  <c r="X58" i="21"/>
  <c r="L58" i="21"/>
  <c r="N58" i="21" s="1"/>
  <c r="B58" i="21"/>
  <c r="X57" i="21"/>
  <c r="Z57" i="21" s="1"/>
  <c r="T57" i="21"/>
  <c r="P57" i="21"/>
  <c r="H57" i="21"/>
  <c r="D57" i="21"/>
  <c r="B57" i="21"/>
  <c r="Z56" i="21"/>
  <c r="X56" i="21"/>
  <c r="L56" i="21"/>
  <c r="N56" i="21" s="1"/>
  <c r="B56" i="21"/>
  <c r="X55" i="21"/>
  <c r="Z55" i="21" s="1"/>
  <c r="L55" i="21"/>
  <c r="N55" i="21" s="1"/>
  <c r="B55" i="21"/>
  <c r="T54" i="21"/>
  <c r="Z54" i="21" s="1"/>
  <c r="P54" i="21"/>
  <c r="X54" i="21" s="1"/>
  <c r="N54" i="21"/>
  <c r="H54" i="21"/>
  <c r="D54" i="21"/>
  <c r="L54" i="21" s="1"/>
  <c r="B54" i="21"/>
  <c r="X53" i="21"/>
  <c r="Z53" i="21" s="1"/>
  <c r="L53" i="21"/>
  <c r="N53" i="21" s="1"/>
  <c r="B53" i="21"/>
  <c r="X52" i="21"/>
  <c r="Z52" i="21" s="1"/>
  <c r="T52" i="21"/>
  <c r="P52" i="21"/>
  <c r="L52" i="21"/>
  <c r="N52" i="21" s="1"/>
  <c r="H52" i="21"/>
  <c r="D52" i="21"/>
  <c r="B52" i="21"/>
  <c r="Z51" i="21"/>
  <c r="X51" i="21"/>
  <c r="L51" i="21"/>
  <c r="N51" i="21" s="1"/>
  <c r="B51" i="21"/>
  <c r="T50" i="21"/>
  <c r="P50" i="21"/>
  <c r="N50" i="21"/>
  <c r="H50" i="21"/>
  <c r="L50" i="21" s="1"/>
  <c r="D50" i="21"/>
  <c r="B50" i="21"/>
  <c r="X49" i="21"/>
  <c r="Z49" i="21" s="1"/>
  <c r="L49" i="21"/>
  <c r="N49" i="21" s="1"/>
  <c r="B49" i="21"/>
  <c r="T48" i="21"/>
  <c r="P48" i="21"/>
  <c r="X48" i="21" s="1"/>
  <c r="Z48" i="21" s="1"/>
  <c r="H48" i="21"/>
  <c r="N48" i="21" s="1"/>
  <c r="D48" i="21"/>
  <c r="L48" i="21" s="1"/>
  <c r="B48" i="21"/>
  <c r="X47" i="21"/>
  <c r="Z47" i="21" s="1"/>
  <c r="N47" i="21"/>
  <c r="L47" i="21"/>
  <c r="B47" i="21"/>
  <c r="X46" i="21"/>
  <c r="Z46" i="21" s="1"/>
  <c r="N46" i="21"/>
  <c r="L46" i="21"/>
  <c r="B46" i="21"/>
  <c r="X45" i="21"/>
  <c r="Z45" i="21" s="1"/>
  <c r="L45" i="21"/>
  <c r="N45" i="21" s="1"/>
  <c r="B45" i="21"/>
  <c r="X44" i="21"/>
  <c r="Z44" i="21" s="1"/>
  <c r="N44" i="21"/>
  <c r="L44" i="21"/>
  <c r="B44" i="21"/>
  <c r="Z43" i="21"/>
  <c r="X43" i="21"/>
  <c r="N43" i="21"/>
  <c r="L43" i="21"/>
  <c r="F43" i="21"/>
  <c r="B43" i="21"/>
  <c r="X42" i="21"/>
  <c r="Z42" i="21" s="1"/>
  <c r="N42" i="21"/>
  <c r="L42" i="21"/>
  <c r="B42" i="21"/>
  <c r="X41" i="21"/>
  <c r="T41" i="21"/>
  <c r="P41" i="21"/>
  <c r="H41" i="21"/>
  <c r="L41" i="21" s="1"/>
  <c r="D41" i="21"/>
  <c r="B41" i="21"/>
  <c r="Z40" i="21"/>
  <c r="X40" i="21"/>
  <c r="N40" i="21"/>
  <c r="L40" i="21"/>
  <c r="B40" i="21"/>
  <c r="Z39" i="21"/>
  <c r="X39" i="21"/>
  <c r="L39" i="21"/>
  <c r="N39" i="21" s="1"/>
  <c r="B39" i="21"/>
  <c r="Z38" i="21"/>
  <c r="X38" i="21"/>
  <c r="L38" i="21"/>
  <c r="N38" i="21" s="1"/>
  <c r="B38" i="21"/>
  <c r="X37" i="21"/>
  <c r="Z37" i="21" s="1"/>
  <c r="L37" i="21"/>
  <c r="N37" i="21" s="1"/>
  <c r="B37" i="21"/>
  <c r="Z36" i="21"/>
  <c r="X36" i="21"/>
  <c r="N36" i="21"/>
  <c r="L36" i="21"/>
  <c r="B36" i="21"/>
  <c r="Z35" i="21"/>
  <c r="X35" i="21"/>
  <c r="L35" i="21"/>
  <c r="N35" i="21" s="1"/>
  <c r="F35" i="21"/>
  <c r="B35" i="21"/>
  <c r="Z34" i="21"/>
  <c r="X34" i="21"/>
  <c r="L34" i="21"/>
  <c r="N34" i="21" s="1"/>
  <c r="B34" i="21"/>
  <c r="X33" i="21"/>
  <c r="Z33" i="21" s="1"/>
  <c r="L33" i="21"/>
  <c r="N33" i="21" s="1"/>
  <c r="B33" i="21"/>
  <c r="Z32" i="21"/>
  <c r="T32" i="21"/>
  <c r="X32" i="21" s="1"/>
  <c r="P32" i="21"/>
  <c r="H32" i="21"/>
  <c r="N32" i="21" s="1"/>
  <c r="D32" i="21"/>
  <c r="L32" i="21" s="1"/>
  <c r="B32" i="21"/>
  <c r="T31" i="21"/>
  <c r="P31" i="21"/>
  <c r="H31" i="21"/>
  <c r="D31" i="21"/>
  <c r="L31" i="21" s="1"/>
  <c r="N31" i="21" s="1"/>
  <c r="D29" i="21"/>
  <c r="X27" i="21"/>
  <c r="Z27" i="21" s="1"/>
  <c r="L27" i="21"/>
  <c r="N27" i="21" s="1"/>
  <c r="B27" i="21"/>
  <c r="X26" i="21"/>
  <c r="Z26" i="21" s="1"/>
  <c r="L26" i="21"/>
  <c r="N26" i="21" s="1"/>
  <c r="B26" i="21"/>
  <c r="T25" i="21"/>
  <c r="P25" i="21"/>
  <c r="X25" i="21" s="1"/>
  <c r="Z25" i="21" s="1"/>
  <c r="H25" i="21"/>
  <c r="D25" i="21"/>
  <c r="T23" i="21"/>
  <c r="P23" i="21"/>
  <c r="N23" i="21"/>
  <c r="L23" i="21"/>
  <c r="H23" i="21"/>
  <c r="D23" i="21"/>
  <c r="B23" i="21"/>
  <c r="Z22" i="21"/>
  <c r="T22" i="21"/>
  <c r="P22" i="21"/>
  <c r="X22" i="21" s="1"/>
  <c r="L22" i="21"/>
  <c r="N22" i="21" s="1"/>
  <c r="H22" i="21"/>
  <c r="D22" i="21"/>
  <c r="B22" i="21"/>
  <c r="T21" i="21"/>
  <c r="Z21" i="21" s="1"/>
  <c r="P21" i="21"/>
  <c r="X21" i="21" s="1"/>
  <c r="L21" i="21"/>
  <c r="H21" i="21"/>
  <c r="N21" i="21" s="1"/>
  <c r="D21" i="21"/>
  <c r="B21" i="21"/>
  <c r="T20" i="21"/>
  <c r="P20" i="21"/>
  <c r="H20" i="21"/>
  <c r="H12" i="21" s="1"/>
  <c r="D20" i="21"/>
  <c r="B20" i="21"/>
  <c r="T19" i="21"/>
  <c r="P19" i="21"/>
  <c r="N19" i="21"/>
  <c r="L19" i="21"/>
  <c r="H19" i="21"/>
  <c r="D19" i="21"/>
  <c r="B19" i="21"/>
  <c r="Z18" i="21"/>
  <c r="T18" i="21"/>
  <c r="P18" i="21"/>
  <c r="X18" i="21" s="1"/>
  <c r="N18" i="21"/>
  <c r="L18" i="21"/>
  <c r="H18" i="21"/>
  <c r="D18" i="21"/>
  <c r="B18" i="21"/>
  <c r="T17" i="21"/>
  <c r="P17" i="21"/>
  <c r="X17" i="21" s="1"/>
  <c r="L17" i="21"/>
  <c r="H17" i="21"/>
  <c r="N17" i="21" s="1"/>
  <c r="D17" i="21"/>
  <c r="B17" i="21"/>
  <c r="T16" i="21"/>
  <c r="T12" i="21" s="1"/>
  <c r="P16" i="21"/>
  <c r="H16" i="21"/>
  <c r="D16" i="21"/>
  <c r="B16" i="21"/>
  <c r="T15" i="21"/>
  <c r="P15" i="21"/>
  <c r="L15" i="21"/>
  <c r="N15" i="21" s="1"/>
  <c r="H15" i="21"/>
  <c r="D15" i="21"/>
  <c r="B15" i="21"/>
  <c r="Z14" i="21"/>
  <c r="T14" i="21"/>
  <c r="P14" i="21"/>
  <c r="X14" i="21" s="1"/>
  <c r="N14" i="21"/>
  <c r="L14" i="21"/>
  <c r="H14" i="21"/>
  <c r="D14" i="21"/>
  <c r="B14" i="21"/>
  <c r="T13" i="21"/>
  <c r="P13" i="21"/>
  <c r="L13" i="21"/>
  <c r="H13" i="21"/>
  <c r="N13" i="21" s="1"/>
  <c r="D13" i="21"/>
  <c r="D12" i="21" s="1"/>
  <c r="F91" i="21" s="1"/>
  <c r="B13" i="21"/>
  <c r="D4" i="21"/>
  <c r="Z300" i="18"/>
  <c r="X300" i="18"/>
  <c r="L300" i="18"/>
  <c r="N300" i="18" s="1"/>
  <c r="X296" i="18"/>
  <c r="T296" i="18"/>
  <c r="Z296" i="18" s="1"/>
  <c r="P296" i="18"/>
  <c r="H296" i="18"/>
  <c r="D296" i="18"/>
  <c r="D284" i="18" s="1"/>
  <c r="B296" i="18"/>
  <c r="T295" i="18"/>
  <c r="Z295" i="18" s="1"/>
  <c r="P295" i="18"/>
  <c r="X295" i="18" s="1"/>
  <c r="N295" i="18"/>
  <c r="H295" i="18"/>
  <c r="L295" i="18" s="1"/>
  <c r="D295" i="18"/>
  <c r="B295" i="18"/>
  <c r="T294" i="18"/>
  <c r="P294" i="18"/>
  <c r="X294" i="18" s="1"/>
  <c r="Z294" i="18" s="1"/>
  <c r="H294" i="18"/>
  <c r="N294" i="18" s="1"/>
  <c r="D294" i="18"/>
  <c r="L294" i="18" s="1"/>
  <c r="B294" i="18"/>
  <c r="X293" i="18"/>
  <c r="Z293" i="18" s="1"/>
  <c r="T293" i="18"/>
  <c r="P293" i="18"/>
  <c r="L293" i="18"/>
  <c r="N293" i="18" s="1"/>
  <c r="H293" i="18"/>
  <c r="D293" i="18"/>
  <c r="B293" i="18"/>
  <c r="T292" i="18"/>
  <c r="P292" i="18"/>
  <c r="X292" i="18" s="1"/>
  <c r="L292" i="18"/>
  <c r="H292" i="18"/>
  <c r="N292" i="18" s="1"/>
  <c r="D292" i="18"/>
  <c r="B292" i="18"/>
  <c r="T291" i="18"/>
  <c r="P291" i="18"/>
  <c r="X291" i="18" s="1"/>
  <c r="N291" i="18"/>
  <c r="H291" i="18"/>
  <c r="D291" i="18"/>
  <c r="L291" i="18" s="1"/>
  <c r="B291" i="18"/>
  <c r="X290" i="18"/>
  <c r="T290" i="18"/>
  <c r="P290" i="18"/>
  <c r="L290" i="18"/>
  <c r="H290" i="18"/>
  <c r="N290" i="18" s="1"/>
  <c r="D290" i="18"/>
  <c r="B290" i="18"/>
  <c r="Z289" i="18"/>
  <c r="T289" i="18"/>
  <c r="X289" i="18" s="1"/>
  <c r="P289" i="18"/>
  <c r="H289" i="18"/>
  <c r="N289" i="18" s="1"/>
  <c r="D289" i="18"/>
  <c r="B289" i="18"/>
  <c r="T288" i="18"/>
  <c r="P288" i="18"/>
  <c r="H288" i="18"/>
  <c r="D288" i="18"/>
  <c r="L288" i="18" s="1"/>
  <c r="N288" i="18" s="1"/>
  <c r="B288" i="18"/>
  <c r="X287" i="18"/>
  <c r="Z287" i="18" s="1"/>
  <c r="T287" i="18"/>
  <c r="P287" i="18"/>
  <c r="N287" i="18"/>
  <c r="L287" i="18"/>
  <c r="H287" i="18"/>
  <c r="D287" i="18"/>
  <c r="B287" i="18"/>
  <c r="X286" i="18"/>
  <c r="T286" i="18"/>
  <c r="P286" i="18"/>
  <c r="H286" i="18"/>
  <c r="D286" i="18"/>
  <c r="L286" i="18" s="1"/>
  <c r="B286" i="18"/>
  <c r="T285" i="18"/>
  <c r="P285" i="18"/>
  <c r="H285" i="18"/>
  <c r="D285" i="18"/>
  <c r="L285" i="18" s="1"/>
  <c r="B285" i="18"/>
  <c r="X282" i="18"/>
  <c r="Z282" i="18" s="1"/>
  <c r="N282" i="18"/>
  <c r="L282" i="18"/>
  <c r="B282" i="18"/>
  <c r="X281" i="18"/>
  <c r="Z281" i="18" s="1"/>
  <c r="T281" i="18"/>
  <c r="P281" i="18"/>
  <c r="L281" i="18"/>
  <c r="N281" i="18" s="1"/>
  <c r="H281" i="18"/>
  <c r="D281" i="18"/>
  <c r="B281" i="18"/>
  <c r="X280" i="18"/>
  <c r="Z280" i="18" s="1"/>
  <c r="L280" i="18"/>
  <c r="N280" i="18" s="1"/>
  <c r="B280" i="18"/>
  <c r="Z279" i="18"/>
  <c r="X279" i="18"/>
  <c r="N279" i="18"/>
  <c r="L279" i="18"/>
  <c r="B279" i="18"/>
  <c r="Z278" i="18"/>
  <c r="X278" i="18"/>
  <c r="L278" i="18"/>
  <c r="N278" i="18" s="1"/>
  <c r="B278" i="18"/>
  <c r="T277" i="18"/>
  <c r="P277" i="18"/>
  <c r="N277" i="18"/>
  <c r="H277" i="18"/>
  <c r="L277" i="18" s="1"/>
  <c r="D277" i="18"/>
  <c r="B277" i="18"/>
  <c r="X276" i="18"/>
  <c r="Z276" i="18" s="1"/>
  <c r="L276" i="18"/>
  <c r="N276" i="18" s="1"/>
  <c r="B276" i="18"/>
  <c r="Z275" i="18"/>
  <c r="T275" i="18"/>
  <c r="P275" i="18"/>
  <c r="X275" i="18" s="1"/>
  <c r="H275" i="18"/>
  <c r="D275" i="18"/>
  <c r="L275" i="18" s="1"/>
  <c r="B275" i="18"/>
  <c r="X274" i="18"/>
  <c r="Z274" i="18" s="1"/>
  <c r="N274" i="18"/>
  <c r="L274" i="18"/>
  <c r="B274" i="18"/>
  <c r="X273" i="18"/>
  <c r="Z273" i="18" s="1"/>
  <c r="N273" i="18"/>
  <c r="L273" i="18"/>
  <c r="B273" i="18"/>
  <c r="T272" i="18"/>
  <c r="P272" i="18"/>
  <c r="X272" i="18" s="1"/>
  <c r="L272" i="18"/>
  <c r="H272" i="18"/>
  <c r="N272" i="18" s="1"/>
  <c r="D272" i="18"/>
  <c r="B272" i="18"/>
  <c r="Z271" i="18"/>
  <c r="X271" i="18"/>
  <c r="N271" i="18"/>
  <c r="L271" i="18"/>
  <c r="B271" i="18"/>
  <c r="Z270" i="18"/>
  <c r="X270" i="18"/>
  <c r="L270" i="18"/>
  <c r="N270" i="18" s="1"/>
  <c r="B270" i="18"/>
  <c r="Z269" i="18"/>
  <c r="X269" i="18"/>
  <c r="L269" i="18"/>
  <c r="N269" i="18" s="1"/>
  <c r="B269" i="18"/>
  <c r="X268" i="18"/>
  <c r="Z268" i="18" s="1"/>
  <c r="L268" i="18"/>
  <c r="N268" i="18" s="1"/>
  <c r="B268" i="18"/>
  <c r="Z267" i="18"/>
  <c r="X267" i="18"/>
  <c r="N267" i="18"/>
  <c r="L267" i="18"/>
  <c r="B267" i="18"/>
  <c r="Z266" i="18"/>
  <c r="X266" i="18"/>
  <c r="L266" i="18"/>
  <c r="N266" i="18" s="1"/>
  <c r="B266" i="18"/>
  <c r="Z265" i="18"/>
  <c r="X265" i="18"/>
  <c r="L265" i="18"/>
  <c r="N265" i="18" s="1"/>
  <c r="B265" i="18"/>
  <c r="X264" i="18"/>
  <c r="Z264" i="18" s="1"/>
  <c r="T264" i="18"/>
  <c r="P264" i="18"/>
  <c r="H264" i="18"/>
  <c r="D264" i="18"/>
  <c r="B264" i="18"/>
  <c r="Z263" i="18"/>
  <c r="X263" i="18"/>
  <c r="L263" i="18"/>
  <c r="N263" i="18" s="1"/>
  <c r="B263" i="18"/>
  <c r="X262" i="18"/>
  <c r="Z262" i="18" s="1"/>
  <c r="L262" i="18"/>
  <c r="N262" i="18" s="1"/>
  <c r="B262" i="18"/>
  <c r="T261" i="18"/>
  <c r="Z261" i="18" s="1"/>
  <c r="P261" i="18"/>
  <c r="X261" i="18" s="1"/>
  <c r="N261" i="18"/>
  <c r="H261" i="18"/>
  <c r="D261" i="18"/>
  <c r="L261" i="18" s="1"/>
  <c r="B261" i="18"/>
  <c r="X260" i="18"/>
  <c r="Z260" i="18" s="1"/>
  <c r="N260" i="18"/>
  <c r="L260" i="18"/>
  <c r="B260" i="18"/>
  <c r="X259" i="18"/>
  <c r="Z259" i="18" s="1"/>
  <c r="N259" i="18"/>
  <c r="L259" i="18"/>
  <c r="B259" i="18"/>
  <c r="X258" i="18"/>
  <c r="Z258" i="18" s="1"/>
  <c r="N258" i="18"/>
  <c r="L258" i="18"/>
  <c r="B258" i="18"/>
  <c r="X257" i="18"/>
  <c r="Z257" i="18" s="1"/>
  <c r="N257" i="18"/>
  <c r="L257" i="18"/>
  <c r="B257" i="18"/>
  <c r="T256" i="18"/>
  <c r="P256" i="18"/>
  <c r="X256" i="18" s="1"/>
  <c r="L256" i="18"/>
  <c r="H256" i="18"/>
  <c r="N256" i="18" s="1"/>
  <c r="D256" i="18"/>
  <c r="B256" i="18"/>
  <c r="Z255" i="18"/>
  <c r="X255" i="18"/>
  <c r="N255" i="18"/>
  <c r="L255" i="18"/>
  <c r="B255" i="18"/>
  <c r="Z254" i="18"/>
  <c r="X254" i="18"/>
  <c r="L254" i="18"/>
  <c r="N254" i="18" s="1"/>
  <c r="B254" i="18"/>
  <c r="Z253" i="18"/>
  <c r="X253" i="18"/>
  <c r="L253" i="18"/>
  <c r="N253" i="18" s="1"/>
  <c r="B253" i="18"/>
  <c r="T252" i="18"/>
  <c r="P252" i="18"/>
  <c r="H252" i="18"/>
  <c r="D252" i="18"/>
  <c r="B252" i="18"/>
  <c r="Z251" i="18"/>
  <c r="X251" i="18"/>
  <c r="L251" i="18"/>
  <c r="N251" i="18" s="1"/>
  <c r="B251" i="18"/>
  <c r="X250" i="18"/>
  <c r="Z250" i="18" s="1"/>
  <c r="L250" i="18"/>
  <c r="N250" i="18" s="1"/>
  <c r="B250" i="18"/>
  <c r="X249" i="18"/>
  <c r="Z249" i="18" s="1"/>
  <c r="N249" i="18"/>
  <c r="L249" i="18"/>
  <c r="B249" i="18"/>
  <c r="X248" i="18"/>
  <c r="Z248" i="18" s="1"/>
  <c r="L248" i="18"/>
  <c r="N248" i="18" s="1"/>
  <c r="B248" i="18"/>
  <c r="T247" i="18"/>
  <c r="P247" i="18"/>
  <c r="X247" i="18" s="1"/>
  <c r="Z247" i="18" s="1"/>
  <c r="H247" i="18"/>
  <c r="D247" i="18"/>
  <c r="L247" i="18" s="1"/>
  <c r="B247" i="18"/>
  <c r="X246" i="18"/>
  <c r="Z246" i="18" s="1"/>
  <c r="N246" i="18"/>
  <c r="L246" i="18"/>
  <c r="B246" i="18"/>
  <c r="X245" i="18"/>
  <c r="Z245" i="18" s="1"/>
  <c r="T245" i="18"/>
  <c r="P245" i="18"/>
  <c r="L245" i="18"/>
  <c r="N245" i="18" s="1"/>
  <c r="H245" i="18"/>
  <c r="D245" i="18"/>
  <c r="B245" i="18"/>
  <c r="X244" i="18"/>
  <c r="Z244" i="18" s="1"/>
  <c r="N244" i="18"/>
  <c r="L244" i="18"/>
  <c r="B244" i="18"/>
  <c r="Z243" i="18"/>
  <c r="T243" i="18"/>
  <c r="X243" i="18" s="1"/>
  <c r="P243" i="18"/>
  <c r="N243" i="18"/>
  <c r="H243" i="18"/>
  <c r="D243" i="18"/>
  <c r="L243" i="18" s="1"/>
  <c r="B243" i="18"/>
  <c r="X242" i="18"/>
  <c r="Z242" i="18" s="1"/>
  <c r="L242" i="18"/>
  <c r="N242" i="18" s="1"/>
  <c r="B242" i="18"/>
  <c r="T241" i="18"/>
  <c r="Z241" i="18" s="1"/>
  <c r="P241" i="18"/>
  <c r="X241" i="18" s="1"/>
  <c r="N241" i="18"/>
  <c r="H241" i="18"/>
  <c r="D241" i="18"/>
  <c r="L241" i="18" s="1"/>
  <c r="B241" i="18"/>
  <c r="X240" i="18"/>
  <c r="Z240" i="18" s="1"/>
  <c r="L240" i="18"/>
  <c r="N240" i="18" s="1"/>
  <c r="B240" i="18"/>
  <c r="X239" i="18"/>
  <c r="Z239" i="18" s="1"/>
  <c r="T239" i="18"/>
  <c r="P239" i="18"/>
  <c r="L239" i="18"/>
  <c r="N239" i="18" s="1"/>
  <c r="H239" i="18"/>
  <c r="D239" i="18"/>
  <c r="B239" i="18"/>
  <c r="Z238" i="18"/>
  <c r="X238" i="18"/>
  <c r="L238" i="18"/>
  <c r="N238" i="18" s="1"/>
  <c r="B238" i="18"/>
  <c r="T237" i="18"/>
  <c r="Z237" i="18" s="1"/>
  <c r="P237" i="18"/>
  <c r="X237" i="18" s="1"/>
  <c r="H237" i="18"/>
  <c r="D237" i="18"/>
  <c r="B237" i="18"/>
  <c r="X236" i="18"/>
  <c r="Z236" i="18" s="1"/>
  <c r="L236" i="18"/>
  <c r="N236" i="18" s="1"/>
  <c r="B236" i="18"/>
  <c r="Z235" i="18"/>
  <c r="X235" i="18"/>
  <c r="L235" i="18"/>
  <c r="N235" i="18" s="1"/>
  <c r="B235" i="18"/>
  <c r="T234" i="18"/>
  <c r="P234" i="18"/>
  <c r="H234" i="18"/>
  <c r="D234" i="18"/>
  <c r="L234" i="18" s="1"/>
  <c r="N234" i="18" s="1"/>
  <c r="B234" i="18"/>
  <c r="X233" i="18"/>
  <c r="Z233" i="18" s="1"/>
  <c r="N233" i="18"/>
  <c r="L233" i="18"/>
  <c r="B233" i="18"/>
  <c r="T232" i="18"/>
  <c r="P232" i="18"/>
  <c r="X232" i="18" s="1"/>
  <c r="H232" i="18"/>
  <c r="D232" i="18"/>
  <c r="B232" i="18"/>
  <c r="Z231" i="18"/>
  <c r="X231" i="18"/>
  <c r="N231" i="18"/>
  <c r="L231" i="18"/>
  <c r="B231" i="18"/>
  <c r="T230" i="18"/>
  <c r="P230" i="18"/>
  <c r="N230" i="18"/>
  <c r="H230" i="18"/>
  <c r="D230" i="18"/>
  <c r="L230" i="18" s="1"/>
  <c r="B230" i="18"/>
  <c r="X229" i="18"/>
  <c r="Z229" i="18" s="1"/>
  <c r="L229" i="18"/>
  <c r="N229" i="18" s="1"/>
  <c r="B229" i="18"/>
  <c r="X228" i="18"/>
  <c r="Z228" i="18" s="1"/>
  <c r="T228" i="18"/>
  <c r="P228" i="18"/>
  <c r="H228" i="18"/>
  <c r="D228" i="18"/>
  <c r="B228" i="18"/>
  <c r="X227" i="18"/>
  <c r="Z227" i="18" s="1"/>
  <c r="N227" i="18"/>
  <c r="L227" i="18"/>
  <c r="B227" i="18"/>
  <c r="X226" i="18"/>
  <c r="Z226" i="18" s="1"/>
  <c r="N226" i="18"/>
  <c r="L226" i="18"/>
  <c r="B226" i="18"/>
  <c r="X225" i="18"/>
  <c r="Z225" i="18" s="1"/>
  <c r="T225" i="18"/>
  <c r="P225" i="18"/>
  <c r="L225" i="18"/>
  <c r="N225" i="18" s="1"/>
  <c r="H225" i="18"/>
  <c r="D225" i="18"/>
  <c r="B225" i="18"/>
  <c r="Z224" i="18"/>
  <c r="X224" i="18"/>
  <c r="L224" i="18"/>
  <c r="N224" i="18" s="1"/>
  <c r="B224" i="18"/>
  <c r="Z223" i="18"/>
  <c r="X223" i="18"/>
  <c r="N223" i="18"/>
  <c r="L223" i="18"/>
  <c r="B223" i="18"/>
  <c r="T222" i="18"/>
  <c r="P222" i="18"/>
  <c r="H222" i="18"/>
  <c r="D222" i="18"/>
  <c r="B222" i="18"/>
  <c r="X221" i="18"/>
  <c r="Z221" i="18" s="1"/>
  <c r="N221" i="18"/>
  <c r="L221" i="18"/>
  <c r="B221" i="18"/>
  <c r="T220" i="18"/>
  <c r="P220" i="18"/>
  <c r="X220" i="18" s="1"/>
  <c r="Z220" i="18" s="1"/>
  <c r="H220" i="18"/>
  <c r="D220" i="18"/>
  <c r="L220" i="18" s="1"/>
  <c r="B220" i="18"/>
  <c r="Z219" i="18"/>
  <c r="X219" i="18"/>
  <c r="N219" i="18"/>
  <c r="L219" i="18"/>
  <c r="B219" i="18"/>
  <c r="X218" i="18"/>
  <c r="Z218" i="18" s="1"/>
  <c r="N218" i="18"/>
  <c r="L218" i="18"/>
  <c r="B218" i="18"/>
  <c r="X217" i="18"/>
  <c r="Z217" i="18" s="1"/>
  <c r="T217" i="18"/>
  <c r="P217" i="18"/>
  <c r="L217" i="18"/>
  <c r="N217" i="18" s="1"/>
  <c r="H217" i="18"/>
  <c r="D217" i="18"/>
  <c r="B217" i="18"/>
  <c r="X216" i="18"/>
  <c r="Z216" i="18" s="1"/>
  <c r="L216" i="18"/>
  <c r="N216" i="18" s="1"/>
  <c r="B216" i="18"/>
  <c r="T215" i="18"/>
  <c r="X215" i="18" s="1"/>
  <c r="P215" i="18"/>
  <c r="H215" i="18"/>
  <c r="D215" i="18"/>
  <c r="B215" i="18"/>
  <c r="X214" i="18"/>
  <c r="Z214" i="18" s="1"/>
  <c r="L214" i="18"/>
  <c r="N214" i="18" s="1"/>
  <c r="B214" i="18"/>
  <c r="X213" i="18"/>
  <c r="Z213" i="18" s="1"/>
  <c r="L213" i="18"/>
  <c r="N213" i="18" s="1"/>
  <c r="B213" i="18"/>
  <c r="X212" i="18"/>
  <c r="Z212" i="18" s="1"/>
  <c r="L212" i="18"/>
  <c r="N212" i="18" s="1"/>
  <c r="B212" i="18"/>
  <c r="Z211" i="18"/>
  <c r="X211" i="18"/>
  <c r="N211" i="18"/>
  <c r="L211" i="18"/>
  <c r="B211" i="18"/>
  <c r="X210" i="18"/>
  <c r="Z210" i="18" s="1"/>
  <c r="L210" i="18"/>
  <c r="N210" i="18" s="1"/>
  <c r="B210" i="18"/>
  <c r="X209" i="18"/>
  <c r="Z209" i="18" s="1"/>
  <c r="N209" i="18"/>
  <c r="L209" i="18"/>
  <c r="B209" i="18"/>
  <c r="X208" i="18"/>
  <c r="Z208" i="18" s="1"/>
  <c r="L208" i="18"/>
  <c r="N208" i="18" s="1"/>
  <c r="B208" i="18"/>
  <c r="T207" i="18"/>
  <c r="P207" i="18"/>
  <c r="X207" i="18" s="1"/>
  <c r="Z207" i="18" s="1"/>
  <c r="H207" i="18"/>
  <c r="D207" i="18"/>
  <c r="L207" i="18" s="1"/>
  <c r="B207" i="18"/>
  <c r="X206" i="18"/>
  <c r="Z206" i="18" s="1"/>
  <c r="N206" i="18"/>
  <c r="L206" i="18"/>
  <c r="B206" i="18"/>
  <c r="Z205" i="18"/>
  <c r="X205" i="18"/>
  <c r="N205" i="18"/>
  <c r="L205" i="18"/>
  <c r="B205" i="18"/>
  <c r="Z204" i="18"/>
  <c r="X204" i="18"/>
  <c r="L204" i="18"/>
  <c r="N204" i="18" s="1"/>
  <c r="B204" i="18"/>
  <c r="Z203" i="18"/>
  <c r="X203" i="18"/>
  <c r="N203" i="18"/>
  <c r="L203" i="18"/>
  <c r="B203" i="18"/>
  <c r="X202" i="18"/>
  <c r="Z202" i="18" s="1"/>
  <c r="N202" i="18"/>
  <c r="L202" i="18"/>
  <c r="B202" i="18"/>
  <c r="X201" i="18"/>
  <c r="Z201" i="18" s="1"/>
  <c r="N201" i="18"/>
  <c r="L201" i="18"/>
  <c r="B201" i="18"/>
  <c r="Z200" i="18"/>
  <c r="X200" i="18"/>
  <c r="L200" i="18"/>
  <c r="N200" i="18" s="1"/>
  <c r="B200" i="18"/>
  <c r="Z199" i="18"/>
  <c r="X199" i="18"/>
  <c r="N199" i="18"/>
  <c r="L199" i="18"/>
  <c r="B199" i="18"/>
  <c r="X198" i="18"/>
  <c r="Z198" i="18" s="1"/>
  <c r="N198" i="18"/>
  <c r="L198" i="18"/>
  <c r="B198" i="18"/>
  <c r="X197" i="18"/>
  <c r="Z197" i="18" s="1"/>
  <c r="T197" i="18"/>
  <c r="P197" i="18"/>
  <c r="H197" i="18"/>
  <c r="D197" i="18"/>
  <c r="L197" i="18" s="1"/>
  <c r="N197" i="18" s="1"/>
  <c r="B197" i="18"/>
  <c r="X196" i="18"/>
  <c r="T196" i="18"/>
  <c r="Z196" i="18" s="1"/>
  <c r="P196" i="18"/>
  <c r="H196" i="18"/>
  <c r="D196" i="18"/>
  <c r="X192" i="18"/>
  <c r="Z192" i="18" s="1"/>
  <c r="L192" i="18"/>
  <c r="N192" i="18" s="1"/>
  <c r="B192" i="18"/>
  <c r="Z191" i="18"/>
  <c r="X191" i="18"/>
  <c r="N191" i="18"/>
  <c r="L191" i="18"/>
  <c r="B191" i="18"/>
  <c r="Z190" i="18"/>
  <c r="X190" i="18"/>
  <c r="N190" i="18"/>
  <c r="L190" i="18"/>
  <c r="B190" i="18"/>
  <c r="X189" i="18"/>
  <c r="Z189" i="18" s="1"/>
  <c r="N189" i="18"/>
  <c r="L189" i="18"/>
  <c r="B189" i="18"/>
  <c r="Z188" i="18"/>
  <c r="X188" i="18"/>
  <c r="N188" i="18"/>
  <c r="L188" i="18"/>
  <c r="B188" i="18"/>
  <c r="X187" i="18"/>
  <c r="Z187" i="18" s="1"/>
  <c r="N187" i="18"/>
  <c r="L187" i="18"/>
  <c r="B187" i="18"/>
  <c r="Z186" i="18"/>
  <c r="X186" i="18"/>
  <c r="N186" i="18"/>
  <c r="L186" i="18"/>
  <c r="B186" i="18"/>
  <c r="Z185" i="18"/>
  <c r="X185" i="18"/>
  <c r="N185" i="18"/>
  <c r="L185" i="18"/>
  <c r="B185" i="18"/>
  <c r="X184" i="18"/>
  <c r="Z184" i="18" s="1"/>
  <c r="N184" i="18"/>
  <c r="L184" i="18"/>
  <c r="B184" i="18"/>
  <c r="X183" i="18"/>
  <c r="Z183" i="18" s="1"/>
  <c r="N183" i="18"/>
  <c r="L183" i="18"/>
  <c r="B183" i="18"/>
  <c r="Z182" i="18"/>
  <c r="X182" i="18"/>
  <c r="L182" i="18"/>
  <c r="N182" i="18" s="1"/>
  <c r="B182" i="18"/>
  <c r="X181" i="18"/>
  <c r="Z181" i="18" s="1"/>
  <c r="L181" i="18"/>
  <c r="N181" i="18" s="1"/>
  <c r="B181" i="18"/>
  <c r="X180" i="18"/>
  <c r="Z180" i="18" s="1"/>
  <c r="L180" i="18"/>
  <c r="N180" i="18" s="1"/>
  <c r="B180" i="18"/>
  <c r="X179" i="18"/>
  <c r="Z179" i="18" s="1"/>
  <c r="N179" i="18"/>
  <c r="L179" i="18"/>
  <c r="B179" i="18"/>
  <c r="Z178" i="18"/>
  <c r="X178" i="18"/>
  <c r="L178" i="18"/>
  <c r="N178" i="18" s="1"/>
  <c r="B178" i="18"/>
  <c r="Z177" i="18"/>
  <c r="X177" i="18"/>
  <c r="N177" i="18"/>
  <c r="L177" i="18"/>
  <c r="B177" i="18"/>
  <c r="X176" i="18"/>
  <c r="Z176" i="18" s="1"/>
  <c r="N176" i="18"/>
  <c r="L176" i="18"/>
  <c r="B176" i="18"/>
  <c r="Z175" i="18"/>
  <c r="X175" i="18"/>
  <c r="N175" i="18"/>
  <c r="L175" i="18"/>
  <c r="B175" i="18"/>
  <c r="Z174" i="18"/>
  <c r="X174" i="18"/>
  <c r="N174" i="18"/>
  <c r="L174" i="18"/>
  <c r="B174" i="18"/>
  <c r="X173" i="18"/>
  <c r="Z173" i="18" s="1"/>
  <c r="L173" i="18"/>
  <c r="N173" i="18" s="1"/>
  <c r="B173" i="18"/>
  <c r="X172" i="18"/>
  <c r="Z172" i="18" s="1"/>
  <c r="N172" i="18"/>
  <c r="L172" i="18"/>
  <c r="B172" i="18"/>
  <c r="Z171" i="18"/>
  <c r="X171" i="18"/>
  <c r="N171" i="18"/>
  <c r="L171" i="18"/>
  <c r="B171" i="18"/>
  <c r="Z170" i="18"/>
  <c r="X170" i="18"/>
  <c r="L170" i="18"/>
  <c r="N170" i="18" s="1"/>
  <c r="B170" i="18"/>
  <c r="Z169" i="18"/>
  <c r="X169" i="18"/>
  <c r="N169" i="18"/>
  <c r="L169" i="18"/>
  <c r="B169" i="18"/>
  <c r="Z168" i="18"/>
  <c r="X168" i="18"/>
  <c r="L168" i="18"/>
  <c r="N168" i="18" s="1"/>
  <c r="B168" i="18"/>
  <c r="Z167" i="18"/>
  <c r="X167" i="18"/>
  <c r="N167" i="18"/>
  <c r="L167" i="18"/>
  <c r="B167" i="18"/>
  <c r="Z166" i="18"/>
  <c r="X166" i="18"/>
  <c r="N166" i="18"/>
  <c r="L166" i="18"/>
  <c r="B166" i="18"/>
  <c r="Z165" i="18"/>
  <c r="X165" i="18"/>
  <c r="L165" i="18"/>
  <c r="N165" i="18" s="1"/>
  <c r="B165" i="18"/>
  <c r="Z164" i="18"/>
  <c r="X164" i="18"/>
  <c r="N164" i="18"/>
  <c r="L164" i="18"/>
  <c r="B164" i="18"/>
  <c r="Z163" i="18"/>
  <c r="X163" i="18"/>
  <c r="N163" i="18"/>
  <c r="L163" i="18"/>
  <c r="B163" i="18"/>
  <c r="Z162" i="18"/>
  <c r="X162" i="18"/>
  <c r="L162" i="18"/>
  <c r="N162" i="18" s="1"/>
  <c r="B162" i="18"/>
  <c r="X161" i="18"/>
  <c r="Z161" i="18" s="1"/>
  <c r="L161" i="18"/>
  <c r="N161" i="18" s="1"/>
  <c r="B161" i="18"/>
  <c r="X160" i="18"/>
  <c r="Z160" i="18" s="1"/>
  <c r="N160" i="18"/>
  <c r="L160" i="18"/>
  <c r="B160" i="18"/>
  <c r="Z159" i="18"/>
  <c r="X159" i="18"/>
  <c r="N159" i="18"/>
  <c r="L159" i="18"/>
  <c r="B159" i="18"/>
  <c r="Z158" i="18"/>
  <c r="X158" i="18"/>
  <c r="L158" i="18"/>
  <c r="N158" i="18" s="1"/>
  <c r="B158" i="18"/>
  <c r="X157" i="18"/>
  <c r="Z157" i="18" s="1"/>
  <c r="L157" i="18"/>
  <c r="N157" i="18" s="1"/>
  <c r="B157" i="18"/>
  <c r="X156" i="18"/>
  <c r="Z156" i="18" s="1"/>
  <c r="L156" i="18"/>
  <c r="N156" i="18" s="1"/>
  <c r="B156" i="18"/>
  <c r="X155" i="18"/>
  <c r="Z155" i="18" s="1"/>
  <c r="N155" i="18"/>
  <c r="L155" i="18"/>
  <c r="B155" i="18"/>
  <c r="Z154" i="18"/>
  <c r="X154" i="18"/>
  <c r="L154" i="18"/>
  <c r="N154" i="18" s="1"/>
  <c r="B154" i="18"/>
  <c r="Z153" i="18"/>
  <c r="X153" i="18"/>
  <c r="L153" i="18"/>
  <c r="N153" i="18" s="1"/>
  <c r="B153" i="18"/>
  <c r="Z152" i="18"/>
  <c r="X152" i="18"/>
  <c r="L152" i="18"/>
  <c r="N152" i="18" s="1"/>
  <c r="B152" i="18"/>
  <c r="X151" i="18"/>
  <c r="Z151" i="18" s="1"/>
  <c r="N151" i="18"/>
  <c r="L151" i="18"/>
  <c r="B151" i="18"/>
  <c r="Z150" i="18"/>
  <c r="X150" i="18"/>
  <c r="N150" i="18"/>
  <c r="L150" i="18"/>
  <c r="B150" i="18"/>
  <c r="Z149" i="18"/>
  <c r="X149" i="18"/>
  <c r="L149" i="18"/>
  <c r="N149" i="18" s="1"/>
  <c r="B149" i="18"/>
  <c r="Z148" i="18"/>
  <c r="X148" i="18"/>
  <c r="N148" i="18"/>
  <c r="L148" i="18"/>
  <c r="B148" i="18"/>
  <c r="X147" i="18"/>
  <c r="Z147" i="18" s="1"/>
  <c r="N147" i="18"/>
  <c r="L147" i="18"/>
  <c r="B147" i="18"/>
  <c r="Z146" i="18"/>
  <c r="X146" i="18"/>
  <c r="L146" i="18"/>
  <c r="N146" i="18" s="1"/>
  <c r="B146" i="18"/>
  <c r="X145" i="18"/>
  <c r="Z145" i="18" s="1"/>
  <c r="L145" i="18"/>
  <c r="N145" i="18" s="1"/>
  <c r="B145" i="18"/>
  <c r="X144" i="18"/>
  <c r="Z144" i="18" s="1"/>
  <c r="N144" i="18"/>
  <c r="L144" i="18"/>
  <c r="B144" i="18"/>
  <c r="X143" i="18"/>
  <c r="Z143" i="18" s="1"/>
  <c r="N143" i="18"/>
  <c r="L143" i="18"/>
  <c r="B143" i="18"/>
  <c r="Z142" i="18"/>
  <c r="X142" i="18"/>
  <c r="N142" i="18"/>
  <c r="L142" i="18"/>
  <c r="B142" i="18"/>
  <c r="Z141" i="18"/>
  <c r="X141" i="18"/>
  <c r="L141" i="18"/>
  <c r="N141" i="18" s="1"/>
  <c r="B141" i="18"/>
  <c r="X140" i="18"/>
  <c r="Z140" i="18" s="1"/>
  <c r="N140" i="18"/>
  <c r="L140" i="18"/>
  <c r="B140" i="18"/>
  <c r="Z139" i="18"/>
  <c r="X139" i="18"/>
  <c r="L139" i="18"/>
  <c r="N139" i="18" s="1"/>
  <c r="B139" i="18"/>
  <c r="Z138" i="18"/>
  <c r="X138" i="18"/>
  <c r="L138" i="18"/>
  <c r="N138" i="18" s="1"/>
  <c r="B138" i="18"/>
  <c r="X137" i="18"/>
  <c r="Z137" i="18" s="1"/>
  <c r="L137" i="18"/>
  <c r="N137" i="18" s="1"/>
  <c r="B137" i="18"/>
  <c r="X136" i="18"/>
  <c r="Z136" i="18" s="1"/>
  <c r="L136" i="18"/>
  <c r="N136" i="18" s="1"/>
  <c r="B136" i="18"/>
  <c r="X135" i="18"/>
  <c r="Z135" i="18" s="1"/>
  <c r="L135" i="18"/>
  <c r="N135" i="18" s="1"/>
  <c r="B135" i="18"/>
  <c r="T134" i="18"/>
  <c r="P134" i="18"/>
  <c r="X134" i="18" s="1"/>
  <c r="Z134" i="18" s="1"/>
  <c r="H134" i="18"/>
  <c r="D134" i="18"/>
  <c r="T132" i="18"/>
  <c r="P132" i="18"/>
  <c r="H132" i="18"/>
  <c r="N132" i="18" s="1"/>
  <c r="D132" i="18"/>
  <c r="L132" i="18" s="1"/>
  <c r="B132" i="18"/>
  <c r="X131" i="18"/>
  <c r="Z131" i="18" s="1"/>
  <c r="T131" i="18"/>
  <c r="P131" i="18"/>
  <c r="H131" i="18"/>
  <c r="D131" i="18"/>
  <c r="B131" i="18"/>
  <c r="X130" i="18"/>
  <c r="T130" i="18"/>
  <c r="Z130" i="18" s="1"/>
  <c r="P130" i="18"/>
  <c r="L130" i="18"/>
  <c r="N130" i="18" s="1"/>
  <c r="H130" i="18"/>
  <c r="D130" i="18"/>
  <c r="B130" i="18"/>
  <c r="Z129" i="18"/>
  <c r="X129" i="18"/>
  <c r="T129" i="18"/>
  <c r="P129" i="18"/>
  <c r="N129" i="18"/>
  <c r="H129" i="18"/>
  <c r="D129" i="18"/>
  <c r="L129" i="18" s="1"/>
  <c r="B129" i="18"/>
  <c r="T128" i="18"/>
  <c r="Z128" i="18" s="1"/>
  <c r="P128" i="18"/>
  <c r="X128" i="18" s="1"/>
  <c r="N128" i="18"/>
  <c r="L128" i="18"/>
  <c r="H128" i="18"/>
  <c r="D128" i="18"/>
  <c r="B128" i="18"/>
  <c r="T127" i="18"/>
  <c r="P127" i="18"/>
  <c r="X127" i="18" s="1"/>
  <c r="H127" i="18"/>
  <c r="D127" i="18"/>
  <c r="L127" i="18" s="1"/>
  <c r="B127" i="18"/>
  <c r="T126" i="18"/>
  <c r="P126" i="18"/>
  <c r="X126" i="18" s="1"/>
  <c r="Z126" i="18" s="1"/>
  <c r="H126" i="18"/>
  <c r="D126" i="18"/>
  <c r="L126" i="18" s="1"/>
  <c r="B126" i="18"/>
  <c r="T125" i="18"/>
  <c r="P125" i="18"/>
  <c r="H125" i="18"/>
  <c r="D125" i="18"/>
  <c r="L125" i="18" s="1"/>
  <c r="B125" i="18"/>
  <c r="Z124" i="18"/>
  <c r="X124" i="18"/>
  <c r="T124" i="18"/>
  <c r="P124" i="18"/>
  <c r="N124" i="18"/>
  <c r="L124" i="18"/>
  <c r="H124" i="18"/>
  <c r="D124" i="18"/>
  <c r="B124" i="18"/>
  <c r="Z123" i="18"/>
  <c r="T123" i="18"/>
  <c r="P123" i="18"/>
  <c r="X123" i="18" s="1"/>
  <c r="N123" i="18"/>
  <c r="H123" i="18"/>
  <c r="D123" i="18"/>
  <c r="L123" i="18" s="1"/>
  <c r="B123" i="18"/>
  <c r="T122" i="18"/>
  <c r="P122" i="18"/>
  <c r="X122" i="18" s="1"/>
  <c r="Z122" i="18" s="1"/>
  <c r="H122" i="18"/>
  <c r="N122" i="18" s="1"/>
  <c r="D122" i="18"/>
  <c r="L122" i="18" s="1"/>
  <c r="B122" i="18"/>
  <c r="T121" i="18"/>
  <c r="P121" i="18"/>
  <c r="H121" i="18"/>
  <c r="D121" i="18"/>
  <c r="L121" i="18" s="1"/>
  <c r="B121" i="18"/>
  <c r="X120" i="18"/>
  <c r="Z120" i="18" s="1"/>
  <c r="T120" i="18"/>
  <c r="P120" i="18"/>
  <c r="N120" i="18"/>
  <c r="L120" i="18"/>
  <c r="H120" i="18"/>
  <c r="D120" i="18"/>
  <c r="B120" i="18"/>
  <c r="Z119" i="18"/>
  <c r="T119" i="18"/>
  <c r="P119" i="18"/>
  <c r="X119" i="18" s="1"/>
  <c r="N119" i="18"/>
  <c r="H119" i="18"/>
  <c r="D119" i="18"/>
  <c r="L119" i="18" s="1"/>
  <c r="B119" i="18"/>
  <c r="T118" i="18"/>
  <c r="P118" i="18"/>
  <c r="X118" i="18" s="1"/>
  <c r="Z118" i="18" s="1"/>
  <c r="H118" i="18"/>
  <c r="D118" i="18"/>
  <c r="L118" i="18" s="1"/>
  <c r="B118" i="18"/>
  <c r="T117" i="18"/>
  <c r="P117" i="18"/>
  <c r="H117" i="18"/>
  <c r="N117" i="18" s="1"/>
  <c r="D117" i="18"/>
  <c r="L117" i="18" s="1"/>
  <c r="B117" i="18"/>
  <c r="X116" i="18"/>
  <c r="Z116" i="18" s="1"/>
  <c r="T116" i="18"/>
  <c r="P116" i="18"/>
  <c r="N116" i="18"/>
  <c r="L116" i="18"/>
  <c r="H116" i="18"/>
  <c r="D116" i="18"/>
  <c r="B116" i="18"/>
  <c r="T115" i="18"/>
  <c r="P115" i="18"/>
  <c r="X115" i="18" s="1"/>
  <c r="Z115" i="18" s="1"/>
  <c r="N115" i="18"/>
  <c r="H115" i="18"/>
  <c r="D115" i="18"/>
  <c r="L115" i="18" s="1"/>
  <c r="B115" i="18"/>
  <c r="T114" i="18"/>
  <c r="P114" i="18"/>
  <c r="X114" i="18" s="1"/>
  <c r="Z114" i="18" s="1"/>
  <c r="H114" i="18"/>
  <c r="D114" i="18"/>
  <c r="L114" i="18" s="1"/>
  <c r="B114" i="18"/>
  <c r="T113" i="18"/>
  <c r="P113" i="18"/>
  <c r="H113" i="18"/>
  <c r="N113" i="18" s="1"/>
  <c r="D113" i="18"/>
  <c r="L113" i="18" s="1"/>
  <c r="B113" i="18"/>
  <c r="X112" i="18"/>
  <c r="Z112" i="18" s="1"/>
  <c r="T112" i="18"/>
  <c r="P112" i="18"/>
  <c r="L112" i="18"/>
  <c r="N112" i="18" s="1"/>
  <c r="H112" i="18"/>
  <c r="D112" i="18"/>
  <c r="B112" i="18"/>
  <c r="T111" i="18"/>
  <c r="P111" i="18"/>
  <c r="X111" i="18" s="1"/>
  <c r="Z111" i="18" s="1"/>
  <c r="N111" i="18"/>
  <c r="H111" i="18"/>
  <c r="D111" i="18"/>
  <c r="L111" i="18" s="1"/>
  <c r="B111" i="18"/>
  <c r="T110" i="18"/>
  <c r="P110" i="18"/>
  <c r="X110" i="18" s="1"/>
  <c r="Z110" i="18" s="1"/>
  <c r="H110" i="18"/>
  <c r="N110" i="18" s="1"/>
  <c r="D110" i="18"/>
  <c r="L110" i="18" s="1"/>
  <c r="B110" i="18"/>
  <c r="T109" i="18"/>
  <c r="P109" i="18"/>
  <c r="H109" i="18"/>
  <c r="D109" i="18"/>
  <c r="L109" i="18" s="1"/>
  <c r="B109" i="18"/>
  <c r="Z108" i="18"/>
  <c r="X108" i="18"/>
  <c r="T108" i="18"/>
  <c r="P108" i="18"/>
  <c r="N108" i="18"/>
  <c r="L108" i="18"/>
  <c r="H108" i="18"/>
  <c r="D108" i="18"/>
  <c r="B108" i="18"/>
  <c r="T107" i="18"/>
  <c r="P107" i="18"/>
  <c r="X107" i="18" s="1"/>
  <c r="Z107" i="18" s="1"/>
  <c r="N107" i="18"/>
  <c r="H107" i="18"/>
  <c r="D107" i="18"/>
  <c r="L107" i="18" s="1"/>
  <c r="B107" i="18"/>
  <c r="T106" i="18"/>
  <c r="P106" i="18"/>
  <c r="X106" i="18" s="1"/>
  <c r="Z106" i="18" s="1"/>
  <c r="H106" i="18"/>
  <c r="D106" i="18"/>
  <c r="L106" i="18" s="1"/>
  <c r="B106" i="18"/>
  <c r="T105" i="18"/>
  <c r="P105" i="18"/>
  <c r="H105" i="18"/>
  <c r="D105" i="18"/>
  <c r="L105" i="18" s="1"/>
  <c r="B105" i="18"/>
  <c r="X104" i="18"/>
  <c r="Z104" i="18" s="1"/>
  <c r="T104" i="18"/>
  <c r="P104" i="18"/>
  <c r="L104" i="18"/>
  <c r="N104" i="18" s="1"/>
  <c r="H104" i="18"/>
  <c r="D104" i="18"/>
  <c r="B104" i="18"/>
  <c r="T103" i="18"/>
  <c r="P103" i="18"/>
  <c r="X103" i="18" s="1"/>
  <c r="Z103" i="18" s="1"/>
  <c r="H103" i="18"/>
  <c r="D103" i="18"/>
  <c r="L103" i="18" s="1"/>
  <c r="N103" i="18" s="1"/>
  <c r="B103" i="18"/>
  <c r="T102" i="18"/>
  <c r="P102" i="18"/>
  <c r="X102" i="18" s="1"/>
  <c r="Z102" i="18" s="1"/>
  <c r="H102" i="18"/>
  <c r="N102" i="18" s="1"/>
  <c r="D102" i="18"/>
  <c r="L102" i="18" s="1"/>
  <c r="B102" i="18"/>
  <c r="T101" i="18"/>
  <c r="P101" i="18"/>
  <c r="H101" i="18"/>
  <c r="D101" i="18"/>
  <c r="L101" i="18" s="1"/>
  <c r="B101" i="18"/>
  <c r="X100" i="18"/>
  <c r="Z100" i="18" s="1"/>
  <c r="T100" i="18"/>
  <c r="P100" i="18"/>
  <c r="L100" i="18"/>
  <c r="N100" i="18" s="1"/>
  <c r="H100" i="18"/>
  <c r="D100" i="18"/>
  <c r="B100" i="18"/>
  <c r="T99" i="18"/>
  <c r="P99" i="18"/>
  <c r="X99" i="18" s="1"/>
  <c r="Z99" i="18" s="1"/>
  <c r="H99" i="18"/>
  <c r="D99" i="18"/>
  <c r="L99" i="18" s="1"/>
  <c r="N99" i="18" s="1"/>
  <c r="B99" i="18"/>
  <c r="T98" i="18"/>
  <c r="P98" i="18"/>
  <c r="X98" i="18" s="1"/>
  <c r="Z98" i="18" s="1"/>
  <c r="H98" i="18"/>
  <c r="N98" i="18" s="1"/>
  <c r="D98" i="18"/>
  <c r="L98" i="18" s="1"/>
  <c r="B98" i="18"/>
  <c r="T97" i="18"/>
  <c r="P97" i="18"/>
  <c r="H97" i="18"/>
  <c r="N97" i="18" s="1"/>
  <c r="D97" i="18"/>
  <c r="L97" i="18" s="1"/>
  <c r="B97" i="18"/>
  <c r="X96" i="18"/>
  <c r="Z96" i="18" s="1"/>
  <c r="T96" i="18"/>
  <c r="P96" i="18"/>
  <c r="L96" i="18"/>
  <c r="N96" i="18" s="1"/>
  <c r="H96" i="18"/>
  <c r="D96" i="18"/>
  <c r="B96" i="18"/>
  <c r="T95" i="18"/>
  <c r="P95" i="18"/>
  <c r="X95" i="18" s="1"/>
  <c r="Z95" i="18" s="1"/>
  <c r="N95" i="18"/>
  <c r="H95" i="18"/>
  <c r="D95" i="18"/>
  <c r="L95" i="18" s="1"/>
  <c r="B95" i="18"/>
  <c r="T94" i="18"/>
  <c r="P94" i="18"/>
  <c r="X94" i="18" s="1"/>
  <c r="Z94" i="18" s="1"/>
  <c r="H94" i="18"/>
  <c r="D94" i="18"/>
  <c r="L94" i="18" s="1"/>
  <c r="B94" i="18"/>
  <c r="T93" i="18"/>
  <c r="P93" i="18"/>
  <c r="H93" i="18"/>
  <c r="D93" i="18"/>
  <c r="L93" i="18" s="1"/>
  <c r="B93" i="18"/>
  <c r="X92" i="18"/>
  <c r="Z92" i="18" s="1"/>
  <c r="T92" i="18"/>
  <c r="P92" i="18"/>
  <c r="N92" i="18"/>
  <c r="L92" i="18"/>
  <c r="H92" i="18"/>
  <c r="D92" i="18"/>
  <c r="B92" i="18"/>
  <c r="T91" i="18"/>
  <c r="P91" i="18"/>
  <c r="X91" i="18" s="1"/>
  <c r="Z91" i="18" s="1"/>
  <c r="N91" i="18"/>
  <c r="H91" i="18"/>
  <c r="D91" i="18"/>
  <c r="L91" i="18" s="1"/>
  <c r="B91" i="18"/>
  <c r="T90" i="18"/>
  <c r="Z90" i="18" s="1"/>
  <c r="P90" i="18"/>
  <c r="X90" i="18" s="1"/>
  <c r="H90" i="18"/>
  <c r="N90" i="18" s="1"/>
  <c r="D90" i="18"/>
  <c r="L90" i="18" s="1"/>
  <c r="B90" i="18"/>
  <c r="T89" i="18"/>
  <c r="P89" i="18"/>
  <c r="H89" i="18"/>
  <c r="D89" i="18"/>
  <c r="L89" i="18" s="1"/>
  <c r="B89" i="18"/>
  <c r="X88" i="18"/>
  <c r="Z88" i="18" s="1"/>
  <c r="T88" i="18"/>
  <c r="P88" i="18"/>
  <c r="N88" i="18"/>
  <c r="L88" i="18"/>
  <c r="H88" i="18"/>
  <c r="D88" i="18"/>
  <c r="B88" i="18"/>
  <c r="T87" i="18"/>
  <c r="P87" i="18"/>
  <c r="X87" i="18" s="1"/>
  <c r="Z87" i="18" s="1"/>
  <c r="N87" i="18"/>
  <c r="H87" i="18"/>
  <c r="D87" i="18"/>
  <c r="L87" i="18" s="1"/>
  <c r="B87" i="18"/>
  <c r="T86" i="18"/>
  <c r="Z86" i="18" s="1"/>
  <c r="P86" i="18"/>
  <c r="X86" i="18" s="1"/>
  <c r="H86" i="18"/>
  <c r="D86" i="18"/>
  <c r="L86" i="18" s="1"/>
  <c r="B86" i="18"/>
  <c r="T85" i="18"/>
  <c r="P85" i="18"/>
  <c r="H85" i="18"/>
  <c r="D85" i="18"/>
  <c r="B85" i="18"/>
  <c r="X84" i="18"/>
  <c r="Z84" i="18" s="1"/>
  <c r="T84" i="18"/>
  <c r="P84" i="18"/>
  <c r="L84" i="18"/>
  <c r="N84" i="18" s="1"/>
  <c r="H84" i="18"/>
  <c r="D84" i="18"/>
  <c r="B84" i="18"/>
  <c r="T83" i="18"/>
  <c r="P83" i="18"/>
  <c r="X83" i="18" s="1"/>
  <c r="Z83" i="18" s="1"/>
  <c r="N83" i="18"/>
  <c r="H83" i="18"/>
  <c r="D83" i="18"/>
  <c r="L83" i="18" s="1"/>
  <c r="B83" i="18"/>
  <c r="T82" i="18"/>
  <c r="Z82" i="18" s="1"/>
  <c r="P82" i="18"/>
  <c r="X82" i="18" s="1"/>
  <c r="H82" i="18"/>
  <c r="N82" i="18" s="1"/>
  <c r="D82" i="18"/>
  <c r="L82" i="18" s="1"/>
  <c r="B82" i="18"/>
  <c r="T81" i="18"/>
  <c r="P81" i="18"/>
  <c r="H81" i="18"/>
  <c r="D81" i="18"/>
  <c r="B81" i="18"/>
  <c r="X80" i="18"/>
  <c r="Z80" i="18" s="1"/>
  <c r="T80" i="18"/>
  <c r="P80" i="18"/>
  <c r="N80" i="18"/>
  <c r="L80" i="18"/>
  <c r="H80" i="18"/>
  <c r="D80" i="18"/>
  <c r="B80" i="18"/>
  <c r="T79" i="18"/>
  <c r="P79" i="18"/>
  <c r="X79" i="18" s="1"/>
  <c r="Z79" i="18" s="1"/>
  <c r="N79" i="18"/>
  <c r="H79" i="18"/>
  <c r="D79" i="18"/>
  <c r="L79" i="18" s="1"/>
  <c r="B79" i="18"/>
  <c r="T78" i="18"/>
  <c r="Z78" i="18" s="1"/>
  <c r="P78" i="18"/>
  <c r="X78" i="18" s="1"/>
  <c r="H78" i="18"/>
  <c r="N78" i="18" s="1"/>
  <c r="D78" i="18"/>
  <c r="L78" i="18" s="1"/>
  <c r="B78" i="18"/>
  <c r="T77" i="18"/>
  <c r="P77" i="18"/>
  <c r="H77" i="18"/>
  <c r="D77" i="18"/>
  <c r="B77" i="18"/>
  <c r="X76" i="18"/>
  <c r="Z76" i="18" s="1"/>
  <c r="T76" i="18"/>
  <c r="P76" i="18"/>
  <c r="L76" i="18"/>
  <c r="N76" i="18" s="1"/>
  <c r="H76" i="18"/>
  <c r="D76" i="18"/>
  <c r="B76" i="18"/>
  <c r="T75" i="18"/>
  <c r="P75" i="18"/>
  <c r="X75" i="18" s="1"/>
  <c r="Z75" i="18" s="1"/>
  <c r="H75" i="18"/>
  <c r="D75" i="18"/>
  <c r="L75" i="18" s="1"/>
  <c r="N75" i="18" s="1"/>
  <c r="B75" i="18"/>
  <c r="T74" i="18"/>
  <c r="P74" i="18"/>
  <c r="X74" i="18" s="1"/>
  <c r="H74" i="18"/>
  <c r="N74" i="18" s="1"/>
  <c r="D74" i="18"/>
  <c r="L74" i="18" s="1"/>
  <c r="B74" i="18"/>
  <c r="T73" i="18"/>
  <c r="P73" i="18"/>
  <c r="H73" i="18"/>
  <c r="D73" i="18"/>
  <c r="B73" i="18"/>
  <c r="Z72" i="18"/>
  <c r="X72" i="18"/>
  <c r="T72" i="18"/>
  <c r="P72" i="18"/>
  <c r="N72" i="18"/>
  <c r="L72" i="18"/>
  <c r="H72" i="18"/>
  <c r="D72" i="18"/>
  <c r="B72" i="18"/>
  <c r="T71" i="18"/>
  <c r="P71" i="18"/>
  <c r="X71" i="18" s="1"/>
  <c r="Z71" i="18" s="1"/>
  <c r="N71" i="18"/>
  <c r="H71" i="18"/>
  <c r="D71" i="18"/>
  <c r="L71" i="18" s="1"/>
  <c r="B71" i="18"/>
  <c r="T70" i="18"/>
  <c r="Z70" i="18" s="1"/>
  <c r="P70" i="18"/>
  <c r="X70" i="18" s="1"/>
  <c r="H70" i="18"/>
  <c r="N70" i="18" s="1"/>
  <c r="D70" i="18"/>
  <c r="L70" i="18" s="1"/>
  <c r="B70" i="18"/>
  <c r="T69" i="18"/>
  <c r="P69" i="18"/>
  <c r="H69" i="18"/>
  <c r="D69" i="18"/>
  <c r="B69" i="18"/>
  <c r="X68" i="18"/>
  <c r="Z68" i="18" s="1"/>
  <c r="T68" i="18"/>
  <c r="P68" i="18"/>
  <c r="L68" i="18"/>
  <c r="N68" i="18" s="1"/>
  <c r="H68" i="18"/>
  <c r="D68" i="18"/>
  <c r="B68" i="18"/>
  <c r="T67" i="18"/>
  <c r="P67" i="18"/>
  <c r="X67" i="18" s="1"/>
  <c r="Z67" i="18" s="1"/>
  <c r="H67" i="18"/>
  <c r="D67" i="18"/>
  <c r="L67" i="18" s="1"/>
  <c r="N67" i="18" s="1"/>
  <c r="B67" i="18"/>
  <c r="T66" i="18"/>
  <c r="P66" i="18"/>
  <c r="X66" i="18" s="1"/>
  <c r="H66" i="18"/>
  <c r="N66" i="18" s="1"/>
  <c r="D66" i="18"/>
  <c r="L66" i="18" s="1"/>
  <c r="B66" i="18"/>
  <c r="T65" i="18"/>
  <c r="P65" i="18"/>
  <c r="H65" i="18"/>
  <c r="D65" i="18"/>
  <c r="B65" i="18"/>
  <c r="X64" i="18"/>
  <c r="Z64" i="18" s="1"/>
  <c r="T64" i="18"/>
  <c r="P64" i="18"/>
  <c r="L64" i="18"/>
  <c r="N64" i="18" s="1"/>
  <c r="H64" i="18"/>
  <c r="D64" i="18"/>
  <c r="B64" i="18"/>
  <c r="T63" i="18"/>
  <c r="P63" i="18"/>
  <c r="X63" i="18" s="1"/>
  <c r="Z63" i="18" s="1"/>
  <c r="N63" i="18"/>
  <c r="H63" i="18"/>
  <c r="D63" i="18"/>
  <c r="L63" i="18" s="1"/>
  <c r="B63" i="18"/>
  <c r="T62" i="18"/>
  <c r="P62" i="18"/>
  <c r="X62" i="18" s="1"/>
  <c r="H62" i="18"/>
  <c r="N62" i="18" s="1"/>
  <c r="D62" i="18"/>
  <c r="L62" i="18" s="1"/>
  <c r="B62" i="18"/>
  <c r="T61" i="18"/>
  <c r="P61" i="18"/>
  <c r="H61" i="18"/>
  <c r="D61" i="18"/>
  <c r="B61" i="18"/>
  <c r="X60" i="18"/>
  <c r="Z60" i="18" s="1"/>
  <c r="T60" i="18"/>
  <c r="P60" i="18"/>
  <c r="L60" i="18"/>
  <c r="N60" i="18" s="1"/>
  <c r="H60" i="18"/>
  <c r="D60" i="18"/>
  <c r="B60" i="18"/>
  <c r="T59" i="18"/>
  <c r="P59" i="18"/>
  <c r="X59" i="18" s="1"/>
  <c r="Z59" i="18" s="1"/>
  <c r="N59" i="18"/>
  <c r="H59" i="18"/>
  <c r="D59" i="18"/>
  <c r="L59" i="18" s="1"/>
  <c r="B59" i="18"/>
  <c r="T58" i="18"/>
  <c r="Z58" i="18" s="1"/>
  <c r="P58" i="18"/>
  <c r="X58" i="18" s="1"/>
  <c r="H58" i="18"/>
  <c r="N58" i="18" s="1"/>
  <c r="D58" i="18"/>
  <c r="L58" i="18" s="1"/>
  <c r="B58" i="18"/>
  <c r="T57" i="18"/>
  <c r="P57" i="18"/>
  <c r="H57" i="18"/>
  <c r="D57" i="18"/>
  <c r="B57" i="18"/>
  <c r="X56" i="18"/>
  <c r="Z56" i="18" s="1"/>
  <c r="T56" i="18"/>
  <c r="P56" i="18"/>
  <c r="L56" i="18"/>
  <c r="N56" i="18" s="1"/>
  <c r="H56" i="18"/>
  <c r="D56" i="18"/>
  <c r="B56" i="18"/>
  <c r="T55" i="18"/>
  <c r="P55" i="18"/>
  <c r="X55" i="18" s="1"/>
  <c r="Z55" i="18" s="1"/>
  <c r="H55" i="18"/>
  <c r="D55" i="18"/>
  <c r="L55" i="18" s="1"/>
  <c r="N55" i="18" s="1"/>
  <c r="B55" i="18"/>
  <c r="T54" i="18"/>
  <c r="P54" i="18"/>
  <c r="X54" i="18" s="1"/>
  <c r="H54" i="18"/>
  <c r="N54" i="18" s="1"/>
  <c r="D54" i="18"/>
  <c r="L54" i="18" s="1"/>
  <c r="B54" i="18"/>
  <c r="T53" i="18"/>
  <c r="P53" i="18"/>
  <c r="H53" i="18"/>
  <c r="D53" i="18"/>
  <c r="B53" i="18"/>
  <c r="X52" i="18"/>
  <c r="Z52" i="18" s="1"/>
  <c r="T52" i="18"/>
  <c r="P52" i="18"/>
  <c r="L52" i="18"/>
  <c r="N52" i="18" s="1"/>
  <c r="H52" i="18"/>
  <c r="D52" i="18"/>
  <c r="B52" i="18"/>
  <c r="T51" i="18"/>
  <c r="P51" i="18"/>
  <c r="X51" i="18" s="1"/>
  <c r="Z51" i="18" s="1"/>
  <c r="H51" i="18"/>
  <c r="D51" i="18"/>
  <c r="L51" i="18" s="1"/>
  <c r="N51" i="18" s="1"/>
  <c r="B51" i="18"/>
  <c r="T50" i="18"/>
  <c r="Z50" i="18" s="1"/>
  <c r="P50" i="18"/>
  <c r="X50" i="18" s="1"/>
  <c r="H50" i="18"/>
  <c r="N50" i="18" s="1"/>
  <c r="D50" i="18"/>
  <c r="L50" i="18" s="1"/>
  <c r="B50" i="18"/>
  <c r="T49" i="18"/>
  <c r="P49" i="18"/>
  <c r="H49" i="18"/>
  <c r="D49" i="18"/>
  <c r="B49" i="18"/>
  <c r="X48" i="18"/>
  <c r="Z48" i="18" s="1"/>
  <c r="T48" i="18"/>
  <c r="P48" i="18"/>
  <c r="N48" i="18"/>
  <c r="L48" i="18"/>
  <c r="H48" i="18"/>
  <c r="D48" i="18"/>
  <c r="B48" i="18"/>
  <c r="T47" i="18"/>
  <c r="P47" i="18"/>
  <c r="X47" i="18" s="1"/>
  <c r="Z47" i="18" s="1"/>
  <c r="H47" i="18"/>
  <c r="D47" i="18"/>
  <c r="L47" i="18" s="1"/>
  <c r="N47" i="18" s="1"/>
  <c r="B47" i="18"/>
  <c r="T46" i="18"/>
  <c r="Z46" i="18" s="1"/>
  <c r="P46" i="18"/>
  <c r="X46" i="18" s="1"/>
  <c r="H46" i="18"/>
  <c r="N46" i="18" s="1"/>
  <c r="D46" i="18"/>
  <c r="L46" i="18" s="1"/>
  <c r="B46" i="18"/>
  <c r="T45" i="18"/>
  <c r="P45" i="18"/>
  <c r="H45" i="18"/>
  <c r="D45" i="18"/>
  <c r="B45" i="18"/>
  <c r="X44" i="18"/>
  <c r="Z44" i="18" s="1"/>
  <c r="T44" i="18"/>
  <c r="P44" i="18"/>
  <c r="L44" i="18"/>
  <c r="N44" i="18" s="1"/>
  <c r="H44" i="18"/>
  <c r="D44" i="18"/>
  <c r="B44" i="18"/>
  <c r="T43" i="18"/>
  <c r="P43" i="18"/>
  <c r="X43" i="18" s="1"/>
  <c r="Z43" i="18" s="1"/>
  <c r="N43" i="18"/>
  <c r="H43" i="18"/>
  <c r="D43" i="18"/>
  <c r="L43" i="18" s="1"/>
  <c r="B43" i="18"/>
  <c r="T42" i="18"/>
  <c r="P42" i="18"/>
  <c r="X42" i="18" s="1"/>
  <c r="H42" i="18"/>
  <c r="D42" i="18"/>
  <c r="L42" i="18" s="1"/>
  <c r="B42" i="18"/>
  <c r="T41" i="18"/>
  <c r="P41" i="18"/>
  <c r="H41" i="18"/>
  <c r="D41" i="18"/>
  <c r="B41" i="18"/>
  <c r="X40" i="18"/>
  <c r="Z40" i="18" s="1"/>
  <c r="T40" i="18"/>
  <c r="P40" i="18"/>
  <c r="L40" i="18"/>
  <c r="N40" i="18" s="1"/>
  <c r="H40" i="18"/>
  <c r="D40" i="18"/>
  <c r="B40" i="18"/>
  <c r="T39" i="18"/>
  <c r="P39" i="18"/>
  <c r="X39" i="18" s="1"/>
  <c r="Z39" i="18" s="1"/>
  <c r="N39" i="18"/>
  <c r="H39" i="18"/>
  <c r="D39" i="18"/>
  <c r="L39" i="18" s="1"/>
  <c r="B39" i="18"/>
  <c r="T38" i="18"/>
  <c r="Z38" i="18" s="1"/>
  <c r="P38" i="18"/>
  <c r="X38" i="18" s="1"/>
  <c r="H38" i="18"/>
  <c r="N38" i="18" s="1"/>
  <c r="D38" i="18"/>
  <c r="L38" i="18" s="1"/>
  <c r="B38" i="18"/>
  <c r="T37" i="18"/>
  <c r="P37" i="18"/>
  <c r="H37" i="18"/>
  <c r="D37" i="18"/>
  <c r="B37" i="18"/>
  <c r="X36" i="18"/>
  <c r="Z36" i="18" s="1"/>
  <c r="T36" i="18"/>
  <c r="P36" i="18"/>
  <c r="L36" i="18"/>
  <c r="N36" i="18" s="1"/>
  <c r="H36" i="18"/>
  <c r="D36" i="18"/>
  <c r="B36" i="18"/>
  <c r="T35" i="18"/>
  <c r="P35" i="18"/>
  <c r="X35" i="18" s="1"/>
  <c r="Z35" i="18" s="1"/>
  <c r="N35" i="18"/>
  <c r="H35" i="18"/>
  <c r="D35" i="18"/>
  <c r="L35" i="18" s="1"/>
  <c r="B35" i="18"/>
  <c r="T34" i="18"/>
  <c r="P34" i="18"/>
  <c r="X34" i="18" s="1"/>
  <c r="H34" i="18"/>
  <c r="D34" i="18"/>
  <c r="L34" i="18" s="1"/>
  <c r="B34" i="18"/>
  <c r="T33" i="18"/>
  <c r="P33" i="18"/>
  <c r="H33" i="18"/>
  <c r="D33" i="18"/>
  <c r="B33" i="18"/>
  <c r="X32" i="18"/>
  <c r="Z32" i="18" s="1"/>
  <c r="T32" i="18"/>
  <c r="P32" i="18"/>
  <c r="L32" i="18"/>
  <c r="N32" i="18" s="1"/>
  <c r="H32" i="18"/>
  <c r="D32" i="18"/>
  <c r="B32" i="18"/>
  <c r="T31" i="18"/>
  <c r="P31" i="18"/>
  <c r="X31" i="18" s="1"/>
  <c r="Z31" i="18" s="1"/>
  <c r="H31" i="18"/>
  <c r="D31" i="18"/>
  <c r="L31" i="18" s="1"/>
  <c r="N31" i="18" s="1"/>
  <c r="B31" i="18"/>
  <c r="T30" i="18"/>
  <c r="P30" i="18"/>
  <c r="X30" i="18" s="1"/>
  <c r="H30" i="18"/>
  <c r="N30" i="18" s="1"/>
  <c r="D30" i="18"/>
  <c r="L30" i="18" s="1"/>
  <c r="B30" i="18"/>
  <c r="T29" i="18"/>
  <c r="P29" i="18"/>
  <c r="H29" i="18"/>
  <c r="D29" i="18"/>
  <c r="B29" i="18"/>
  <c r="X28" i="18"/>
  <c r="Z28" i="18" s="1"/>
  <c r="T28" i="18"/>
  <c r="P28" i="18"/>
  <c r="L28" i="18"/>
  <c r="N28" i="18" s="1"/>
  <c r="H28" i="18"/>
  <c r="D28" i="18"/>
  <c r="B28" i="18"/>
  <c r="T27" i="18"/>
  <c r="P27" i="18"/>
  <c r="X27" i="18" s="1"/>
  <c r="Z27" i="18" s="1"/>
  <c r="H27" i="18"/>
  <c r="D27" i="18"/>
  <c r="L27" i="18" s="1"/>
  <c r="N27" i="18" s="1"/>
  <c r="B27" i="18"/>
  <c r="T26" i="18"/>
  <c r="Z26" i="18" s="1"/>
  <c r="P26" i="18"/>
  <c r="X26" i="18" s="1"/>
  <c r="H26" i="18"/>
  <c r="D26" i="18"/>
  <c r="L26" i="18" s="1"/>
  <c r="B26" i="18"/>
  <c r="T25" i="18"/>
  <c r="P25" i="18"/>
  <c r="H25" i="18"/>
  <c r="D25" i="18"/>
  <c r="B25" i="18"/>
  <c r="X24" i="18"/>
  <c r="Z24" i="18" s="1"/>
  <c r="T24" i="18"/>
  <c r="P24" i="18"/>
  <c r="L24" i="18"/>
  <c r="N24" i="18" s="1"/>
  <c r="H24" i="18"/>
  <c r="D24" i="18"/>
  <c r="B24" i="18"/>
  <c r="T23" i="18"/>
  <c r="P23" i="18"/>
  <c r="X23" i="18" s="1"/>
  <c r="Z23" i="18" s="1"/>
  <c r="N23" i="18"/>
  <c r="H23" i="18"/>
  <c r="D23" i="18"/>
  <c r="L23" i="18" s="1"/>
  <c r="B23" i="18"/>
  <c r="T22" i="18"/>
  <c r="Z22" i="18" s="1"/>
  <c r="P22" i="18"/>
  <c r="X22" i="18" s="1"/>
  <c r="H22" i="18"/>
  <c r="D22" i="18"/>
  <c r="L22" i="18" s="1"/>
  <c r="B22" i="18"/>
  <c r="T21" i="18"/>
  <c r="P21" i="18"/>
  <c r="H21" i="18"/>
  <c r="D21" i="18"/>
  <c r="B21" i="18"/>
  <c r="X20" i="18"/>
  <c r="Z20" i="18" s="1"/>
  <c r="T20" i="18"/>
  <c r="P20" i="18"/>
  <c r="L20" i="18"/>
  <c r="N20" i="18" s="1"/>
  <c r="H20" i="18"/>
  <c r="D20" i="18"/>
  <c r="B20" i="18"/>
  <c r="T19" i="18"/>
  <c r="P19" i="18"/>
  <c r="X19" i="18" s="1"/>
  <c r="Z19" i="18" s="1"/>
  <c r="N19" i="18"/>
  <c r="H19" i="18"/>
  <c r="D19" i="18"/>
  <c r="L19" i="18" s="1"/>
  <c r="B19" i="18"/>
  <c r="T18" i="18"/>
  <c r="Z18" i="18" s="1"/>
  <c r="P18" i="18"/>
  <c r="X18" i="18" s="1"/>
  <c r="H18" i="18"/>
  <c r="N18" i="18" s="1"/>
  <c r="D18" i="18"/>
  <c r="L18" i="18" s="1"/>
  <c r="B18" i="18"/>
  <c r="T17" i="18"/>
  <c r="P17" i="18"/>
  <c r="H17" i="18"/>
  <c r="N17" i="18" s="1"/>
  <c r="D17" i="18"/>
  <c r="B17" i="18"/>
  <c r="X16" i="18"/>
  <c r="Z16" i="18" s="1"/>
  <c r="T16" i="18"/>
  <c r="P16" i="18"/>
  <c r="N16" i="18"/>
  <c r="L16" i="18"/>
  <c r="H16" i="18"/>
  <c r="D16" i="18"/>
  <c r="B16" i="18"/>
  <c r="T15" i="18"/>
  <c r="P15" i="18"/>
  <c r="X15" i="18" s="1"/>
  <c r="Z15" i="18" s="1"/>
  <c r="N15" i="18"/>
  <c r="H15" i="18"/>
  <c r="D15" i="18"/>
  <c r="L15" i="18" s="1"/>
  <c r="B15" i="18"/>
  <c r="T14" i="18"/>
  <c r="Z14" i="18" s="1"/>
  <c r="P14" i="18"/>
  <c r="X14" i="18" s="1"/>
  <c r="H14" i="18"/>
  <c r="N14" i="18" s="1"/>
  <c r="D14" i="18"/>
  <c r="L14" i="18" s="1"/>
  <c r="B14" i="18"/>
  <c r="T13" i="18"/>
  <c r="Z13" i="18" s="1"/>
  <c r="P13" i="18"/>
  <c r="H13" i="18"/>
  <c r="H12" i="18" s="1"/>
  <c r="J138" i="18" s="1"/>
  <c r="D13" i="18"/>
  <c r="B13" i="18"/>
  <c r="D4" i="18"/>
  <c r="Z272" i="15"/>
  <c r="X272" i="15"/>
  <c r="L272" i="15"/>
  <c r="N272" i="15" s="1"/>
  <c r="X268" i="15"/>
  <c r="T268" i="15"/>
  <c r="Z268" i="15" s="1"/>
  <c r="P268" i="15"/>
  <c r="N268" i="15"/>
  <c r="H268" i="15"/>
  <c r="D268" i="15"/>
  <c r="L268" i="15" s="1"/>
  <c r="B268" i="15"/>
  <c r="T267" i="15"/>
  <c r="P267" i="15"/>
  <c r="H267" i="15"/>
  <c r="N267" i="15" s="1"/>
  <c r="D267" i="15"/>
  <c r="L267" i="15" s="1"/>
  <c r="B267" i="15"/>
  <c r="T266" i="15"/>
  <c r="P266" i="15"/>
  <c r="X266" i="15" s="1"/>
  <c r="Z266" i="15" s="1"/>
  <c r="H266" i="15"/>
  <c r="N266" i="15" s="1"/>
  <c r="D266" i="15"/>
  <c r="L266" i="15" s="1"/>
  <c r="B266" i="15"/>
  <c r="T265" i="15"/>
  <c r="P265" i="15"/>
  <c r="H265" i="15"/>
  <c r="D265" i="15"/>
  <c r="L265" i="15" s="1"/>
  <c r="N265" i="15" s="1"/>
  <c r="B265" i="15"/>
  <c r="T264" i="15"/>
  <c r="P264" i="15"/>
  <c r="X264" i="15" s="1"/>
  <c r="Z264" i="15" s="1"/>
  <c r="H264" i="15"/>
  <c r="L264" i="15" s="1"/>
  <c r="N264" i="15" s="1"/>
  <c r="D264" i="15"/>
  <c r="B264" i="15"/>
  <c r="X263" i="15"/>
  <c r="Z263" i="15" s="1"/>
  <c r="T263" i="15"/>
  <c r="P263" i="15"/>
  <c r="H263" i="15"/>
  <c r="D263" i="15"/>
  <c r="L263" i="15" s="1"/>
  <c r="B263" i="15"/>
  <c r="Z262" i="15"/>
  <c r="T262" i="15"/>
  <c r="P262" i="15"/>
  <c r="X262" i="15" s="1"/>
  <c r="L262" i="15"/>
  <c r="H262" i="15"/>
  <c r="N262" i="15" s="1"/>
  <c r="D262" i="15"/>
  <c r="B262" i="15"/>
  <c r="T261" i="15"/>
  <c r="Z261" i="15" s="1"/>
  <c r="P261" i="15"/>
  <c r="X261" i="15" s="1"/>
  <c r="H261" i="15"/>
  <c r="N261" i="15" s="1"/>
  <c r="D261" i="15"/>
  <c r="L261" i="15" s="1"/>
  <c r="B261" i="15"/>
  <c r="T260" i="15"/>
  <c r="Z260" i="15" s="1"/>
  <c r="P260" i="15"/>
  <c r="X260" i="15" s="1"/>
  <c r="H260" i="15"/>
  <c r="D260" i="15"/>
  <c r="B260" i="15"/>
  <c r="H259" i="15"/>
  <c r="X257" i="15"/>
  <c r="Z257" i="15" s="1"/>
  <c r="L257" i="15"/>
  <c r="N257" i="15" s="1"/>
  <c r="B257" i="15"/>
  <c r="Z256" i="15"/>
  <c r="T256" i="15"/>
  <c r="P256" i="15"/>
  <c r="X256" i="15" s="1"/>
  <c r="L256" i="15"/>
  <c r="H256" i="15"/>
  <c r="N256" i="15" s="1"/>
  <c r="D256" i="15"/>
  <c r="B256" i="15"/>
  <c r="Z255" i="15"/>
  <c r="X255" i="15"/>
  <c r="N255" i="15"/>
  <c r="L255" i="15"/>
  <c r="B255" i="15"/>
  <c r="Z254" i="15"/>
  <c r="X254" i="15"/>
  <c r="L254" i="15"/>
  <c r="N254" i="15" s="1"/>
  <c r="B254" i="15"/>
  <c r="X253" i="15"/>
  <c r="Z253" i="15" s="1"/>
  <c r="L253" i="15"/>
  <c r="N253" i="15" s="1"/>
  <c r="B253" i="15"/>
  <c r="T252" i="15"/>
  <c r="X252" i="15" s="1"/>
  <c r="Z252" i="15" s="1"/>
  <c r="P252" i="15"/>
  <c r="H252" i="15"/>
  <c r="D252" i="15"/>
  <c r="L252" i="15" s="1"/>
  <c r="N252" i="15" s="1"/>
  <c r="B252" i="15"/>
  <c r="Z251" i="15"/>
  <c r="X251" i="15"/>
  <c r="L251" i="15"/>
  <c r="N251" i="15" s="1"/>
  <c r="B251" i="15"/>
  <c r="T250" i="15"/>
  <c r="Z250" i="15" s="1"/>
  <c r="P250" i="15"/>
  <c r="X250" i="15" s="1"/>
  <c r="H250" i="15"/>
  <c r="D250" i="15"/>
  <c r="L250" i="15" s="1"/>
  <c r="N250" i="15" s="1"/>
  <c r="B250" i="15"/>
  <c r="X249" i="15"/>
  <c r="Z249" i="15" s="1"/>
  <c r="L249" i="15"/>
  <c r="N249" i="15" s="1"/>
  <c r="B249" i="15"/>
  <c r="Z248" i="15"/>
  <c r="X248" i="15"/>
  <c r="N248" i="15"/>
  <c r="L248" i="15"/>
  <c r="B248" i="15"/>
  <c r="T247" i="15"/>
  <c r="P247" i="15"/>
  <c r="H247" i="15"/>
  <c r="D247" i="15"/>
  <c r="L247" i="15" s="1"/>
  <c r="N247" i="15" s="1"/>
  <c r="B247" i="15"/>
  <c r="Z246" i="15"/>
  <c r="X246" i="15"/>
  <c r="N246" i="15"/>
  <c r="L246" i="15"/>
  <c r="B246" i="15"/>
  <c r="X245" i="15"/>
  <c r="Z245" i="15" s="1"/>
  <c r="L245" i="15"/>
  <c r="N245" i="15" s="1"/>
  <c r="B245" i="15"/>
  <c r="Z244" i="15"/>
  <c r="X244" i="15"/>
  <c r="N244" i="15"/>
  <c r="L244" i="15"/>
  <c r="B244" i="15"/>
  <c r="Z243" i="15"/>
  <c r="X243" i="15"/>
  <c r="N243" i="15"/>
  <c r="L243" i="15"/>
  <c r="B243" i="15"/>
  <c r="Z242" i="15"/>
  <c r="X242" i="15"/>
  <c r="L242" i="15"/>
  <c r="N242" i="15" s="1"/>
  <c r="B242" i="15"/>
  <c r="X241" i="15"/>
  <c r="Z241" i="15" s="1"/>
  <c r="L241" i="15"/>
  <c r="N241" i="15" s="1"/>
  <c r="B241" i="15"/>
  <c r="Z240" i="15"/>
  <c r="X240" i="15"/>
  <c r="N240" i="15"/>
  <c r="L240" i="15"/>
  <c r="B240" i="15"/>
  <c r="T239" i="15"/>
  <c r="P239" i="15"/>
  <c r="X239" i="15" s="1"/>
  <c r="H239" i="15"/>
  <c r="N239" i="15" s="1"/>
  <c r="D239" i="15"/>
  <c r="L239" i="15" s="1"/>
  <c r="B239" i="15"/>
  <c r="X238" i="15"/>
  <c r="Z238" i="15" s="1"/>
  <c r="L238" i="15"/>
  <c r="N238" i="15" s="1"/>
  <c r="B238" i="15"/>
  <c r="X237" i="15"/>
  <c r="Z237" i="15" s="1"/>
  <c r="L237" i="15"/>
  <c r="N237" i="15" s="1"/>
  <c r="B237" i="15"/>
  <c r="T236" i="15"/>
  <c r="P236" i="15"/>
  <c r="X236" i="15" s="1"/>
  <c r="Z236" i="15" s="1"/>
  <c r="H236" i="15"/>
  <c r="N236" i="15" s="1"/>
  <c r="D236" i="15"/>
  <c r="L236" i="15" s="1"/>
  <c r="B236" i="15"/>
  <c r="X235" i="15"/>
  <c r="Z235" i="15" s="1"/>
  <c r="N235" i="15"/>
  <c r="L235" i="15"/>
  <c r="B235" i="15"/>
  <c r="X234" i="15"/>
  <c r="Z234" i="15" s="1"/>
  <c r="N234" i="15"/>
  <c r="L234" i="15"/>
  <c r="B234" i="15"/>
  <c r="X233" i="15"/>
  <c r="Z233" i="15" s="1"/>
  <c r="L233" i="15"/>
  <c r="N233" i="15" s="1"/>
  <c r="B233" i="15"/>
  <c r="Z232" i="15"/>
  <c r="X232" i="15"/>
  <c r="N232" i="15"/>
  <c r="L232" i="15"/>
  <c r="B232" i="15"/>
  <c r="T231" i="15"/>
  <c r="P231" i="15"/>
  <c r="H231" i="15"/>
  <c r="D231" i="15"/>
  <c r="L231" i="15" s="1"/>
  <c r="N231" i="15" s="1"/>
  <c r="B231" i="15"/>
  <c r="Z230" i="15"/>
  <c r="X230" i="15"/>
  <c r="L230" i="15"/>
  <c r="N230" i="15" s="1"/>
  <c r="B230" i="15"/>
  <c r="X229" i="15"/>
  <c r="Z229" i="15" s="1"/>
  <c r="L229" i="15"/>
  <c r="N229" i="15" s="1"/>
  <c r="B229" i="15"/>
  <c r="Z228" i="15"/>
  <c r="X228" i="15"/>
  <c r="N228" i="15"/>
  <c r="L228" i="15"/>
  <c r="B228" i="15"/>
  <c r="T227" i="15"/>
  <c r="P227" i="15"/>
  <c r="X227" i="15" s="1"/>
  <c r="H227" i="15"/>
  <c r="N227" i="15" s="1"/>
  <c r="D227" i="15"/>
  <c r="L227" i="15" s="1"/>
  <c r="B227" i="15"/>
  <c r="X226" i="15"/>
  <c r="Z226" i="15" s="1"/>
  <c r="L226" i="15"/>
  <c r="N226" i="15" s="1"/>
  <c r="B226" i="15"/>
  <c r="X225" i="15"/>
  <c r="Z225" i="15" s="1"/>
  <c r="L225" i="15"/>
  <c r="N225" i="15" s="1"/>
  <c r="B225" i="15"/>
  <c r="Z224" i="15"/>
  <c r="X224" i="15"/>
  <c r="N224" i="15"/>
  <c r="L224" i="15"/>
  <c r="B224" i="15"/>
  <c r="Z223" i="15"/>
  <c r="X223" i="15"/>
  <c r="L223" i="15"/>
  <c r="N223" i="15" s="1"/>
  <c r="B223" i="15"/>
  <c r="T222" i="15"/>
  <c r="Z222" i="15" s="1"/>
  <c r="P222" i="15"/>
  <c r="X222" i="15" s="1"/>
  <c r="H222" i="15"/>
  <c r="D222" i="15"/>
  <c r="L222" i="15" s="1"/>
  <c r="N222" i="15" s="1"/>
  <c r="B222" i="15"/>
  <c r="X221" i="15"/>
  <c r="Z221" i="15" s="1"/>
  <c r="L221" i="15"/>
  <c r="N221" i="15" s="1"/>
  <c r="B221" i="15"/>
  <c r="Z220" i="15"/>
  <c r="T220" i="15"/>
  <c r="P220" i="15"/>
  <c r="X220" i="15" s="1"/>
  <c r="L220" i="15"/>
  <c r="N220" i="15" s="1"/>
  <c r="H220" i="15"/>
  <c r="D220" i="15"/>
  <c r="B220" i="15"/>
  <c r="Z219" i="15"/>
  <c r="X219" i="15"/>
  <c r="N219" i="15"/>
  <c r="L219" i="15"/>
  <c r="B219" i="15"/>
  <c r="T218" i="15"/>
  <c r="P218" i="15"/>
  <c r="X218" i="15" s="1"/>
  <c r="Z218" i="15" s="1"/>
  <c r="N218" i="15"/>
  <c r="H218" i="15"/>
  <c r="L218" i="15" s="1"/>
  <c r="D218" i="15"/>
  <c r="B218" i="15"/>
  <c r="X217" i="15"/>
  <c r="Z217" i="15" s="1"/>
  <c r="L217" i="15"/>
  <c r="N217" i="15" s="1"/>
  <c r="B217" i="15"/>
  <c r="T216" i="15"/>
  <c r="P216" i="15"/>
  <c r="X216" i="15" s="1"/>
  <c r="Z216" i="15" s="1"/>
  <c r="H216" i="15"/>
  <c r="D216" i="15"/>
  <c r="L216" i="15" s="1"/>
  <c r="B216" i="15"/>
  <c r="X215" i="15"/>
  <c r="Z215" i="15" s="1"/>
  <c r="N215" i="15"/>
  <c r="L215" i="15"/>
  <c r="B215" i="15"/>
  <c r="X214" i="15"/>
  <c r="T214" i="15"/>
  <c r="Z214" i="15" s="1"/>
  <c r="P214" i="15"/>
  <c r="N214" i="15"/>
  <c r="H214" i="15"/>
  <c r="D214" i="15"/>
  <c r="L214" i="15" s="1"/>
  <c r="B214" i="15"/>
  <c r="X213" i="15"/>
  <c r="Z213" i="15" s="1"/>
  <c r="L213" i="15"/>
  <c r="N213" i="15" s="1"/>
  <c r="B213" i="15"/>
  <c r="T212" i="15"/>
  <c r="X212" i="15" s="1"/>
  <c r="Z212" i="15" s="1"/>
  <c r="P212" i="15"/>
  <c r="H212" i="15"/>
  <c r="D212" i="15"/>
  <c r="L212" i="15" s="1"/>
  <c r="N212" i="15" s="1"/>
  <c r="B212" i="15"/>
  <c r="Z211" i="15"/>
  <c r="X211" i="15"/>
  <c r="L211" i="15"/>
  <c r="N211" i="15" s="1"/>
  <c r="B211" i="15"/>
  <c r="X210" i="15"/>
  <c r="Z210" i="15" s="1"/>
  <c r="L210" i="15"/>
  <c r="N210" i="15" s="1"/>
  <c r="B210" i="15"/>
  <c r="X209" i="15"/>
  <c r="Z209" i="15" s="1"/>
  <c r="T209" i="15"/>
  <c r="P209" i="15"/>
  <c r="H209" i="15"/>
  <c r="N209" i="15" s="1"/>
  <c r="D209" i="15"/>
  <c r="L209" i="15" s="1"/>
  <c r="B209" i="15"/>
  <c r="Z208" i="15"/>
  <c r="X208" i="15"/>
  <c r="N208" i="15"/>
  <c r="L208" i="15"/>
  <c r="B208" i="15"/>
  <c r="T207" i="15"/>
  <c r="P207" i="15"/>
  <c r="H207" i="15"/>
  <c r="D207" i="15"/>
  <c r="L207" i="15" s="1"/>
  <c r="N207" i="15" s="1"/>
  <c r="B207" i="15"/>
  <c r="Z206" i="15"/>
  <c r="X206" i="15"/>
  <c r="L206" i="15"/>
  <c r="N206" i="15" s="1"/>
  <c r="B206" i="15"/>
  <c r="T205" i="15"/>
  <c r="P205" i="15"/>
  <c r="X205" i="15" s="1"/>
  <c r="H205" i="15"/>
  <c r="N205" i="15" s="1"/>
  <c r="D205" i="15"/>
  <c r="L205" i="15" s="1"/>
  <c r="B205" i="15"/>
  <c r="Z204" i="15"/>
  <c r="X204" i="15"/>
  <c r="N204" i="15"/>
  <c r="L204" i="15"/>
  <c r="B204" i="15"/>
  <c r="T203" i="15"/>
  <c r="Z203" i="15" s="1"/>
  <c r="P203" i="15"/>
  <c r="X203" i="15" s="1"/>
  <c r="L203" i="15"/>
  <c r="N203" i="15" s="1"/>
  <c r="H203" i="15"/>
  <c r="D203" i="15"/>
  <c r="B203" i="15"/>
  <c r="X202" i="15"/>
  <c r="Z202" i="15" s="1"/>
  <c r="N202" i="15"/>
  <c r="L202" i="15"/>
  <c r="B202" i="15"/>
  <c r="X201" i="15"/>
  <c r="Z201" i="15" s="1"/>
  <c r="L201" i="15"/>
  <c r="N201" i="15" s="1"/>
  <c r="B201" i="15"/>
  <c r="T200" i="15"/>
  <c r="P200" i="15"/>
  <c r="X200" i="15" s="1"/>
  <c r="Z200" i="15" s="1"/>
  <c r="L200" i="15"/>
  <c r="N200" i="15" s="1"/>
  <c r="H200" i="15"/>
  <c r="D200" i="15"/>
  <c r="B200" i="15"/>
  <c r="Z199" i="15"/>
  <c r="X199" i="15"/>
  <c r="N199" i="15"/>
  <c r="L199" i="15"/>
  <c r="B199" i="15"/>
  <c r="Z198" i="15"/>
  <c r="X198" i="15"/>
  <c r="L198" i="15"/>
  <c r="N198" i="15" s="1"/>
  <c r="B198" i="15"/>
  <c r="T197" i="15"/>
  <c r="P197" i="15"/>
  <c r="X197" i="15" s="1"/>
  <c r="H197" i="15"/>
  <c r="N197" i="15" s="1"/>
  <c r="D197" i="15"/>
  <c r="L197" i="15" s="1"/>
  <c r="B197" i="15"/>
  <c r="Z196" i="15"/>
  <c r="X196" i="15"/>
  <c r="N196" i="15"/>
  <c r="L196" i="15"/>
  <c r="B196" i="15"/>
  <c r="T195" i="15"/>
  <c r="P195" i="15"/>
  <c r="X195" i="15" s="1"/>
  <c r="L195" i="15"/>
  <c r="N195" i="15" s="1"/>
  <c r="H195" i="15"/>
  <c r="D195" i="15"/>
  <c r="B195" i="15"/>
  <c r="Z194" i="15"/>
  <c r="X194" i="15"/>
  <c r="N194" i="15"/>
  <c r="L194" i="15"/>
  <c r="B194" i="15"/>
  <c r="X193" i="15"/>
  <c r="Z193" i="15" s="1"/>
  <c r="L193" i="15"/>
  <c r="N193" i="15" s="1"/>
  <c r="B193" i="15"/>
  <c r="Z192" i="15"/>
  <c r="T192" i="15"/>
  <c r="P192" i="15"/>
  <c r="X192" i="15" s="1"/>
  <c r="L192" i="15"/>
  <c r="N192" i="15" s="1"/>
  <c r="H192" i="15"/>
  <c r="D192" i="15"/>
  <c r="B192" i="15"/>
  <c r="X191" i="15"/>
  <c r="Z191" i="15" s="1"/>
  <c r="N191" i="15"/>
  <c r="L191" i="15"/>
  <c r="B191" i="15"/>
  <c r="Z190" i="15"/>
  <c r="X190" i="15"/>
  <c r="T190" i="15"/>
  <c r="P190" i="15"/>
  <c r="H190" i="15"/>
  <c r="L190" i="15" s="1"/>
  <c r="N190" i="15" s="1"/>
  <c r="D190" i="15"/>
  <c r="B190" i="15"/>
  <c r="X189" i="15"/>
  <c r="Z189" i="15" s="1"/>
  <c r="L189" i="15"/>
  <c r="N189" i="15" s="1"/>
  <c r="B189" i="15"/>
  <c r="Z188" i="15"/>
  <c r="X188" i="15"/>
  <c r="N188" i="15"/>
  <c r="L188" i="15"/>
  <c r="B188" i="15"/>
  <c r="Z187" i="15"/>
  <c r="X187" i="15"/>
  <c r="L187" i="15"/>
  <c r="N187" i="15" s="1"/>
  <c r="B187" i="15"/>
  <c r="X186" i="15"/>
  <c r="Z186" i="15" s="1"/>
  <c r="L186" i="15"/>
  <c r="N186" i="15" s="1"/>
  <c r="B186" i="15"/>
  <c r="X185" i="15"/>
  <c r="Z185" i="15" s="1"/>
  <c r="L185" i="15"/>
  <c r="N185" i="15" s="1"/>
  <c r="B185" i="15"/>
  <c r="Z184" i="15"/>
  <c r="X184" i="15"/>
  <c r="N184" i="15"/>
  <c r="L184" i="15"/>
  <c r="B184" i="15"/>
  <c r="Z183" i="15"/>
  <c r="X183" i="15"/>
  <c r="L183" i="15"/>
  <c r="N183" i="15" s="1"/>
  <c r="B183" i="15"/>
  <c r="T182" i="15"/>
  <c r="P182" i="15"/>
  <c r="X182" i="15" s="1"/>
  <c r="H182" i="15"/>
  <c r="D182" i="15"/>
  <c r="L182" i="15" s="1"/>
  <c r="N182" i="15" s="1"/>
  <c r="B182" i="15"/>
  <c r="X181" i="15"/>
  <c r="Z181" i="15" s="1"/>
  <c r="L181" i="15"/>
  <c r="N181" i="15" s="1"/>
  <c r="B181" i="15"/>
  <c r="Z180" i="15"/>
  <c r="X180" i="15"/>
  <c r="N180" i="15"/>
  <c r="L180" i="15"/>
  <c r="B180" i="15"/>
  <c r="X179" i="15"/>
  <c r="Z179" i="15" s="1"/>
  <c r="N179" i="15"/>
  <c r="L179" i="15"/>
  <c r="B179" i="15"/>
  <c r="X178" i="15"/>
  <c r="Z178" i="15" s="1"/>
  <c r="N178" i="15"/>
  <c r="L178" i="15"/>
  <c r="B178" i="15"/>
  <c r="X177" i="15"/>
  <c r="Z177" i="15" s="1"/>
  <c r="L177" i="15"/>
  <c r="N177" i="15" s="1"/>
  <c r="B177" i="15"/>
  <c r="Z176" i="15"/>
  <c r="X176" i="15"/>
  <c r="N176" i="15"/>
  <c r="L176" i="15"/>
  <c r="B176" i="15"/>
  <c r="X175" i="15"/>
  <c r="Z175" i="15" s="1"/>
  <c r="N175" i="15"/>
  <c r="L175" i="15"/>
  <c r="B175" i="15"/>
  <c r="X174" i="15"/>
  <c r="Z174" i="15" s="1"/>
  <c r="N174" i="15"/>
  <c r="L174" i="15"/>
  <c r="B174" i="15"/>
  <c r="X173" i="15"/>
  <c r="Z173" i="15" s="1"/>
  <c r="L173" i="15"/>
  <c r="N173" i="15" s="1"/>
  <c r="B173" i="15"/>
  <c r="Z172" i="15"/>
  <c r="T172" i="15"/>
  <c r="P172" i="15"/>
  <c r="X172" i="15" s="1"/>
  <c r="L172" i="15"/>
  <c r="H172" i="15"/>
  <c r="N172" i="15" s="1"/>
  <c r="D172" i="15"/>
  <c r="B172" i="15"/>
  <c r="T171" i="15"/>
  <c r="P171" i="15"/>
  <c r="X171" i="15" s="1"/>
  <c r="H171" i="15"/>
  <c r="D171" i="15"/>
  <c r="L171" i="15" s="1"/>
  <c r="Z167" i="15"/>
  <c r="X167" i="15"/>
  <c r="N167" i="15"/>
  <c r="L167" i="15"/>
  <c r="B167" i="15"/>
  <c r="Z166" i="15"/>
  <c r="X166" i="15"/>
  <c r="L166" i="15"/>
  <c r="N166" i="15" s="1"/>
  <c r="B166" i="15"/>
  <c r="X165" i="15"/>
  <c r="Z165" i="15" s="1"/>
  <c r="L165" i="15"/>
  <c r="N165" i="15" s="1"/>
  <c r="B165" i="15"/>
  <c r="Z164" i="15"/>
  <c r="X164" i="15"/>
  <c r="N164" i="15"/>
  <c r="L164" i="15"/>
  <c r="B164" i="15"/>
  <c r="Z163" i="15"/>
  <c r="X163" i="15"/>
  <c r="L163" i="15"/>
  <c r="N163" i="15" s="1"/>
  <c r="B163" i="15"/>
  <c r="Z162" i="15"/>
  <c r="X162" i="15"/>
  <c r="L162" i="15"/>
  <c r="N162" i="15" s="1"/>
  <c r="B162" i="15"/>
  <c r="X161" i="15"/>
  <c r="Z161" i="15" s="1"/>
  <c r="L161" i="15"/>
  <c r="N161" i="15" s="1"/>
  <c r="B161" i="15"/>
  <c r="Z160" i="15"/>
  <c r="X160" i="15"/>
  <c r="N160" i="15"/>
  <c r="L160" i="15"/>
  <c r="B160" i="15"/>
  <c r="Z159" i="15"/>
  <c r="X159" i="15"/>
  <c r="L159" i="15"/>
  <c r="N159" i="15" s="1"/>
  <c r="B159" i="15"/>
  <c r="Z158" i="15"/>
  <c r="X158" i="15"/>
  <c r="L158" i="15"/>
  <c r="N158" i="15" s="1"/>
  <c r="B158" i="15"/>
  <c r="X157" i="15"/>
  <c r="Z157" i="15" s="1"/>
  <c r="L157" i="15"/>
  <c r="N157" i="15" s="1"/>
  <c r="B157" i="15"/>
  <c r="Z156" i="15"/>
  <c r="X156" i="15"/>
  <c r="N156" i="15"/>
  <c r="L156" i="15"/>
  <c r="B156" i="15"/>
  <c r="Z155" i="15"/>
  <c r="X155" i="15"/>
  <c r="L155" i="15"/>
  <c r="N155" i="15" s="1"/>
  <c r="B155" i="15"/>
  <c r="Z154" i="15"/>
  <c r="X154" i="15"/>
  <c r="N154" i="15"/>
  <c r="L154" i="15"/>
  <c r="B154" i="15"/>
  <c r="X153" i="15"/>
  <c r="Z153" i="15" s="1"/>
  <c r="L153" i="15"/>
  <c r="N153" i="15" s="1"/>
  <c r="B153" i="15"/>
  <c r="Z152" i="15"/>
  <c r="X152" i="15"/>
  <c r="N152" i="15"/>
  <c r="L152" i="15"/>
  <c r="B152" i="15"/>
  <c r="X151" i="15"/>
  <c r="Z151" i="15" s="1"/>
  <c r="N151" i="15"/>
  <c r="L151" i="15"/>
  <c r="B151" i="15"/>
  <c r="Z150" i="15"/>
  <c r="X150" i="15"/>
  <c r="L150" i="15"/>
  <c r="N150" i="15" s="1"/>
  <c r="B150" i="15"/>
  <c r="X149" i="15"/>
  <c r="Z149" i="15" s="1"/>
  <c r="L149" i="15"/>
  <c r="N149" i="15" s="1"/>
  <c r="B149" i="15"/>
  <c r="Z148" i="15"/>
  <c r="X148" i="15"/>
  <c r="N148" i="15"/>
  <c r="L148" i="15"/>
  <c r="B148" i="15"/>
  <c r="X147" i="15"/>
  <c r="Z147" i="15" s="1"/>
  <c r="L147" i="15"/>
  <c r="N147" i="15" s="1"/>
  <c r="B147" i="15"/>
  <c r="Z146" i="15"/>
  <c r="X146" i="15"/>
  <c r="N146" i="15"/>
  <c r="L146" i="15"/>
  <c r="B146" i="15"/>
  <c r="X145" i="15"/>
  <c r="Z145" i="15" s="1"/>
  <c r="N145" i="15"/>
  <c r="L145" i="15"/>
  <c r="B145" i="15"/>
  <c r="Z144" i="15"/>
  <c r="X144" i="15"/>
  <c r="N144" i="15"/>
  <c r="L144" i="15"/>
  <c r="B144" i="15"/>
  <c r="X143" i="15"/>
  <c r="Z143" i="15" s="1"/>
  <c r="N143" i="15"/>
  <c r="L143" i="15"/>
  <c r="B143" i="15"/>
  <c r="Z142" i="15"/>
  <c r="X142" i="15"/>
  <c r="L142" i="15"/>
  <c r="N142" i="15" s="1"/>
  <c r="B142" i="15"/>
  <c r="X141" i="15"/>
  <c r="Z141" i="15" s="1"/>
  <c r="L141" i="15"/>
  <c r="N141" i="15" s="1"/>
  <c r="B141" i="15"/>
  <c r="Z140" i="15"/>
  <c r="X140" i="15"/>
  <c r="N140" i="15"/>
  <c r="L140" i="15"/>
  <c r="B140" i="15"/>
  <c r="X139" i="15"/>
  <c r="Z139" i="15" s="1"/>
  <c r="L139" i="15"/>
  <c r="N139" i="15" s="1"/>
  <c r="B139" i="15"/>
  <c r="Z138" i="15"/>
  <c r="X138" i="15"/>
  <c r="L138" i="15"/>
  <c r="N138" i="15" s="1"/>
  <c r="B138" i="15"/>
  <c r="X137" i="15"/>
  <c r="Z137" i="15" s="1"/>
  <c r="L137" i="15"/>
  <c r="N137" i="15" s="1"/>
  <c r="B137" i="15"/>
  <c r="Z136" i="15"/>
  <c r="X136" i="15"/>
  <c r="N136" i="15"/>
  <c r="L136" i="15"/>
  <c r="B136" i="15"/>
  <c r="X135" i="15"/>
  <c r="Z135" i="15" s="1"/>
  <c r="L135" i="15"/>
  <c r="N135" i="15" s="1"/>
  <c r="B135" i="15"/>
  <c r="Z134" i="15"/>
  <c r="X134" i="15"/>
  <c r="L134" i="15"/>
  <c r="N134" i="15" s="1"/>
  <c r="B134" i="15"/>
  <c r="X133" i="15"/>
  <c r="Z133" i="15" s="1"/>
  <c r="L133" i="15"/>
  <c r="N133" i="15" s="1"/>
  <c r="B133" i="15"/>
  <c r="Z132" i="15"/>
  <c r="X132" i="15"/>
  <c r="N132" i="15"/>
  <c r="L132" i="15"/>
  <c r="B132" i="15"/>
  <c r="X131" i="15"/>
  <c r="Z131" i="15" s="1"/>
  <c r="L131" i="15"/>
  <c r="N131" i="15" s="1"/>
  <c r="B131" i="15"/>
  <c r="Z130" i="15"/>
  <c r="X130" i="15"/>
  <c r="L130" i="15"/>
  <c r="N130" i="15" s="1"/>
  <c r="B130" i="15"/>
  <c r="X129" i="15"/>
  <c r="Z129" i="15" s="1"/>
  <c r="L129" i="15"/>
  <c r="N129" i="15" s="1"/>
  <c r="B129" i="15"/>
  <c r="Z128" i="15"/>
  <c r="X128" i="15"/>
  <c r="N128" i="15"/>
  <c r="L128" i="15"/>
  <c r="B128" i="15"/>
  <c r="X127" i="15"/>
  <c r="Z127" i="15" s="1"/>
  <c r="L127" i="15"/>
  <c r="N127" i="15" s="1"/>
  <c r="B127" i="15"/>
  <c r="Z126" i="15"/>
  <c r="X126" i="15"/>
  <c r="N126" i="15"/>
  <c r="L126" i="15"/>
  <c r="B126" i="15"/>
  <c r="X125" i="15"/>
  <c r="Z125" i="15" s="1"/>
  <c r="N125" i="15"/>
  <c r="L125" i="15"/>
  <c r="B125" i="15"/>
  <c r="Z124" i="15"/>
  <c r="X124" i="15"/>
  <c r="N124" i="15"/>
  <c r="L124" i="15"/>
  <c r="B124" i="15"/>
  <c r="X123" i="15"/>
  <c r="Z123" i="15" s="1"/>
  <c r="L123" i="15"/>
  <c r="N123" i="15" s="1"/>
  <c r="B123" i="15"/>
  <c r="Z122" i="15"/>
  <c r="X122" i="15"/>
  <c r="L122" i="15"/>
  <c r="N122" i="15" s="1"/>
  <c r="B122" i="15"/>
  <c r="X121" i="15"/>
  <c r="Z121" i="15" s="1"/>
  <c r="L121" i="15"/>
  <c r="N121" i="15" s="1"/>
  <c r="B121" i="15"/>
  <c r="Z120" i="15"/>
  <c r="X120" i="15"/>
  <c r="N120" i="15"/>
  <c r="L120" i="15"/>
  <c r="B120" i="15"/>
  <c r="X119" i="15"/>
  <c r="Z119" i="15" s="1"/>
  <c r="L119" i="15"/>
  <c r="N119" i="15" s="1"/>
  <c r="B119" i="15"/>
  <c r="Z118" i="15"/>
  <c r="X118" i="15"/>
  <c r="L118" i="15"/>
  <c r="N118" i="15" s="1"/>
  <c r="B118" i="15"/>
  <c r="X117" i="15"/>
  <c r="Z117" i="15" s="1"/>
  <c r="L117" i="15"/>
  <c r="N117" i="15" s="1"/>
  <c r="B117" i="15"/>
  <c r="Z116" i="15"/>
  <c r="X116" i="15"/>
  <c r="T116" i="15"/>
  <c r="P116" i="15"/>
  <c r="H116" i="15"/>
  <c r="D116" i="15"/>
  <c r="L116" i="15" s="1"/>
  <c r="N116" i="15" s="1"/>
  <c r="Z114" i="15"/>
  <c r="T114" i="15"/>
  <c r="X114" i="15" s="1"/>
  <c r="P114" i="15"/>
  <c r="N114" i="15"/>
  <c r="H114" i="15"/>
  <c r="L114" i="15" s="1"/>
  <c r="D114" i="15"/>
  <c r="B114" i="15"/>
  <c r="T113" i="15"/>
  <c r="Z113" i="15" s="1"/>
  <c r="P113" i="15"/>
  <c r="X113" i="15" s="1"/>
  <c r="N113" i="15"/>
  <c r="H113" i="15"/>
  <c r="D113" i="15"/>
  <c r="L113" i="15" s="1"/>
  <c r="B113" i="15"/>
  <c r="T112" i="15"/>
  <c r="P112" i="15"/>
  <c r="H112" i="15"/>
  <c r="D112" i="15"/>
  <c r="B112" i="15"/>
  <c r="X111" i="15"/>
  <c r="Z111" i="15" s="1"/>
  <c r="T111" i="15"/>
  <c r="P111" i="15"/>
  <c r="L111" i="15"/>
  <c r="N111" i="15" s="1"/>
  <c r="H111" i="15"/>
  <c r="D111" i="15"/>
  <c r="B111" i="15"/>
  <c r="T110" i="15"/>
  <c r="X110" i="15" s="1"/>
  <c r="Z110" i="15" s="1"/>
  <c r="P110" i="15"/>
  <c r="H110" i="15"/>
  <c r="L110" i="15" s="1"/>
  <c r="N110" i="15" s="1"/>
  <c r="D110" i="15"/>
  <c r="B110" i="15"/>
  <c r="T109" i="15"/>
  <c r="Z109" i="15" s="1"/>
  <c r="P109" i="15"/>
  <c r="X109" i="15" s="1"/>
  <c r="N109" i="15"/>
  <c r="H109" i="15"/>
  <c r="D109" i="15"/>
  <c r="L109" i="15" s="1"/>
  <c r="B109" i="15"/>
  <c r="T108" i="15"/>
  <c r="P108" i="15"/>
  <c r="H108" i="15"/>
  <c r="N108" i="15" s="1"/>
  <c r="D108" i="15"/>
  <c r="B108" i="15"/>
  <c r="X107" i="15"/>
  <c r="Z107" i="15" s="1"/>
  <c r="T107" i="15"/>
  <c r="P107" i="15"/>
  <c r="L107" i="15"/>
  <c r="N107" i="15" s="1"/>
  <c r="H107" i="15"/>
  <c r="D107" i="15"/>
  <c r="B107" i="15"/>
  <c r="T106" i="15"/>
  <c r="X106" i="15" s="1"/>
  <c r="Z106" i="15" s="1"/>
  <c r="P106" i="15"/>
  <c r="H106" i="15"/>
  <c r="L106" i="15" s="1"/>
  <c r="N106" i="15" s="1"/>
  <c r="D106" i="15"/>
  <c r="B106" i="15"/>
  <c r="T105" i="15"/>
  <c r="Z105" i="15" s="1"/>
  <c r="P105" i="15"/>
  <c r="X105" i="15" s="1"/>
  <c r="N105" i="15"/>
  <c r="H105" i="15"/>
  <c r="D105" i="15"/>
  <c r="L105" i="15" s="1"/>
  <c r="B105" i="15"/>
  <c r="T104" i="15"/>
  <c r="P104" i="15"/>
  <c r="H104" i="15"/>
  <c r="N104" i="15" s="1"/>
  <c r="D104" i="15"/>
  <c r="B104" i="15"/>
  <c r="X103" i="15"/>
  <c r="T103" i="15"/>
  <c r="P103" i="15"/>
  <c r="L103" i="15"/>
  <c r="N103" i="15" s="1"/>
  <c r="H103" i="15"/>
  <c r="D103" i="15"/>
  <c r="B103" i="15"/>
  <c r="T102" i="15"/>
  <c r="X102" i="15" s="1"/>
  <c r="Z102" i="15" s="1"/>
  <c r="P102" i="15"/>
  <c r="N102" i="15"/>
  <c r="H102" i="15"/>
  <c r="L102" i="15" s="1"/>
  <c r="D102" i="15"/>
  <c r="B102" i="15"/>
  <c r="T101" i="15"/>
  <c r="Z101" i="15" s="1"/>
  <c r="P101" i="15"/>
  <c r="X101" i="15" s="1"/>
  <c r="N101" i="15"/>
  <c r="H101" i="15"/>
  <c r="D101" i="15"/>
  <c r="L101" i="15" s="1"/>
  <c r="B101" i="15"/>
  <c r="T100" i="15"/>
  <c r="P100" i="15"/>
  <c r="H100" i="15"/>
  <c r="D100" i="15"/>
  <c r="B100" i="15"/>
  <c r="X99" i="15"/>
  <c r="T99" i="15"/>
  <c r="P99" i="15"/>
  <c r="L99" i="15"/>
  <c r="N99" i="15" s="1"/>
  <c r="H99" i="15"/>
  <c r="D99" i="15"/>
  <c r="B99" i="15"/>
  <c r="T98" i="15"/>
  <c r="X98" i="15" s="1"/>
  <c r="Z98" i="15" s="1"/>
  <c r="P98" i="15"/>
  <c r="N98" i="15"/>
  <c r="H98" i="15"/>
  <c r="L98" i="15" s="1"/>
  <c r="D98" i="15"/>
  <c r="B98" i="15"/>
  <c r="T97" i="15"/>
  <c r="Z97" i="15" s="1"/>
  <c r="P97" i="15"/>
  <c r="X97" i="15" s="1"/>
  <c r="H97" i="15"/>
  <c r="D97" i="15"/>
  <c r="L97" i="15" s="1"/>
  <c r="N97" i="15" s="1"/>
  <c r="B97" i="15"/>
  <c r="T96" i="15"/>
  <c r="P96" i="15"/>
  <c r="H96" i="15"/>
  <c r="D96" i="15"/>
  <c r="B96" i="15"/>
  <c r="X95" i="15"/>
  <c r="T95" i="15"/>
  <c r="Z95" i="15" s="1"/>
  <c r="P95" i="15"/>
  <c r="L95" i="15"/>
  <c r="N95" i="15" s="1"/>
  <c r="H95" i="15"/>
  <c r="D95" i="15"/>
  <c r="B95" i="15"/>
  <c r="T94" i="15"/>
  <c r="X94" i="15" s="1"/>
  <c r="Z94" i="15" s="1"/>
  <c r="P94" i="15"/>
  <c r="N94" i="15"/>
  <c r="H94" i="15"/>
  <c r="L94" i="15" s="1"/>
  <c r="D94" i="15"/>
  <c r="B94" i="15"/>
  <c r="T93" i="15"/>
  <c r="Z93" i="15" s="1"/>
  <c r="P93" i="15"/>
  <c r="X93" i="15" s="1"/>
  <c r="N93" i="15"/>
  <c r="H93" i="15"/>
  <c r="D93" i="15"/>
  <c r="L93" i="15" s="1"/>
  <c r="B93" i="15"/>
  <c r="T92" i="15"/>
  <c r="P92" i="15"/>
  <c r="H92" i="15"/>
  <c r="D92" i="15"/>
  <c r="B92" i="15"/>
  <c r="X91" i="15"/>
  <c r="T91" i="15"/>
  <c r="Z91" i="15" s="1"/>
  <c r="P91" i="15"/>
  <c r="L91" i="15"/>
  <c r="N91" i="15" s="1"/>
  <c r="H91" i="15"/>
  <c r="D91" i="15"/>
  <c r="B91" i="15"/>
  <c r="T90" i="15"/>
  <c r="X90" i="15" s="1"/>
  <c r="Z90" i="15" s="1"/>
  <c r="P90" i="15"/>
  <c r="N90" i="15"/>
  <c r="H90" i="15"/>
  <c r="L90" i="15" s="1"/>
  <c r="D90" i="15"/>
  <c r="B90" i="15"/>
  <c r="T89" i="15"/>
  <c r="Z89" i="15" s="1"/>
  <c r="P89" i="15"/>
  <c r="X89" i="15" s="1"/>
  <c r="N89" i="15"/>
  <c r="H89" i="15"/>
  <c r="D89" i="15"/>
  <c r="L89" i="15" s="1"/>
  <c r="B89" i="15"/>
  <c r="T88" i="15"/>
  <c r="P88" i="15"/>
  <c r="H88" i="15"/>
  <c r="N88" i="15" s="1"/>
  <c r="D88" i="15"/>
  <c r="B88" i="15"/>
  <c r="X87" i="15"/>
  <c r="T87" i="15"/>
  <c r="Z87" i="15" s="1"/>
  <c r="P87" i="15"/>
  <c r="L87" i="15"/>
  <c r="N87" i="15" s="1"/>
  <c r="H87" i="15"/>
  <c r="D87" i="15"/>
  <c r="B87" i="15"/>
  <c r="T86" i="15"/>
  <c r="X86" i="15" s="1"/>
  <c r="Z86" i="15" s="1"/>
  <c r="P86" i="15"/>
  <c r="N86" i="15"/>
  <c r="H86" i="15"/>
  <c r="L86" i="15" s="1"/>
  <c r="D86" i="15"/>
  <c r="B86" i="15"/>
  <c r="T85" i="15"/>
  <c r="Z85" i="15" s="1"/>
  <c r="P85" i="15"/>
  <c r="X85" i="15" s="1"/>
  <c r="H85" i="15"/>
  <c r="D85" i="15"/>
  <c r="L85" i="15" s="1"/>
  <c r="N85" i="15" s="1"/>
  <c r="B85" i="15"/>
  <c r="T84" i="15"/>
  <c r="P84" i="15"/>
  <c r="H84" i="15"/>
  <c r="D84" i="15"/>
  <c r="B84" i="15"/>
  <c r="X83" i="15"/>
  <c r="T83" i="15"/>
  <c r="Z83" i="15" s="1"/>
  <c r="P83" i="15"/>
  <c r="N83" i="15"/>
  <c r="L83" i="15"/>
  <c r="H83" i="15"/>
  <c r="D83" i="15"/>
  <c r="B83" i="15"/>
  <c r="T82" i="15"/>
  <c r="X82" i="15" s="1"/>
  <c r="Z82" i="15" s="1"/>
  <c r="P82" i="15"/>
  <c r="N82" i="15"/>
  <c r="H82" i="15"/>
  <c r="L82" i="15" s="1"/>
  <c r="D82" i="15"/>
  <c r="B82" i="15"/>
  <c r="T81" i="15"/>
  <c r="Z81" i="15" s="1"/>
  <c r="P81" i="15"/>
  <c r="X81" i="15" s="1"/>
  <c r="N81" i="15"/>
  <c r="H81" i="15"/>
  <c r="D81" i="15"/>
  <c r="L81" i="15" s="1"/>
  <c r="B81" i="15"/>
  <c r="T80" i="15"/>
  <c r="P80" i="15"/>
  <c r="H80" i="15"/>
  <c r="D80" i="15"/>
  <c r="B80" i="15"/>
  <c r="X79" i="15"/>
  <c r="T79" i="15"/>
  <c r="Z79" i="15" s="1"/>
  <c r="P79" i="15"/>
  <c r="N79" i="15"/>
  <c r="L79" i="15"/>
  <c r="H79" i="15"/>
  <c r="D79" i="15"/>
  <c r="B79" i="15"/>
  <c r="T78" i="15"/>
  <c r="X78" i="15" s="1"/>
  <c r="Z78" i="15" s="1"/>
  <c r="P78" i="15"/>
  <c r="N78" i="15"/>
  <c r="H78" i="15"/>
  <c r="L78" i="15" s="1"/>
  <c r="D78" i="15"/>
  <c r="B78" i="15"/>
  <c r="T77" i="15"/>
  <c r="Z77" i="15" s="1"/>
  <c r="P77" i="15"/>
  <c r="X77" i="15" s="1"/>
  <c r="H77" i="15"/>
  <c r="D77" i="15"/>
  <c r="L77" i="15" s="1"/>
  <c r="N77" i="15" s="1"/>
  <c r="B77" i="15"/>
  <c r="T76" i="15"/>
  <c r="P76" i="15"/>
  <c r="H76" i="15"/>
  <c r="D76" i="15"/>
  <c r="B76" i="15"/>
  <c r="X75" i="15"/>
  <c r="T75" i="15"/>
  <c r="Z75" i="15" s="1"/>
  <c r="P75" i="15"/>
  <c r="L75" i="15"/>
  <c r="N75" i="15" s="1"/>
  <c r="H75" i="15"/>
  <c r="D75" i="15"/>
  <c r="B75" i="15"/>
  <c r="T74" i="15"/>
  <c r="X74" i="15" s="1"/>
  <c r="Z74" i="15" s="1"/>
  <c r="P74" i="15"/>
  <c r="N74" i="15"/>
  <c r="H74" i="15"/>
  <c r="L74" i="15" s="1"/>
  <c r="D74" i="15"/>
  <c r="B74" i="15"/>
  <c r="T73" i="15"/>
  <c r="Z73" i="15" s="1"/>
  <c r="P73" i="15"/>
  <c r="X73" i="15" s="1"/>
  <c r="H73" i="15"/>
  <c r="D73" i="15"/>
  <c r="L73" i="15" s="1"/>
  <c r="N73" i="15" s="1"/>
  <c r="B73" i="15"/>
  <c r="T72" i="15"/>
  <c r="P72" i="15"/>
  <c r="H72" i="15"/>
  <c r="D72" i="15"/>
  <c r="B72" i="15"/>
  <c r="X71" i="15"/>
  <c r="T71" i="15"/>
  <c r="Z71" i="15" s="1"/>
  <c r="P71" i="15"/>
  <c r="L71" i="15"/>
  <c r="N71" i="15" s="1"/>
  <c r="H71" i="15"/>
  <c r="D71" i="15"/>
  <c r="B71" i="15"/>
  <c r="T70" i="15"/>
  <c r="X70" i="15" s="1"/>
  <c r="Z70" i="15" s="1"/>
  <c r="P70" i="15"/>
  <c r="H70" i="15"/>
  <c r="L70" i="15" s="1"/>
  <c r="N70" i="15" s="1"/>
  <c r="D70" i="15"/>
  <c r="B70" i="15"/>
  <c r="T69" i="15"/>
  <c r="Z69" i="15" s="1"/>
  <c r="P69" i="15"/>
  <c r="X69" i="15" s="1"/>
  <c r="N69" i="15"/>
  <c r="H69" i="15"/>
  <c r="D69" i="15"/>
  <c r="L69" i="15" s="1"/>
  <c r="B69" i="15"/>
  <c r="T68" i="15"/>
  <c r="P68" i="15"/>
  <c r="H68" i="15"/>
  <c r="D68" i="15"/>
  <c r="B68" i="15"/>
  <c r="X67" i="15"/>
  <c r="T67" i="15"/>
  <c r="Z67" i="15" s="1"/>
  <c r="P67" i="15"/>
  <c r="L67" i="15"/>
  <c r="N67" i="15" s="1"/>
  <c r="H67" i="15"/>
  <c r="D67" i="15"/>
  <c r="B67" i="15"/>
  <c r="T66" i="15"/>
  <c r="X66" i="15" s="1"/>
  <c r="Z66" i="15" s="1"/>
  <c r="P66" i="15"/>
  <c r="H66" i="15"/>
  <c r="L66" i="15" s="1"/>
  <c r="N66" i="15" s="1"/>
  <c r="D66" i="15"/>
  <c r="B66" i="15"/>
  <c r="T65" i="15"/>
  <c r="P65" i="15"/>
  <c r="X65" i="15" s="1"/>
  <c r="H65" i="15"/>
  <c r="D65" i="15"/>
  <c r="L65" i="15" s="1"/>
  <c r="N65" i="15" s="1"/>
  <c r="B65" i="15"/>
  <c r="T64" i="15"/>
  <c r="P64" i="15"/>
  <c r="H64" i="15"/>
  <c r="D64" i="15"/>
  <c r="B64" i="15"/>
  <c r="X63" i="15"/>
  <c r="T63" i="15"/>
  <c r="Z63" i="15" s="1"/>
  <c r="P63" i="15"/>
  <c r="N63" i="15"/>
  <c r="L63" i="15"/>
  <c r="H63" i="15"/>
  <c r="D63" i="15"/>
  <c r="B63" i="15"/>
  <c r="T62" i="15"/>
  <c r="X62" i="15" s="1"/>
  <c r="Z62" i="15" s="1"/>
  <c r="P62" i="15"/>
  <c r="H62" i="15"/>
  <c r="L62" i="15" s="1"/>
  <c r="N62" i="15" s="1"/>
  <c r="D62" i="15"/>
  <c r="B62" i="15"/>
  <c r="T61" i="15"/>
  <c r="P61" i="15"/>
  <c r="X61" i="15" s="1"/>
  <c r="H61" i="15"/>
  <c r="D61" i="15"/>
  <c r="L61" i="15" s="1"/>
  <c r="N61" i="15" s="1"/>
  <c r="B61" i="15"/>
  <c r="T60" i="15"/>
  <c r="P60" i="15"/>
  <c r="H60" i="15"/>
  <c r="D60" i="15"/>
  <c r="B60" i="15"/>
  <c r="X59" i="15"/>
  <c r="T59" i="15"/>
  <c r="Z59" i="15" s="1"/>
  <c r="P59" i="15"/>
  <c r="L59" i="15"/>
  <c r="N59" i="15" s="1"/>
  <c r="H59" i="15"/>
  <c r="D59" i="15"/>
  <c r="B59" i="15"/>
  <c r="Z58" i="15"/>
  <c r="T58" i="15"/>
  <c r="X58" i="15" s="1"/>
  <c r="P58" i="15"/>
  <c r="H58" i="15"/>
  <c r="L58" i="15" s="1"/>
  <c r="N58" i="15" s="1"/>
  <c r="D58" i="15"/>
  <c r="B58" i="15"/>
  <c r="T57" i="15"/>
  <c r="P57" i="15"/>
  <c r="X57" i="15" s="1"/>
  <c r="H57" i="15"/>
  <c r="D57" i="15"/>
  <c r="L57" i="15" s="1"/>
  <c r="N57" i="15" s="1"/>
  <c r="B57" i="15"/>
  <c r="T56" i="15"/>
  <c r="P56" i="15"/>
  <c r="H56" i="15"/>
  <c r="D56" i="15"/>
  <c r="B56" i="15"/>
  <c r="X55" i="15"/>
  <c r="T55" i="15"/>
  <c r="Z55" i="15" s="1"/>
  <c r="P55" i="15"/>
  <c r="N55" i="15"/>
  <c r="L55" i="15"/>
  <c r="H55" i="15"/>
  <c r="D55" i="15"/>
  <c r="B55" i="15"/>
  <c r="T54" i="15"/>
  <c r="X54" i="15" s="1"/>
  <c r="Z54" i="15" s="1"/>
  <c r="P54" i="15"/>
  <c r="N54" i="15"/>
  <c r="H54" i="15"/>
  <c r="L54" i="15" s="1"/>
  <c r="D54" i="15"/>
  <c r="B54" i="15"/>
  <c r="T53" i="15"/>
  <c r="Z53" i="15" s="1"/>
  <c r="P53" i="15"/>
  <c r="X53" i="15" s="1"/>
  <c r="H53" i="15"/>
  <c r="D53" i="15"/>
  <c r="L53" i="15" s="1"/>
  <c r="N53" i="15" s="1"/>
  <c r="B53" i="15"/>
  <c r="T52" i="15"/>
  <c r="P52" i="15"/>
  <c r="H52" i="15"/>
  <c r="D52" i="15"/>
  <c r="B52" i="15"/>
  <c r="X51" i="15"/>
  <c r="T51" i="15"/>
  <c r="Z51" i="15" s="1"/>
  <c r="P51" i="15"/>
  <c r="N51" i="15"/>
  <c r="L51" i="15"/>
  <c r="H51" i="15"/>
  <c r="D51" i="15"/>
  <c r="B51" i="15"/>
  <c r="T50" i="15"/>
  <c r="X50" i="15" s="1"/>
  <c r="Z50" i="15" s="1"/>
  <c r="P50" i="15"/>
  <c r="H50" i="15"/>
  <c r="L50" i="15" s="1"/>
  <c r="N50" i="15" s="1"/>
  <c r="D50" i="15"/>
  <c r="B50" i="15"/>
  <c r="T49" i="15"/>
  <c r="Z49" i="15" s="1"/>
  <c r="P49" i="15"/>
  <c r="X49" i="15" s="1"/>
  <c r="H49" i="15"/>
  <c r="D49" i="15"/>
  <c r="L49" i="15" s="1"/>
  <c r="N49" i="15" s="1"/>
  <c r="B49" i="15"/>
  <c r="T48" i="15"/>
  <c r="P48" i="15"/>
  <c r="H48" i="15"/>
  <c r="D48" i="15"/>
  <c r="B48" i="15"/>
  <c r="X47" i="15"/>
  <c r="T47" i="15"/>
  <c r="Z47" i="15" s="1"/>
  <c r="P47" i="15"/>
  <c r="L47" i="15"/>
  <c r="N47" i="15" s="1"/>
  <c r="H47" i="15"/>
  <c r="D47" i="15"/>
  <c r="B47" i="15"/>
  <c r="T46" i="15"/>
  <c r="X46" i="15" s="1"/>
  <c r="Z46" i="15" s="1"/>
  <c r="P46" i="15"/>
  <c r="H46" i="15"/>
  <c r="L46" i="15" s="1"/>
  <c r="N46" i="15" s="1"/>
  <c r="D46" i="15"/>
  <c r="B46" i="15"/>
  <c r="T45" i="15"/>
  <c r="Z45" i="15" s="1"/>
  <c r="P45" i="15"/>
  <c r="X45" i="15" s="1"/>
  <c r="N45" i="15"/>
  <c r="H45" i="15"/>
  <c r="D45" i="15"/>
  <c r="L45" i="15" s="1"/>
  <c r="B45" i="15"/>
  <c r="T44" i="15"/>
  <c r="P44" i="15"/>
  <c r="H44" i="15"/>
  <c r="D44" i="15"/>
  <c r="B44" i="15"/>
  <c r="X43" i="15"/>
  <c r="T43" i="15"/>
  <c r="P43" i="15"/>
  <c r="L43" i="15"/>
  <c r="N43" i="15" s="1"/>
  <c r="H43" i="15"/>
  <c r="D43" i="15"/>
  <c r="B43" i="15"/>
  <c r="T42" i="15"/>
  <c r="X42" i="15" s="1"/>
  <c r="Z42" i="15" s="1"/>
  <c r="P42" i="15"/>
  <c r="H42" i="15"/>
  <c r="L42" i="15" s="1"/>
  <c r="N42" i="15" s="1"/>
  <c r="D42" i="15"/>
  <c r="B42" i="15"/>
  <c r="T41" i="15"/>
  <c r="P41" i="15"/>
  <c r="X41" i="15" s="1"/>
  <c r="H41" i="15"/>
  <c r="D41" i="15"/>
  <c r="L41" i="15" s="1"/>
  <c r="N41" i="15" s="1"/>
  <c r="B41" i="15"/>
  <c r="T40" i="15"/>
  <c r="P40" i="15"/>
  <c r="H40" i="15"/>
  <c r="D40" i="15"/>
  <c r="B40" i="15"/>
  <c r="X39" i="15"/>
  <c r="T39" i="15"/>
  <c r="P39" i="15"/>
  <c r="L39" i="15"/>
  <c r="N39" i="15" s="1"/>
  <c r="H39" i="15"/>
  <c r="D39" i="15"/>
  <c r="B39" i="15"/>
  <c r="T38" i="15"/>
  <c r="X38" i="15" s="1"/>
  <c r="Z38" i="15" s="1"/>
  <c r="P38" i="15"/>
  <c r="H38" i="15"/>
  <c r="L38" i="15" s="1"/>
  <c r="N38" i="15" s="1"/>
  <c r="D38" i="15"/>
  <c r="B38" i="15"/>
  <c r="T37" i="15"/>
  <c r="P37" i="15"/>
  <c r="X37" i="15" s="1"/>
  <c r="H37" i="15"/>
  <c r="D37" i="15"/>
  <c r="L37" i="15" s="1"/>
  <c r="N37" i="15" s="1"/>
  <c r="B37" i="15"/>
  <c r="T36" i="15"/>
  <c r="P36" i="15"/>
  <c r="H36" i="15"/>
  <c r="D36" i="15"/>
  <c r="B36" i="15"/>
  <c r="X35" i="15"/>
  <c r="T35" i="15"/>
  <c r="P35" i="15"/>
  <c r="L35" i="15"/>
  <c r="N35" i="15" s="1"/>
  <c r="H35" i="15"/>
  <c r="D35" i="15"/>
  <c r="B35" i="15"/>
  <c r="T34" i="15"/>
  <c r="X34" i="15" s="1"/>
  <c r="Z34" i="15" s="1"/>
  <c r="P34" i="15"/>
  <c r="N34" i="15"/>
  <c r="L34" i="15"/>
  <c r="H34" i="15"/>
  <c r="D34" i="15"/>
  <c r="B34" i="15"/>
  <c r="T33" i="15"/>
  <c r="P33" i="15"/>
  <c r="X33" i="15" s="1"/>
  <c r="H33" i="15"/>
  <c r="D33" i="15"/>
  <c r="L33" i="15" s="1"/>
  <c r="N33" i="15" s="1"/>
  <c r="B33" i="15"/>
  <c r="T32" i="15"/>
  <c r="P32" i="15"/>
  <c r="H32" i="15"/>
  <c r="D32" i="15"/>
  <c r="B32" i="15"/>
  <c r="X31" i="15"/>
  <c r="T31" i="15"/>
  <c r="P31" i="15"/>
  <c r="L31" i="15"/>
  <c r="N31" i="15" s="1"/>
  <c r="H31" i="15"/>
  <c r="D31" i="15"/>
  <c r="B31" i="15"/>
  <c r="Z30" i="15"/>
  <c r="T30" i="15"/>
  <c r="X30" i="15" s="1"/>
  <c r="P30" i="15"/>
  <c r="N30" i="15"/>
  <c r="L30" i="15"/>
  <c r="H30" i="15"/>
  <c r="D30" i="15"/>
  <c r="B30" i="15"/>
  <c r="T29" i="15"/>
  <c r="Z29" i="15" s="1"/>
  <c r="P29" i="15"/>
  <c r="X29" i="15" s="1"/>
  <c r="H29" i="15"/>
  <c r="D29" i="15"/>
  <c r="L29" i="15" s="1"/>
  <c r="N29" i="15" s="1"/>
  <c r="B29" i="15"/>
  <c r="T28" i="15"/>
  <c r="P28" i="15"/>
  <c r="H28" i="15"/>
  <c r="D28" i="15"/>
  <c r="B28" i="15"/>
  <c r="X27" i="15"/>
  <c r="T27" i="15"/>
  <c r="Z27" i="15" s="1"/>
  <c r="P27" i="15"/>
  <c r="L27" i="15"/>
  <c r="N27" i="15" s="1"/>
  <c r="H27" i="15"/>
  <c r="D27" i="15"/>
  <c r="B27" i="15"/>
  <c r="T26" i="15"/>
  <c r="X26" i="15" s="1"/>
  <c r="Z26" i="15" s="1"/>
  <c r="P26" i="15"/>
  <c r="N26" i="15"/>
  <c r="L26" i="15"/>
  <c r="H26" i="15"/>
  <c r="D26" i="15"/>
  <c r="B26" i="15"/>
  <c r="T25" i="15"/>
  <c r="P25" i="15"/>
  <c r="X25" i="15" s="1"/>
  <c r="H25" i="15"/>
  <c r="D25" i="15"/>
  <c r="L25" i="15" s="1"/>
  <c r="N25" i="15" s="1"/>
  <c r="B25" i="15"/>
  <c r="T24" i="15"/>
  <c r="P24" i="15"/>
  <c r="H24" i="15"/>
  <c r="D24" i="15"/>
  <c r="B24" i="15"/>
  <c r="X23" i="15"/>
  <c r="T23" i="15"/>
  <c r="Z23" i="15" s="1"/>
  <c r="P23" i="15"/>
  <c r="N23" i="15"/>
  <c r="L23" i="15"/>
  <c r="H23" i="15"/>
  <c r="D23" i="15"/>
  <c r="B23" i="15"/>
  <c r="T22" i="15"/>
  <c r="X22" i="15" s="1"/>
  <c r="Z22" i="15" s="1"/>
  <c r="P22" i="15"/>
  <c r="N22" i="15"/>
  <c r="L22" i="15"/>
  <c r="H22" i="15"/>
  <c r="D22" i="15"/>
  <c r="B22" i="15"/>
  <c r="T21" i="15"/>
  <c r="P21" i="15"/>
  <c r="X21" i="15" s="1"/>
  <c r="H21" i="15"/>
  <c r="D21" i="15"/>
  <c r="L21" i="15" s="1"/>
  <c r="N21" i="15" s="1"/>
  <c r="B21" i="15"/>
  <c r="T20" i="15"/>
  <c r="P20" i="15"/>
  <c r="H20" i="15"/>
  <c r="D20" i="15"/>
  <c r="B20" i="15"/>
  <c r="X19" i="15"/>
  <c r="T19" i="15"/>
  <c r="Z19" i="15" s="1"/>
  <c r="P19" i="15"/>
  <c r="L19" i="15"/>
  <c r="N19" i="15" s="1"/>
  <c r="H19" i="15"/>
  <c r="D19" i="15"/>
  <c r="B19" i="15"/>
  <c r="Z18" i="15"/>
  <c r="T18" i="15"/>
  <c r="X18" i="15" s="1"/>
  <c r="P18" i="15"/>
  <c r="N18" i="15"/>
  <c r="L18" i="15"/>
  <c r="H18" i="15"/>
  <c r="D18" i="15"/>
  <c r="B18" i="15"/>
  <c r="T17" i="15"/>
  <c r="Z17" i="15" s="1"/>
  <c r="P17" i="15"/>
  <c r="X17" i="15" s="1"/>
  <c r="N17" i="15"/>
  <c r="H17" i="15"/>
  <c r="D17" i="15"/>
  <c r="L17" i="15" s="1"/>
  <c r="B17" i="15"/>
  <c r="T16" i="15"/>
  <c r="P16" i="15"/>
  <c r="H16" i="15"/>
  <c r="H12" i="15" s="1"/>
  <c r="J194" i="15" s="1"/>
  <c r="D16" i="15"/>
  <c r="B16" i="15"/>
  <c r="X15" i="15"/>
  <c r="T15" i="15"/>
  <c r="Z15" i="15" s="1"/>
  <c r="P15" i="15"/>
  <c r="L15" i="15"/>
  <c r="N15" i="15" s="1"/>
  <c r="H15" i="15"/>
  <c r="D15" i="15"/>
  <c r="B15" i="15"/>
  <c r="T14" i="15"/>
  <c r="X14" i="15" s="1"/>
  <c r="Z14" i="15" s="1"/>
  <c r="P14" i="15"/>
  <c r="N14" i="15"/>
  <c r="L14" i="15"/>
  <c r="H14" i="15"/>
  <c r="D14" i="15"/>
  <c r="B14" i="15"/>
  <c r="T13" i="15"/>
  <c r="Z13" i="15" s="1"/>
  <c r="P13" i="15"/>
  <c r="N13" i="15"/>
  <c r="H13" i="15"/>
  <c r="D13" i="15"/>
  <c r="B13" i="15"/>
  <c r="D4" i="15"/>
  <c r="Z281" i="12"/>
  <c r="X281" i="12"/>
  <c r="L281" i="12"/>
  <c r="N281" i="12" s="1"/>
  <c r="X277" i="12"/>
  <c r="T277" i="12"/>
  <c r="P277" i="12"/>
  <c r="L277" i="12"/>
  <c r="N277" i="12" s="1"/>
  <c r="H277" i="12"/>
  <c r="D277" i="12"/>
  <c r="B277" i="12"/>
  <c r="T276" i="12"/>
  <c r="X276" i="12" s="1"/>
  <c r="P276" i="12"/>
  <c r="N276" i="12"/>
  <c r="H276" i="12"/>
  <c r="D276" i="12"/>
  <c r="L276" i="12" s="1"/>
  <c r="B276" i="12"/>
  <c r="T275" i="12"/>
  <c r="P275" i="12"/>
  <c r="H275" i="12"/>
  <c r="N275" i="12" s="1"/>
  <c r="D275" i="12"/>
  <c r="L275" i="12" s="1"/>
  <c r="B275" i="12"/>
  <c r="X274" i="12"/>
  <c r="Z274" i="12" s="1"/>
  <c r="T274" i="12"/>
  <c r="P274" i="12"/>
  <c r="L274" i="12"/>
  <c r="H274" i="12"/>
  <c r="D274" i="12"/>
  <c r="B274" i="12"/>
  <c r="T273" i="12"/>
  <c r="P273" i="12"/>
  <c r="H273" i="12"/>
  <c r="D273" i="12"/>
  <c r="B273" i="12"/>
  <c r="Z272" i="12"/>
  <c r="T272" i="12"/>
  <c r="P272" i="12"/>
  <c r="X272" i="12" s="1"/>
  <c r="H272" i="12"/>
  <c r="D272" i="12"/>
  <c r="L272" i="12" s="1"/>
  <c r="N272" i="12" s="1"/>
  <c r="B272" i="12"/>
  <c r="T271" i="12"/>
  <c r="P271" i="12"/>
  <c r="X271" i="12" s="1"/>
  <c r="Z271" i="12" s="1"/>
  <c r="H271" i="12"/>
  <c r="D271" i="12"/>
  <c r="L271" i="12" s="1"/>
  <c r="B271" i="12"/>
  <c r="T270" i="12"/>
  <c r="P270" i="12"/>
  <c r="H270" i="12"/>
  <c r="L270" i="12" s="1"/>
  <c r="D270" i="12"/>
  <c r="B270" i="12"/>
  <c r="T269" i="12"/>
  <c r="P269" i="12"/>
  <c r="L269" i="12"/>
  <c r="H269" i="12"/>
  <c r="D269" i="12"/>
  <c r="B269" i="12"/>
  <c r="X266" i="12"/>
  <c r="Z266" i="12" s="1"/>
  <c r="N266" i="12"/>
  <c r="L266" i="12"/>
  <c r="B266" i="12"/>
  <c r="T265" i="12"/>
  <c r="P265" i="12"/>
  <c r="X265" i="12" s="1"/>
  <c r="Z265" i="12" s="1"/>
  <c r="H265" i="12"/>
  <c r="D265" i="12"/>
  <c r="B265" i="12"/>
  <c r="Z264" i="12"/>
  <c r="X264" i="12"/>
  <c r="N264" i="12"/>
  <c r="L264" i="12"/>
  <c r="B264" i="12"/>
  <c r="X263" i="12"/>
  <c r="Z263" i="12" s="1"/>
  <c r="N263" i="12"/>
  <c r="L263" i="12"/>
  <c r="B263" i="12"/>
  <c r="Z262" i="12"/>
  <c r="X262" i="12"/>
  <c r="N262" i="12"/>
  <c r="L262" i="12"/>
  <c r="B262" i="12"/>
  <c r="T261" i="12"/>
  <c r="Z261" i="12" s="1"/>
  <c r="P261" i="12"/>
  <c r="X261" i="12" s="1"/>
  <c r="H261" i="12"/>
  <c r="D261" i="12"/>
  <c r="B261" i="12"/>
  <c r="Z260" i="12"/>
  <c r="X260" i="12"/>
  <c r="L260" i="12"/>
  <c r="N260" i="12" s="1"/>
  <c r="B260" i="12"/>
  <c r="T259" i="12"/>
  <c r="P259" i="12"/>
  <c r="X259" i="12" s="1"/>
  <c r="H259" i="12"/>
  <c r="D259" i="12"/>
  <c r="L259" i="12" s="1"/>
  <c r="B259" i="12"/>
  <c r="X258" i="12"/>
  <c r="Z258" i="12" s="1"/>
  <c r="N258" i="12"/>
  <c r="L258" i="12"/>
  <c r="B258" i="12"/>
  <c r="X257" i="12"/>
  <c r="Z257" i="12" s="1"/>
  <c r="L257" i="12"/>
  <c r="N257" i="12" s="1"/>
  <c r="B257" i="12"/>
  <c r="X256" i="12"/>
  <c r="Z256" i="12" s="1"/>
  <c r="T256" i="12"/>
  <c r="P256" i="12"/>
  <c r="L256" i="12"/>
  <c r="H256" i="12"/>
  <c r="D256" i="12"/>
  <c r="B256" i="12"/>
  <c r="X255" i="12"/>
  <c r="Z255" i="12" s="1"/>
  <c r="N255" i="12"/>
  <c r="L255" i="12"/>
  <c r="B255" i="12"/>
  <c r="Z254" i="12"/>
  <c r="X254" i="12"/>
  <c r="N254" i="12"/>
  <c r="L254" i="12"/>
  <c r="B254" i="12"/>
  <c r="X253" i="12"/>
  <c r="Z253" i="12" s="1"/>
  <c r="L253" i="12"/>
  <c r="N253" i="12" s="1"/>
  <c r="B253" i="12"/>
  <c r="Z252" i="12"/>
  <c r="X252" i="12"/>
  <c r="N252" i="12"/>
  <c r="L252" i="12"/>
  <c r="B252" i="12"/>
  <c r="Z251" i="12"/>
  <c r="X251" i="12"/>
  <c r="L251" i="12"/>
  <c r="N251" i="12" s="1"/>
  <c r="B251" i="12"/>
  <c r="Z250" i="12"/>
  <c r="X250" i="12"/>
  <c r="N250" i="12"/>
  <c r="L250" i="12"/>
  <c r="B250" i="12"/>
  <c r="X249" i="12"/>
  <c r="Z249" i="12" s="1"/>
  <c r="L249" i="12"/>
  <c r="N249" i="12" s="1"/>
  <c r="B249" i="12"/>
  <c r="Z248" i="12"/>
  <c r="X248" i="12"/>
  <c r="L248" i="12"/>
  <c r="N248" i="12" s="1"/>
  <c r="B248" i="12"/>
  <c r="T247" i="12"/>
  <c r="P247" i="12"/>
  <c r="H247" i="12"/>
  <c r="N247" i="12" s="1"/>
  <c r="D247" i="12"/>
  <c r="L247" i="12" s="1"/>
  <c r="B247" i="12"/>
  <c r="Z246" i="12"/>
  <c r="X246" i="12"/>
  <c r="L246" i="12"/>
  <c r="N246" i="12" s="1"/>
  <c r="B246" i="12"/>
  <c r="X245" i="12"/>
  <c r="Z245" i="12" s="1"/>
  <c r="L245" i="12"/>
  <c r="N245" i="12" s="1"/>
  <c r="B245" i="12"/>
  <c r="T244" i="12"/>
  <c r="P244" i="12"/>
  <c r="X244" i="12" s="1"/>
  <c r="Z244" i="12" s="1"/>
  <c r="H244" i="12"/>
  <c r="D244" i="12"/>
  <c r="L244" i="12" s="1"/>
  <c r="N244" i="12" s="1"/>
  <c r="B244" i="12"/>
  <c r="X243" i="12"/>
  <c r="Z243" i="12" s="1"/>
  <c r="L243" i="12"/>
  <c r="N243" i="12" s="1"/>
  <c r="B243" i="12"/>
  <c r="X242" i="12"/>
  <c r="Z242" i="12" s="1"/>
  <c r="N242" i="12"/>
  <c r="L242" i="12"/>
  <c r="B242" i="12"/>
  <c r="X241" i="12"/>
  <c r="Z241" i="12" s="1"/>
  <c r="L241" i="12"/>
  <c r="N241" i="12" s="1"/>
  <c r="B241" i="12"/>
  <c r="Z240" i="12"/>
  <c r="X240" i="12"/>
  <c r="N240" i="12"/>
  <c r="L240" i="12"/>
  <c r="B240" i="12"/>
  <c r="X239" i="12"/>
  <c r="Z239" i="12" s="1"/>
  <c r="L239" i="12"/>
  <c r="N239" i="12" s="1"/>
  <c r="B239" i="12"/>
  <c r="T238" i="12"/>
  <c r="P238" i="12"/>
  <c r="L238" i="12"/>
  <c r="N238" i="12" s="1"/>
  <c r="H238" i="12"/>
  <c r="D238" i="12"/>
  <c r="B238" i="12"/>
  <c r="X237" i="12"/>
  <c r="Z237" i="12" s="1"/>
  <c r="L237" i="12"/>
  <c r="N237" i="12" s="1"/>
  <c r="B237" i="12"/>
  <c r="Z236" i="12"/>
  <c r="X236" i="12"/>
  <c r="L236" i="12"/>
  <c r="N236" i="12" s="1"/>
  <c r="B236" i="12"/>
  <c r="X235" i="12"/>
  <c r="Z235" i="12" s="1"/>
  <c r="N235" i="12"/>
  <c r="L235" i="12"/>
  <c r="B235" i="12"/>
  <c r="T234" i="12"/>
  <c r="X234" i="12" s="1"/>
  <c r="P234" i="12"/>
  <c r="H234" i="12"/>
  <c r="D234" i="12"/>
  <c r="B234" i="12"/>
  <c r="X233" i="12"/>
  <c r="Z233" i="12" s="1"/>
  <c r="L233" i="12"/>
  <c r="N233" i="12" s="1"/>
  <c r="B233" i="12"/>
  <c r="Z232" i="12"/>
  <c r="X232" i="12"/>
  <c r="L232" i="12"/>
  <c r="N232" i="12" s="1"/>
  <c r="B232" i="12"/>
  <c r="Z231" i="12"/>
  <c r="X231" i="12"/>
  <c r="N231" i="12"/>
  <c r="L231" i="12"/>
  <c r="B231" i="12"/>
  <c r="Z230" i="12"/>
  <c r="X230" i="12"/>
  <c r="L230" i="12"/>
  <c r="N230" i="12" s="1"/>
  <c r="B230" i="12"/>
  <c r="X229" i="12"/>
  <c r="Z229" i="12" s="1"/>
  <c r="T229" i="12"/>
  <c r="P229" i="12"/>
  <c r="H229" i="12"/>
  <c r="D229" i="12"/>
  <c r="L229" i="12" s="1"/>
  <c r="N229" i="12" s="1"/>
  <c r="B229" i="12"/>
  <c r="X228" i="12"/>
  <c r="Z228" i="12" s="1"/>
  <c r="L228" i="12"/>
  <c r="N228" i="12" s="1"/>
  <c r="B228" i="12"/>
  <c r="T227" i="12"/>
  <c r="P227" i="12"/>
  <c r="X227" i="12" s="1"/>
  <c r="H227" i="12"/>
  <c r="D227" i="12"/>
  <c r="L227" i="12" s="1"/>
  <c r="N227" i="12" s="1"/>
  <c r="B227" i="12"/>
  <c r="X226" i="12"/>
  <c r="Z226" i="12" s="1"/>
  <c r="N226" i="12"/>
  <c r="L226" i="12"/>
  <c r="B226" i="12"/>
  <c r="Z225" i="12"/>
  <c r="X225" i="12"/>
  <c r="T225" i="12"/>
  <c r="P225" i="12"/>
  <c r="N225" i="12"/>
  <c r="L225" i="12"/>
  <c r="H225" i="12"/>
  <c r="D225" i="12"/>
  <c r="B225" i="12"/>
  <c r="Z224" i="12"/>
  <c r="X224" i="12"/>
  <c r="L224" i="12"/>
  <c r="N224" i="12" s="1"/>
  <c r="B224" i="12"/>
  <c r="X223" i="12"/>
  <c r="T223" i="12"/>
  <c r="Z223" i="12" s="1"/>
  <c r="P223" i="12"/>
  <c r="H223" i="12"/>
  <c r="L223" i="12" s="1"/>
  <c r="N223" i="12" s="1"/>
  <c r="D223" i="12"/>
  <c r="B223" i="12"/>
  <c r="X222" i="12"/>
  <c r="Z222" i="12" s="1"/>
  <c r="L222" i="12"/>
  <c r="N222" i="12" s="1"/>
  <c r="B222" i="12"/>
  <c r="T221" i="12"/>
  <c r="P221" i="12"/>
  <c r="X221" i="12" s="1"/>
  <c r="Z221" i="12" s="1"/>
  <c r="H221" i="12"/>
  <c r="D221" i="12"/>
  <c r="L221" i="12" s="1"/>
  <c r="B221" i="12"/>
  <c r="X220" i="12"/>
  <c r="Z220" i="12" s="1"/>
  <c r="N220" i="12"/>
  <c r="L220" i="12"/>
  <c r="B220" i="12"/>
  <c r="X219" i="12"/>
  <c r="Z219" i="12" s="1"/>
  <c r="T219" i="12"/>
  <c r="P219" i="12"/>
  <c r="N219" i="12"/>
  <c r="L219" i="12"/>
  <c r="H219" i="12"/>
  <c r="D219" i="12"/>
  <c r="B219" i="12"/>
  <c r="X218" i="12"/>
  <c r="Z218" i="12" s="1"/>
  <c r="L218" i="12"/>
  <c r="N218" i="12" s="1"/>
  <c r="B218" i="12"/>
  <c r="T217" i="12"/>
  <c r="X217" i="12" s="1"/>
  <c r="Z217" i="12" s="1"/>
  <c r="P217" i="12"/>
  <c r="L217" i="12"/>
  <c r="H217" i="12"/>
  <c r="N217" i="12" s="1"/>
  <c r="D217" i="12"/>
  <c r="B217" i="12"/>
  <c r="X216" i="12"/>
  <c r="Z216" i="12" s="1"/>
  <c r="L216" i="12"/>
  <c r="N216" i="12" s="1"/>
  <c r="B216" i="12"/>
  <c r="X215" i="12"/>
  <c r="Z215" i="12" s="1"/>
  <c r="L215" i="12"/>
  <c r="N215" i="12" s="1"/>
  <c r="B215" i="12"/>
  <c r="T214" i="12"/>
  <c r="P214" i="12"/>
  <c r="X214" i="12" s="1"/>
  <c r="Z214" i="12" s="1"/>
  <c r="H214" i="12"/>
  <c r="D214" i="12"/>
  <c r="B214" i="12"/>
  <c r="Z213" i="12"/>
  <c r="X213" i="12"/>
  <c r="N213" i="12"/>
  <c r="L213" i="12"/>
  <c r="B213" i="12"/>
  <c r="T212" i="12"/>
  <c r="X212" i="12" s="1"/>
  <c r="P212" i="12"/>
  <c r="H212" i="12"/>
  <c r="D212" i="12"/>
  <c r="L212" i="12" s="1"/>
  <c r="B212" i="12"/>
  <c r="X211" i="12"/>
  <c r="Z211" i="12" s="1"/>
  <c r="L211" i="12"/>
  <c r="N211" i="12" s="1"/>
  <c r="B211" i="12"/>
  <c r="X210" i="12"/>
  <c r="Z210" i="12" s="1"/>
  <c r="T210" i="12"/>
  <c r="P210" i="12"/>
  <c r="H210" i="12"/>
  <c r="D210" i="12"/>
  <c r="L210" i="12" s="1"/>
  <c r="B210" i="12"/>
  <c r="Z209" i="12"/>
  <c r="X209" i="12"/>
  <c r="N209" i="12"/>
  <c r="L209" i="12"/>
  <c r="B209" i="12"/>
  <c r="T208" i="12"/>
  <c r="P208" i="12"/>
  <c r="H208" i="12"/>
  <c r="D208" i="12"/>
  <c r="L208" i="12" s="1"/>
  <c r="N208" i="12" s="1"/>
  <c r="B208" i="12"/>
  <c r="X207" i="12"/>
  <c r="Z207" i="12" s="1"/>
  <c r="L207" i="12"/>
  <c r="N207" i="12" s="1"/>
  <c r="B207" i="12"/>
  <c r="X206" i="12"/>
  <c r="Z206" i="12" s="1"/>
  <c r="L206" i="12"/>
  <c r="N206" i="12" s="1"/>
  <c r="B206" i="12"/>
  <c r="Z205" i="12"/>
  <c r="X205" i="12"/>
  <c r="T205" i="12"/>
  <c r="P205" i="12"/>
  <c r="L205" i="12"/>
  <c r="N205" i="12" s="1"/>
  <c r="H205" i="12"/>
  <c r="D205" i="12"/>
  <c r="B205" i="12"/>
  <c r="Z204" i="12"/>
  <c r="X204" i="12"/>
  <c r="L204" i="12"/>
  <c r="N204" i="12" s="1"/>
  <c r="B204" i="12"/>
  <c r="X203" i="12"/>
  <c r="Z203" i="12" s="1"/>
  <c r="L203" i="12"/>
  <c r="N203" i="12" s="1"/>
  <c r="B203" i="12"/>
  <c r="X202" i="12"/>
  <c r="Z202" i="12" s="1"/>
  <c r="T202" i="12"/>
  <c r="P202" i="12"/>
  <c r="H202" i="12"/>
  <c r="N202" i="12" s="1"/>
  <c r="D202" i="12"/>
  <c r="L202" i="12" s="1"/>
  <c r="B202" i="12"/>
  <c r="Z201" i="12"/>
  <c r="X201" i="12"/>
  <c r="N201" i="12"/>
  <c r="L201" i="12"/>
  <c r="B201" i="12"/>
  <c r="T200" i="12"/>
  <c r="P200" i="12"/>
  <c r="H200" i="12"/>
  <c r="D200" i="12"/>
  <c r="L200" i="12" s="1"/>
  <c r="N200" i="12" s="1"/>
  <c r="B200" i="12"/>
  <c r="Z199" i="12"/>
  <c r="X199" i="12"/>
  <c r="N199" i="12"/>
  <c r="L199" i="12"/>
  <c r="B199" i="12"/>
  <c r="X198" i="12"/>
  <c r="Z198" i="12" s="1"/>
  <c r="L198" i="12"/>
  <c r="N198" i="12" s="1"/>
  <c r="B198" i="12"/>
  <c r="Z197" i="12"/>
  <c r="X197" i="12"/>
  <c r="T197" i="12"/>
  <c r="P197" i="12"/>
  <c r="L197" i="12"/>
  <c r="N197" i="12" s="1"/>
  <c r="H197" i="12"/>
  <c r="D197" i="12"/>
  <c r="B197" i="12"/>
  <c r="Z196" i="12"/>
  <c r="X196" i="12"/>
  <c r="L196" i="12"/>
  <c r="N196" i="12" s="1"/>
  <c r="B196" i="12"/>
  <c r="X195" i="12"/>
  <c r="T195" i="12"/>
  <c r="Z195" i="12" s="1"/>
  <c r="P195" i="12"/>
  <c r="H195" i="12"/>
  <c r="L195" i="12" s="1"/>
  <c r="N195" i="12" s="1"/>
  <c r="D195" i="12"/>
  <c r="B195" i="12"/>
  <c r="X194" i="12"/>
  <c r="Z194" i="12" s="1"/>
  <c r="L194" i="12"/>
  <c r="N194" i="12" s="1"/>
  <c r="B194" i="12"/>
  <c r="Z193" i="12"/>
  <c r="X193" i="12"/>
  <c r="N193" i="12"/>
  <c r="L193" i="12"/>
  <c r="B193" i="12"/>
  <c r="X192" i="12"/>
  <c r="Z192" i="12" s="1"/>
  <c r="L192" i="12"/>
  <c r="N192" i="12" s="1"/>
  <c r="B192" i="12"/>
  <c r="X191" i="12"/>
  <c r="Z191" i="12" s="1"/>
  <c r="L191" i="12"/>
  <c r="N191" i="12" s="1"/>
  <c r="B191" i="12"/>
  <c r="X190" i="12"/>
  <c r="Z190" i="12" s="1"/>
  <c r="L190" i="12"/>
  <c r="N190" i="12" s="1"/>
  <c r="B190" i="12"/>
  <c r="Z189" i="12"/>
  <c r="X189" i="12"/>
  <c r="N189" i="12"/>
  <c r="L189" i="12"/>
  <c r="B189" i="12"/>
  <c r="X188" i="12"/>
  <c r="Z188" i="12" s="1"/>
  <c r="L188" i="12"/>
  <c r="N188" i="12" s="1"/>
  <c r="B188" i="12"/>
  <c r="T187" i="12"/>
  <c r="P187" i="12"/>
  <c r="X187" i="12" s="1"/>
  <c r="H187" i="12"/>
  <c r="D187" i="12"/>
  <c r="L187" i="12" s="1"/>
  <c r="N187" i="12" s="1"/>
  <c r="B187" i="12"/>
  <c r="X186" i="12"/>
  <c r="Z186" i="12" s="1"/>
  <c r="L186" i="12"/>
  <c r="N186" i="12" s="1"/>
  <c r="B186" i="12"/>
  <c r="Z185" i="12"/>
  <c r="X185" i="12"/>
  <c r="N185" i="12"/>
  <c r="L185" i="12"/>
  <c r="B185" i="12"/>
  <c r="X184" i="12"/>
  <c r="Z184" i="12" s="1"/>
  <c r="N184" i="12"/>
  <c r="L184" i="12"/>
  <c r="B184" i="12"/>
  <c r="X183" i="12"/>
  <c r="Z183" i="12" s="1"/>
  <c r="L183" i="12"/>
  <c r="N183" i="12" s="1"/>
  <c r="B183" i="12"/>
  <c r="X182" i="12"/>
  <c r="Z182" i="12" s="1"/>
  <c r="L182" i="12"/>
  <c r="N182" i="12" s="1"/>
  <c r="B182" i="12"/>
  <c r="Z181" i="12"/>
  <c r="X181" i="12"/>
  <c r="N181" i="12"/>
  <c r="L181" i="12"/>
  <c r="B181" i="12"/>
  <c r="X180" i="12"/>
  <c r="Z180" i="12" s="1"/>
  <c r="N180" i="12"/>
  <c r="L180" i="12"/>
  <c r="B180" i="12"/>
  <c r="X179" i="12"/>
  <c r="Z179" i="12" s="1"/>
  <c r="L179" i="12"/>
  <c r="N179" i="12" s="1"/>
  <c r="B179" i="12"/>
  <c r="X178" i="12"/>
  <c r="Z178" i="12" s="1"/>
  <c r="L178" i="12"/>
  <c r="N178" i="12" s="1"/>
  <c r="B178" i="12"/>
  <c r="Z177" i="12"/>
  <c r="X177" i="12"/>
  <c r="T177" i="12"/>
  <c r="P177" i="12"/>
  <c r="L177" i="12"/>
  <c r="N177" i="12" s="1"/>
  <c r="H177" i="12"/>
  <c r="D177" i="12"/>
  <c r="B177" i="12"/>
  <c r="T176" i="12"/>
  <c r="P176" i="12"/>
  <c r="X176" i="12" s="1"/>
  <c r="L176" i="12"/>
  <c r="N176" i="12" s="1"/>
  <c r="H176" i="12"/>
  <c r="D176" i="12"/>
  <c r="Z172" i="12"/>
  <c r="X172" i="12"/>
  <c r="L172" i="12"/>
  <c r="N172" i="12" s="1"/>
  <c r="B172" i="12"/>
  <c r="Z171" i="12"/>
  <c r="X171" i="12"/>
  <c r="L171" i="12"/>
  <c r="N171" i="12" s="1"/>
  <c r="B171" i="12"/>
  <c r="X170" i="12"/>
  <c r="Z170" i="12" s="1"/>
  <c r="L170" i="12"/>
  <c r="N170" i="12" s="1"/>
  <c r="B170" i="12"/>
  <c r="Z169" i="12"/>
  <c r="X169" i="12"/>
  <c r="N169" i="12"/>
  <c r="L169" i="12"/>
  <c r="B169" i="12"/>
  <c r="Z168" i="12"/>
  <c r="X168" i="12"/>
  <c r="L168" i="12"/>
  <c r="N168" i="12" s="1"/>
  <c r="B168" i="12"/>
  <c r="Z167" i="12"/>
  <c r="X167" i="12"/>
  <c r="L167" i="12"/>
  <c r="N167" i="12" s="1"/>
  <c r="B167" i="12"/>
  <c r="X166" i="12"/>
  <c r="Z166" i="12" s="1"/>
  <c r="L166" i="12"/>
  <c r="N166" i="12" s="1"/>
  <c r="B166" i="12"/>
  <c r="Z165" i="12"/>
  <c r="X165" i="12"/>
  <c r="N165" i="12"/>
  <c r="L165" i="12"/>
  <c r="B165" i="12"/>
  <c r="Z164" i="12"/>
  <c r="X164" i="12"/>
  <c r="L164" i="12"/>
  <c r="N164" i="12" s="1"/>
  <c r="B164" i="12"/>
  <c r="X163" i="12"/>
  <c r="Z163" i="12" s="1"/>
  <c r="L163" i="12"/>
  <c r="N163" i="12" s="1"/>
  <c r="B163" i="12"/>
  <c r="X162" i="12"/>
  <c r="Z162" i="12" s="1"/>
  <c r="L162" i="12"/>
  <c r="N162" i="12" s="1"/>
  <c r="B162" i="12"/>
  <c r="Z161" i="12"/>
  <c r="X161" i="12"/>
  <c r="N161" i="12"/>
  <c r="L161" i="12"/>
  <c r="B161" i="12"/>
  <c r="Z160" i="12"/>
  <c r="X160" i="12"/>
  <c r="L160" i="12"/>
  <c r="N160" i="12" s="1"/>
  <c r="B160" i="12"/>
  <c r="X159" i="12"/>
  <c r="Z159" i="12" s="1"/>
  <c r="N159" i="12"/>
  <c r="L159" i="12"/>
  <c r="B159" i="12"/>
  <c r="X158" i="12"/>
  <c r="Z158" i="12" s="1"/>
  <c r="L158" i="12"/>
  <c r="N158" i="12" s="1"/>
  <c r="B158" i="12"/>
  <c r="Z157" i="12"/>
  <c r="X157" i="12"/>
  <c r="N157" i="12"/>
  <c r="L157" i="12"/>
  <c r="B157" i="12"/>
  <c r="Z156" i="12"/>
  <c r="X156" i="12"/>
  <c r="N156" i="12"/>
  <c r="L156" i="12"/>
  <c r="B156" i="12"/>
  <c r="X155" i="12"/>
  <c r="Z155" i="12" s="1"/>
  <c r="L155" i="12"/>
  <c r="N155" i="12" s="1"/>
  <c r="B155" i="12"/>
  <c r="X154" i="12"/>
  <c r="Z154" i="12" s="1"/>
  <c r="L154" i="12"/>
  <c r="N154" i="12" s="1"/>
  <c r="B154" i="12"/>
  <c r="Z153" i="12"/>
  <c r="X153" i="12"/>
  <c r="N153" i="12"/>
  <c r="L153" i="12"/>
  <c r="B153" i="12"/>
  <c r="Z152" i="12"/>
  <c r="X152" i="12"/>
  <c r="L152" i="12"/>
  <c r="N152" i="12" s="1"/>
  <c r="B152" i="12"/>
  <c r="X151" i="12"/>
  <c r="Z151" i="12" s="1"/>
  <c r="N151" i="12"/>
  <c r="L151" i="12"/>
  <c r="B151" i="12"/>
  <c r="X150" i="12"/>
  <c r="Z150" i="12" s="1"/>
  <c r="N150" i="12"/>
  <c r="L150" i="12"/>
  <c r="B150" i="12"/>
  <c r="Z149" i="12"/>
  <c r="X149" i="12"/>
  <c r="N149" i="12"/>
  <c r="L149" i="12"/>
  <c r="B149" i="12"/>
  <c r="Z148" i="12"/>
  <c r="X148" i="12"/>
  <c r="N148" i="12"/>
  <c r="L148" i="12"/>
  <c r="B148" i="12"/>
  <c r="X147" i="12"/>
  <c r="Z147" i="12" s="1"/>
  <c r="L147" i="12"/>
  <c r="N147" i="12" s="1"/>
  <c r="B147" i="12"/>
  <c r="X146" i="12"/>
  <c r="Z146" i="12" s="1"/>
  <c r="L146" i="12"/>
  <c r="N146" i="12" s="1"/>
  <c r="B146" i="12"/>
  <c r="Z145" i="12"/>
  <c r="X145" i="12"/>
  <c r="N145" i="12"/>
  <c r="L145" i="12"/>
  <c r="B145" i="12"/>
  <c r="Z144" i="12"/>
  <c r="X144" i="12"/>
  <c r="L144" i="12"/>
  <c r="N144" i="12" s="1"/>
  <c r="B144" i="12"/>
  <c r="X143" i="12"/>
  <c r="Z143" i="12" s="1"/>
  <c r="L143" i="12"/>
  <c r="N143" i="12" s="1"/>
  <c r="B143" i="12"/>
  <c r="X142" i="12"/>
  <c r="Z142" i="12" s="1"/>
  <c r="L142" i="12"/>
  <c r="N142" i="12" s="1"/>
  <c r="B142" i="12"/>
  <c r="Z141" i="12"/>
  <c r="X141" i="12"/>
  <c r="N141" i="12"/>
  <c r="L141" i="12"/>
  <c r="B141" i="12"/>
  <c r="Z140" i="12"/>
  <c r="X140" i="12"/>
  <c r="L140" i="12"/>
  <c r="N140" i="12" s="1"/>
  <c r="B140" i="12"/>
  <c r="X139" i="12"/>
  <c r="Z139" i="12" s="1"/>
  <c r="L139" i="12"/>
  <c r="N139" i="12" s="1"/>
  <c r="B139" i="12"/>
  <c r="X138" i="12"/>
  <c r="Z138" i="12" s="1"/>
  <c r="L138" i="12"/>
  <c r="N138" i="12" s="1"/>
  <c r="B138" i="12"/>
  <c r="Z137" i="12"/>
  <c r="X137" i="12"/>
  <c r="N137" i="12"/>
  <c r="L137" i="12"/>
  <c r="B137" i="12"/>
  <c r="Z136" i="12"/>
  <c r="X136" i="12"/>
  <c r="L136" i="12"/>
  <c r="N136" i="12" s="1"/>
  <c r="B136" i="12"/>
  <c r="X135" i="12"/>
  <c r="Z135" i="12" s="1"/>
  <c r="L135" i="12"/>
  <c r="N135" i="12" s="1"/>
  <c r="B135" i="12"/>
  <c r="X134" i="12"/>
  <c r="Z134" i="12" s="1"/>
  <c r="L134" i="12"/>
  <c r="N134" i="12" s="1"/>
  <c r="B134" i="12"/>
  <c r="Z133" i="12"/>
  <c r="X133" i="12"/>
  <c r="N133" i="12"/>
  <c r="L133" i="12"/>
  <c r="B133" i="12"/>
  <c r="Z132" i="12"/>
  <c r="X132" i="12"/>
  <c r="L132" i="12"/>
  <c r="N132" i="12" s="1"/>
  <c r="B132" i="12"/>
  <c r="X131" i="12"/>
  <c r="Z131" i="12" s="1"/>
  <c r="L131" i="12"/>
  <c r="N131" i="12" s="1"/>
  <c r="B131" i="12"/>
  <c r="X130" i="12"/>
  <c r="Z130" i="12" s="1"/>
  <c r="L130" i="12"/>
  <c r="N130" i="12" s="1"/>
  <c r="B130" i="12"/>
  <c r="Z129" i="12"/>
  <c r="X129" i="12"/>
  <c r="N129" i="12"/>
  <c r="L129" i="12"/>
  <c r="B129" i="12"/>
  <c r="Z128" i="12"/>
  <c r="X128" i="12"/>
  <c r="N128" i="12"/>
  <c r="L128" i="12"/>
  <c r="B128" i="12"/>
  <c r="X127" i="12"/>
  <c r="Z127" i="12" s="1"/>
  <c r="L127" i="12"/>
  <c r="N127" i="12" s="1"/>
  <c r="B127" i="12"/>
  <c r="X126" i="12"/>
  <c r="Z126" i="12" s="1"/>
  <c r="L126" i="12"/>
  <c r="N126" i="12" s="1"/>
  <c r="B126" i="12"/>
  <c r="Z125" i="12"/>
  <c r="X125" i="12"/>
  <c r="N125" i="12"/>
  <c r="L125" i="12"/>
  <c r="B125" i="12"/>
  <c r="Z124" i="12"/>
  <c r="X124" i="12"/>
  <c r="L124" i="12"/>
  <c r="N124" i="12" s="1"/>
  <c r="B124" i="12"/>
  <c r="X123" i="12"/>
  <c r="Z123" i="12" s="1"/>
  <c r="L123" i="12"/>
  <c r="N123" i="12" s="1"/>
  <c r="B123" i="12"/>
  <c r="X122" i="12"/>
  <c r="Z122" i="12" s="1"/>
  <c r="L122" i="12"/>
  <c r="N122" i="12" s="1"/>
  <c r="B122" i="12"/>
  <c r="Z121" i="12"/>
  <c r="X121" i="12"/>
  <c r="N121" i="12"/>
  <c r="L121" i="12"/>
  <c r="B121" i="12"/>
  <c r="Z120" i="12"/>
  <c r="X120" i="12"/>
  <c r="L120" i="12"/>
  <c r="N120" i="12" s="1"/>
  <c r="B120" i="12"/>
  <c r="T119" i="12"/>
  <c r="P119" i="12"/>
  <c r="X119" i="12" s="1"/>
  <c r="Z119" i="12" s="1"/>
  <c r="H119" i="12"/>
  <c r="L119" i="12" s="1"/>
  <c r="N119" i="12" s="1"/>
  <c r="D119" i="12"/>
  <c r="T117" i="12"/>
  <c r="Z117" i="12" s="1"/>
  <c r="P117" i="12"/>
  <c r="H117" i="12"/>
  <c r="N117" i="12" s="1"/>
  <c r="D117" i="12"/>
  <c r="B117" i="12"/>
  <c r="Z116" i="12"/>
  <c r="X116" i="12"/>
  <c r="T116" i="12"/>
  <c r="P116" i="12"/>
  <c r="N116" i="12"/>
  <c r="L116" i="12"/>
  <c r="H116" i="12"/>
  <c r="D116" i="12"/>
  <c r="B116" i="12"/>
  <c r="T115" i="12"/>
  <c r="P115" i="12"/>
  <c r="X115" i="12" s="1"/>
  <c r="Z115" i="12" s="1"/>
  <c r="H115" i="12"/>
  <c r="D115" i="12"/>
  <c r="L115" i="12" s="1"/>
  <c r="N115" i="12" s="1"/>
  <c r="B115" i="12"/>
  <c r="T114" i="12"/>
  <c r="P114" i="12"/>
  <c r="X114" i="12" s="1"/>
  <c r="H114" i="12"/>
  <c r="N114" i="12" s="1"/>
  <c r="D114" i="12"/>
  <c r="L114" i="12" s="1"/>
  <c r="B114" i="12"/>
  <c r="T113" i="12"/>
  <c r="P113" i="12"/>
  <c r="H113" i="12"/>
  <c r="D113" i="12"/>
  <c r="B113" i="12"/>
  <c r="Z112" i="12"/>
  <c r="X112" i="12"/>
  <c r="T112" i="12"/>
  <c r="P112" i="12"/>
  <c r="N112" i="12"/>
  <c r="L112" i="12"/>
  <c r="H112" i="12"/>
  <c r="D112" i="12"/>
  <c r="B112" i="12"/>
  <c r="Z111" i="12"/>
  <c r="T111" i="12"/>
  <c r="P111" i="12"/>
  <c r="X111" i="12" s="1"/>
  <c r="N111" i="12"/>
  <c r="H111" i="12"/>
  <c r="D111" i="12"/>
  <c r="L111" i="12" s="1"/>
  <c r="B111" i="12"/>
  <c r="T110" i="12"/>
  <c r="Z110" i="12" s="1"/>
  <c r="P110" i="12"/>
  <c r="X110" i="12" s="1"/>
  <c r="H110" i="12"/>
  <c r="N110" i="12" s="1"/>
  <c r="D110" i="12"/>
  <c r="L110" i="12" s="1"/>
  <c r="B110" i="12"/>
  <c r="T109" i="12"/>
  <c r="P109" i="12"/>
  <c r="H109" i="12"/>
  <c r="D109" i="12"/>
  <c r="B109" i="12"/>
  <c r="X108" i="12"/>
  <c r="Z108" i="12" s="1"/>
  <c r="T108" i="12"/>
  <c r="P108" i="12"/>
  <c r="N108" i="12"/>
  <c r="L108" i="12"/>
  <c r="H108" i="12"/>
  <c r="D108" i="12"/>
  <c r="B108" i="12"/>
  <c r="Z107" i="12"/>
  <c r="T107" i="12"/>
  <c r="P107" i="12"/>
  <c r="X107" i="12" s="1"/>
  <c r="N107" i="12"/>
  <c r="H107" i="12"/>
  <c r="D107" i="12"/>
  <c r="L107" i="12" s="1"/>
  <c r="B107" i="12"/>
  <c r="T106" i="12"/>
  <c r="P106" i="12"/>
  <c r="X106" i="12" s="1"/>
  <c r="H106" i="12"/>
  <c r="D106" i="12"/>
  <c r="L106" i="12" s="1"/>
  <c r="B106" i="12"/>
  <c r="T105" i="12"/>
  <c r="P105" i="12"/>
  <c r="H105" i="12"/>
  <c r="N105" i="12" s="1"/>
  <c r="D105" i="12"/>
  <c r="B105" i="12"/>
  <c r="X104" i="12"/>
  <c r="Z104" i="12" s="1"/>
  <c r="T104" i="12"/>
  <c r="P104" i="12"/>
  <c r="N104" i="12"/>
  <c r="L104" i="12"/>
  <c r="H104" i="12"/>
  <c r="D104" i="12"/>
  <c r="B104" i="12"/>
  <c r="T103" i="12"/>
  <c r="P103" i="12"/>
  <c r="X103" i="12" s="1"/>
  <c r="Z103" i="12" s="1"/>
  <c r="H103" i="12"/>
  <c r="D103" i="12"/>
  <c r="L103" i="12" s="1"/>
  <c r="N103" i="12" s="1"/>
  <c r="B103" i="12"/>
  <c r="T102" i="12"/>
  <c r="P102" i="12"/>
  <c r="X102" i="12" s="1"/>
  <c r="H102" i="12"/>
  <c r="D102" i="12"/>
  <c r="L102" i="12" s="1"/>
  <c r="B102" i="12"/>
  <c r="T101" i="12"/>
  <c r="P101" i="12"/>
  <c r="H101" i="12"/>
  <c r="N101" i="12" s="1"/>
  <c r="D101" i="12"/>
  <c r="B101" i="12"/>
  <c r="X100" i="12"/>
  <c r="Z100" i="12" s="1"/>
  <c r="T100" i="12"/>
  <c r="P100" i="12"/>
  <c r="L100" i="12"/>
  <c r="N100" i="12" s="1"/>
  <c r="H100" i="12"/>
  <c r="D100" i="12"/>
  <c r="B100" i="12"/>
  <c r="T99" i="12"/>
  <c r="P99" i="12"/>
  <c r="X99" i="12" s="1"/>
  <c r="Z99" i="12" s="1"/>
  <c r="N99" i="12"/>
  <c r="H99" i="12"/>
  <c r="D99" i="12"/>
  <c r="L99" i="12" s="1"/>
  <c r="B99" i="12"/>
  <c r="T98" i="12"/>
  <c r="Z98" i="12" s="1"/>
  <c r="P98" i="12"/>
  <c r="X98" i="12" s="1"/>
  <c r="H98" i="12"/>
  <c r="N98" i="12" s="1"/>
  <c r="D98" i="12"/>
  <c r="L98" i="12" s="1"/>
  <c r="B98" i="12"/>
  <c r="T97" i="12"/>
  <c r="P97" i="12"/>
  <c r="H97" i="12"/>
  <c r="D97" i="12"/>
  <c r="B97" i="12"/>
  <c r="X96" i="12"/>
  <c r="Z96" i="12" s="1"/>
  <c r="T96" i="12"/>
  <c r="P96" i="12"/>
  <c r="N96" i="12"/>
  <c r="L96" i="12"/>
  <c r="H96" i="12"/>
  <c r="D96" i="12"/>
  <c r="B96" i="12"/>
  <c r="T95" i="12"/>
  <c r="P95" i="12"/>
  <c r="X95" i="12" s="1"/>
  <c r="Z95" i="12" s="1"/>
  <c r="N95" i="12"/>
  <c r="H95" i="12"/>
  <c r="D95" i="12"/>
  <c r="L95" i="12" s="1"/>
  <c r="B95" i="12"/>
  <c r="T94" i="12"/>
  <c r="Z94" i="12" s="1"/>
  <c r="P94" i="12"/>
  <c r="X94" i="12" s="1"/>
  <c r="H94" i="12"/>
  <c r="N94" i="12" s="1"/>
  <c r="D94" i="12"/>
  <c r="L94" i="12" s="1"/>
  <c r="B94" i="12"/>
  <c r="T93" i="12"/>
  <c r="P93" i="12"/>
  <c r="H93" i="12"/>
  <c r="D93" i="12"/>
  <c r="B93" i="12"/>
  <c r="X92" i="12"/>
  <c r="Z92" i="12" s="1"/>
  <c r="T92" i="12"/>
  <c r="P92" i="12"/>
  <c r="N92" i="12"/>
  <c r="L92" i="12"/>
  <c r="H92" i="12"/>
  <c r="D92" i="12"/>
  <c r="B92" i="12"/>
  <c r="T91" i="12"/>
  <c r="P91" i="12"/>
  <c r="X91" i="12" s="1"/>
  <c r="Z91" i="12" s="1"/>
  <c r="N91" i="12"/>
  <c r="H91" i="12"/>
  <c r="D91" i="12"/>
  <c r="L91" i="12" s="1"/>
  <c r="B91" i="12"/>
  <c r="T90" i="12"/>
  <c r="Z90" i="12" s="1"/>
  <c r="P90" i="12"/>
  <c r="X90" i="12" s="1"/>
  <c r="H90" i="12"/>
  <c r="N90" i="12" s="1"/>
  <c r="D90" i="12"/>
  <c r="L90" i="12" s="1"/>
  <c r="B90" i="12"/>
  <c r="T89" i="12"/>
  <c r="P89" i="12"/>
  <c r="H89" i="12"/>
  <c r="D89" i="12"/>
  <c r="B89" i="12"/>
  <c r="X88" i="12"/>
  <c r="Z88" i="12" s="1"/>
  <c r="T88" i="12"/>
  <c r="P88" i="12"/>
  <c r="L88" i="12"/>
  <c r="N88" i="12" s="1"/>
  <c r="H88" i="12"/>
  <c r="D88" i="12"/>
  <c r="B88" i="12"/>
  <c r="T87" i="12"/>
  <c r="P87" i="12"/>
  <c r="X87" i="12" s="1"/>
  <c r="Z87" i="12" s="1"/>
  <c r="H87" i="12"/>
  <c r="D87" i="12"/>
  <c r="L87" i="12" s="1"/>
  <c r="N87" i="12" s="1"/>
  <c r="B87" i="12"/>
  <c r="T86" i="12"/>
  <c r="P86" i="12"/>
  <c r="X86" i="12" s="1"/>
  <c r="H86" i="12"/>
  <c r="N86" i="12" s="1"/>
  <c r="D86" i="12"/>
  <c r="L86" i="12" s="1"/>
  <c r="B86" i="12"/>
  <c r="T85" i="12"/>
  <c r="P85" i="12"/>
  <c r="H85" i="12"/>
  <c r="N85" i="12" s="1"/>
  <c r="D85" i="12"/>
  <c r="B85" i="12"/>
  <c r="X84" i="12"/>
  <c r="Z84" i="12" s="1"/>
  <c r="T84" i="12"/>
  <c r="P84" i="12"/>
  <c r="N84" i="12"/>
  <c r="L84" i="12"/>
  <c r="H84" i="12"/>
  <c r="D84" i="12"/>
  <c r="B84" i="12"/>
  <c r="T83" i="12"/>
  <c r="P83" i="12"/>
  <c r="X83" i="12" s="1"/>
  <c r="Z83" i="12" s="1"/>
  <c r="H83" i="12"/>
  <c r="D83" i="12"/>
  <c r="L83" i="12" s="1"/>
  <c r="N83" i="12" s="1"/>
  <c r="B83" i="12"/>
  <c r="T82" i="12"/>
  <c r="P82" i="12"/>
  <c r="X82" i="12" s="1"/>
  <c r="H82" i="12"/>
  <c r="N82" i="12" s="1"/>
  <c r="D82" i="12"/>
  <c r="L82" i="12" s="1"/>
  <c r="B82" i="12"/>
  <c r="T81" i="12"/>
  <c r="P81" i="12"/>
  <c r="H81" i="12"/>
  <c r="D81" i="12"/>
  <c r="B81" i="12"/>
  <c r="X80" i="12"/>
  <c r="Z80" i="12" s="1"/>
  <c r="T80" i="12"/>
  <c r="P80" i="12"/>
  <c r="L80" i="12"/>
  <c r="N80" i="12" s="1"/>
  <c r="H80" i="12"/>
  <c r="D80" i="12"/>
  <c r="B80" i="12"/>
  <c r="Z79" i="12"/>
  <c r="T79" i="12"/>
  <c r="P79" i="12"/>
  <c r="X79" i="12" s="1"/>
  <c r="H79" i="12"/>
  <c r="D79" i="12"/>
  <c r="L79" i="12" s="1"/>
  <c r="N79" i="12" s="1"/>
  <c r="B79" i="12"/>
  <c r="T78" i="12"/>
  <c r="P78" i="12"/>
  <c r="X78" i="12" s="1"/>
  <c r="H78" i="12"/>
  <c r="D78" i="12"/>
  <c r="L78" i="12" s="1"/>
  <c r="B78" i="12"/>
  <c r="T77" i="12"/>
  <c r="P77" i="12"/>
  <c r="H77" i="12"/>
  <c r="D77" i="12"/>
  <c r="B77" i="12"/>
  <c r="X76" i="12"/>
  <c r="Z76" i="12" s="1"/>
  <c r="T76" i="12"/>
  <c r="P76" i="12"/>
  <c r="L76" i="12"/>
  <c r="N76" i="12" s="1"/>
  <c r="H76" i="12"/>
  <c r="D76" i="12"/>
  <c r="B76" i="12"/>
  <c r="Z75" i="12"/>
  <c r="T75" i="12"/>
  <c r="P75" i="12"/>
  <c r="X75" i="12" s="1"/>
  <c r="H75" i="12"/>
  <c r="D75" i="12"/>
  <c r="L75" i="12" s="1"/>
  <c r="N75" i="12" s="1"/>
  <c r="B75" i="12"/>
  <c r="T74" i="12"/>
  <c r="P74" i="12"/>
  <c r="X74" i="12" s="1"/>
  <c r="H74" i="12"/>
  <c r="D74" i="12"/>
  <c r="L74" i="12" s="1"/>
  <c r="B74" i="12"/>
  <c r="T73" i="12"/>
  <c r="P73" i="12"/>
  <c r="H73" i="12"/>
  <c r="D73" i="12"/>
  <c r="B73" i="12"/>
  <c r="X72" i="12"/>
  <c r="Z72" i="12" s="1"/>
  <c r="T72" i="12"/>
  <c r="P72" i="12"/>
  <c r="L72" i="12"/>
  <c r="N72" i="12" s="1"/>
  <c r="H72" i="12"/>
  <c r="D72" i="12"/>
  <c r="B72" i="12"/>
  <c r="Z71" i="12"/>
  <c r="T71" i="12"/>
  <c r="P71" i="12"/>
  <c r="X71" i="12" s="1"/>
  <c r="H71" i="12"/>
  <c r="D71" i="12"/>
  <c r="L71" i="12" s="1"/>
  <c r="N71" i="12" s="1"/>
  <c r="B71" i="12"/>
  <c r="T70" i="12"/>
  <c r="Z70" i="12" s="1"/>
  <c r="P70" i="12"/>
  <c r="X70" i="12" s="1"/>
  <c r="H70" i="12"/>
  <c r="N70" i="12" s="1"/>
  <c r="D70" i="12"/>
  <c r="L70" i="12" s="1"/>
  <c r="B70" i="12"/>
  <c r="T69" i="12"/>
  <c r="P69" i="12"/>
  <c r="H69" i="12"/>
  <c r="D69" i="12"/>
  <c r="B69" i="12"/>
  <c r="X68" i="12"/>
  <c r="Z68" i="12" s="1"/>
  <c r="T68" i="12"/>
  <c r="P68" i="12"/>
  <c r="L68" i="12"/>
  <c r="N68" i="12" s="1"/>
  <c r="H68" i="12"/>
  <c r="D68" i="12"/>
  <c r="B68" i="12"/>
  <c r="Z67" i="12"/>
  <c r="T67" i="12"/>
  <c r="P67" i="12"/>
  <c r="X67" i="12" s="1"/>
  <c r="H67" i="12"/>
  <c r="D67" i="12"/>
  <c r="L67" i="12" s="1"/>
  <c r="N67" i="12" s="1"/>
  <c r="B67" i="12"/>
  <c r="T66" i="12"/>
  <c r="P66" i="12"/>
  <c r="X66" i="12" s="1"/>
  <c r="H66" i="12"/>
  <c r="D66" i="12"/>
  <c r="L66" i="12" s="1"/>
  <c r="B66" i="12"/>
  <c r="T65" i="12"/>
  <c r="P65" i="12"/>
  <c r="H65" i="12"/>
  <c r="D65" i="12"/>
  <c r="B65" i="12"/>
  <c r="X64" i="12"/>
  <c r="Z64" i="12" s="1"/>
  <c r="T64" i="12"/>
  <c r="P64" i="12"/>
  <c r="N64" i="12"/>
  <c r="L64" i="12"/>
  <c r="H64" i="12"/>
  <c r="D64" i="12"/>
  <c r="B64" i="12"/>
  <c r="T63" i="12"/>
  <c r="P63" i="12"/>
  <c r="X63" i="12" s="1"/>
  <c r="Z63" i="12" s="1"/>
  <c r="N63" i="12"/>
  <c r="H63" i="12"/>
  <c r="D63" i="12"/>
  <c r="L63" i="12" s="1"/>
  <c r="B63" i="12"/>
  <c r="T62" i="12"/>
  <c r="Z62" i="12" s="1"/>
  <c r="P62" i="12"/>
  <c r="X62" i="12" s="1"/>
  <c r="H62" i="12"/>
  <c r="N62" i="12" s="1"/>
  <c r="D62" i="12"/>
  <c r="L62" i="12" s="1"/>
  <c r="B62" i="12"/>
  <c r="T61" i="12"/>
  <c r="P61" i="12"/>
  <c r="H61" i="12"/>
  <c r="D61" i="12"/>
  <c r="B61" i="12"/>
  <c r="X60" i="12"/>
  <c r="Z60" i="12" s="1"/>
  <c r="T60" i="12"/>
  <c r="P60" i="12"/>
  <c r="L60" i="12"/>
  <c r="N60" i="12" s="1"/>
  <c r="H60" i="12"/>
  <c r="D60" i="12"/>
  <c r="B60" i="12"/>
  <c r="T59" i="12"/>
  <c r="P59" i="12"/>
  <c r="X59" i="12" s="1"/>
  <c r="Z59" i="12" s="1"/>
  <c r="N59" i="12"/>
  <c r="H59" i="12"/>
  <c r="D59" i="12"/>
  <c r="L59" i="12" s="1"/>
  <c r="B59" i="12"/>
  <c r="T58" i="12"/>
  <c r="Z58" i="12" s="1"/>
  <c r="P58" i="12"/>
  <c r="X58" i="12" s="1"/>
  <c r="H58" i="12"/>
  <c r="N58" i="12" s="1"/>
  <c r="D58" i="12"/>
  <c r="L58" i="12" s="1"/>
  <c r="B58" i="12"/>
  <c r="T57" i="12"/>
  <c r="P57" i="12"/>
  <c r="H57" i="12"/>
  <c r="D57" i="12"/>
  <c r="B57" i="12"/>
  <c r="X56" i="12"/>
  <c r="Z56" i="12" s="1"/>
  <c r="T56" i="12"/>
  <c r="P56" i="12"/>
  <c r="N56" i="12"/>
  <c r="L56" i="12"/>
  <c r="H56" i="12"/>
  <c r="D56" i="12"/>
  <c r="B56" i="12"/>
  <c r="T55" i="12"/>
  <c r="P55" i="12"/>
  <c r="X55" i="12" s="1"/>
  <c r="Z55" i="12" s="1"/>
  <c r="N55" i="12"/>
  <c r="H55" i="12"/>
  <c r="D55" i="12"/>
  <c r="L55" i="12" s="1"/>
  <c r="B55" i="12"/>
  <c r="T54" i="12"/>
  <c r="P54" i="12"/>
  <c r="X54" i="12" s="1"/>
  <c r="H54" i="12"/>
  <c r="D54" i="12"/>
  <c r="L54" i="12" s="1"/>
  <c r="B54" i="12"/>
  <c r="T53" i="12"/>
  <c r="P53" i="12"/>
  <c r="H53" i="12"/>
  <c r="D53" i="12"/>
  <c r="B53" i="12"/>
  <c r="X52" i="12"/>
  <c r="Z52" i="12" s="1"/>
  <c r="T52" i="12"/>
  <c r="P52" i="12"/>
  <c r="N52" i="12"/>
  <c r="L52" i="12"/>
  <c r="H52" i="12"/>
  <c r="D52" i="12"/>
  <c r="B52" i="12"/>
  <c r="T51" i="12"/>
  <c r="P51" i="12"/>
  <c r="X51" i="12" s="1"/>
  <c r="Z51" i="12" s="1"/>
  <c r="H51" i="12"/>
  <c r="D51" i="12"/>
  <c r="L51" i="12" s="1"/>
  <c r="N51" i="12" s="1"/>
  <c r="B51" i="12"/>
  <c r="T50" i="12"/>
  <c r="Z50" i="12" s="1"/>
  <c r="P50" i="12"/>
  <c r="X50" i="12" s="1"/>
  <c r="H50" i="12"/>
  <c r="N50" i="12" s="1"/>
  <c r="D50" i="12"/>
  <c r="L50" i="12" s="1"/>
  <c r="B50" i="12"/>
  <c r="T49" i="12"/>
  <c r="P49" i="12"/>
  <c r="H49" i="12"/>
  <c r="D49" i="12"/>
  <c r="B49" i="12"/>
  <c r="X48" i="12"/>
  <c r="Z48" i="12" s="1"/>
  <c r="T48" i="12"/>
  <c r="P48" i="12"/>
  <c r="L48" i="12"/>
  <c r="N48" i="12" s="1"/>
  <c r="H48" i="12"/>
  <c r="D48" i="12"/>
  <c r="B48" i="12"/>
  <c r="T47" i="12"/>
  <c r="P47" i="12"/>
  <c r="X47" i="12" s="1"/>
  <c r="Z47" i="12" s="1"/>
  <c r="H47" i="12"/>
  <c r="D47" i="12"/>
  <c r="L47" i="12" s="1"/>
  <c r="N47" i="12" s="1"/>
  <c r="B47" i="12"/>
  <c r="T46" i="12"/>
  <c r="Z46" i="12" s="1"/>
  <c r="P46" i="12"/>
  <c r="X46" i="12" s="1"/>
  <c r="H46" i="12"/>
  <c r="N46" i="12" s="1"/>
  <c r="D46" i="12"/>
  <c r="L46" i="12" s="1"/>
  <c r="B46" i="12"/>
  <c r="T45" i="12"/>
  <c r="P45" i="12"/>
  <c r="H45" i="12"/>
  <c r="D45" i="12"/>
  <c r="B45" i="12"/>
  <c r="X44" i="12"/>
  <c r="Z44" i="12" s="1"/>
  <c r="T44" i="12"/>
  <c r="P44" i="12"/>
  <c r="L44" i="12"/>
  <c r="N44" i="12" s="1"/>
  <c r="H44" i="12"/>
  <c r="D44" i="12"/>
  <c r="B44" i="12"/>
  <c r="T43" i="12"/>
  <c r="P43" i="12"/>
  <c r="X43" i="12" s="1"/>
  <c r="Z43" i="12" s="1"/>
  <c r="H43" i="12"/>
  <c r="D43" i="12"/>
  <c r="L43" i="12" s="1"/>
  <c r="N43" i="12" s="1"/>
  <c r="B43" i="12"/>
  <c r="T42" i="12"/>
  <c r="Z42" i="12" s="1"/>
  <c r="P42" i="12"/>
  <c r="X42" i="12" s="1"/>
  <c r="H42" i="12"/>
  <c r="N42" i="12" s="1"/>
  <c r="D42" i="12"/>
  <c r="L42" i="12" s="1"/>
  <c r="B42" i="12"/>
  <c r="T41" i="12"/>
  <c r="P41" i="12"/>
  <c r="H41" i="12"/>
  <c r="D41" i="12"/>
  <c r="B41" i="12"/>
  <c r="X40" i="12"/>
  <c r="Z40" i="12" s="1"/>
  <c r="T40" i="12"/>
  <c r="P40" i="12"/>
  <c r="L40" i="12"/>
  <c r="N40" i="12" s="1"/>
  <c r="H40" i="12"/>
  <c r="D40" i="12"/>
  <c r="B40" i="12"/>
  <c r="T39" i="12"/>
  <c r="P39" i="12"/>
  <c r="X39" i="12" s="1"/>
  <c r="Z39" i="12" s="1"/>
  <c r="H39" i="12"/>
  <c r="D39" i="12"/>
  <c r="L39" i="12" s="1"/>
  <c r="N39" i="12" s="1"/>
  <c r="B39" i="12"/>
  <c r="T38" i="12"/>
  <c r="Z38" i="12" s="1"/>
  <c r="P38" i="12"/>
  <c r="X38" i="12" s="1"/>
  <c r="H38" i="12"/>
  <c r="N38" i="12" s="1"/>
  <c r="D38" i="12"/>
  <c r="L38" i="12" s="1"/>
  <c r="B38" i="12"/>
  <c r="T37" i="12"/>
  <c r="P37" i="12"/>
  <c r="H37" i="12"/>
  <c r="D37" i="12"/>
  <c r="B37" i="12"/>
  <c r="X36" i="12"/>
  <c r="Z36" i="12" s="1"/>
  <c r="T36" i="12"/>
  <c r="P36" i="12"/>
  <c r="L36" i="12"/>
  <c r="N36" i="12" s="1"/>
  <c r="H36" i="12"/>
  <c r="D36" i="12"/>
  <c r="B36" i="12"/>
  <c r="T35" i="12"/>
  <c r="P35" i="12"/>
  <c r="X35" i="12" s="1"/>
  <c r="Z35" i="12" s="1"/>
  <c r="H35" i="12"/>
  <c r="D35" i="12"/>
  <c r="L35" i="12" s="1"/>
  <c r="N35" i="12" s="1"/>
  <c r="B35" i="12"/>
  <c r="T34" i="12"/>
  <c r="Z34" i="12" s="1"/>
  <c r="P34" i="12"/>
  <c r="X34" i="12" s="1"/>
  <c r="H34" i="12"/>
  <c r="N34" i="12" s="1"/>
  <c r="D34" i="12"/>
  <c r="L34" i="12" s="1"/>
  <c r="B34" i="12"/>
  <c r="T33" i="12"/>
  <c r="P33" i="12"/>
  <c r="H33" i="12"/>
  <c r="D33" i="12"/>
  <c r="B33" i="12"/>
  <c r="X32" i="12"/>
  <c r="Z32" i="12" s="1"/>
  <c r="T32" i="12"/>
  <c r="P32" i="12"/>
  <c r="L32" i="12"/>
  <c r="N32" i="12" s="1"/>
  <c r="H32" i="12"/>
  <c r="D32" i="12"/>
  <c r="B32" i="12"/>
  <c r="T31" i="12"/>
  <c r="P31" i="12"/>
  <c r="X31" i="12" s="1"/>
  <c r="Z31" i="12" s="1"/>
  <c r="H31" i="12"/>
  <c r="D31" i="12"/>
  <c r="L31" i="12" s="1"/>
  <c r="N31" i="12" s="1"/>
  <c r="B31" i="12"/>
  <c r="T30" i="12"/>
  <c r="Z30" i="12" s="1"/>
  <c r="P30" i="12"/>
  <c r="X30" i="12" s="1"/>
  <c r="H30" i="12"/>
  <c r="N30" i="12" s="1"/>
  <c r="D30" i="12"/>
  <c r="L30" i="12" s="1"/>
  <c r="B30" i="12"/>
  <c r="T29" i="12"/>
  <c r="P29" i="12"/>
  <c r="H29" i="12"/>
  <c r="D29" i="12"/>
  <c r="B29" i="12"/>
  <c r="X28" i="12"/>
  <c r="Z28" i="12" s="1"/>
  <c r="T28" i="12"/>
  <c r="P28" i="12"/>
  <c r="L28" i="12"/>
  <c r="N28" i="12" s="1"/>
  <c r="H28" i="12"/>
  <c r="D28" i="12"/>
  <c r="B28" i="12"/>
  <c r="T27" i="12"/>
  <c r="P27" i="12"/>
  <c r="X27" i="12" s="1"/>
  <c r="Z27" i="12" s="1"/>
  <c r="H27" i="12"/>
  <c r="D27" i="12"/>
  <c r="L27" i="12" s="1"/>
  <c r="N27" i="12" s="1"/>
  <c r="B27" i="12"/>
  <c r="T26" i="12"/>
  <c r="Z26" i="12" s="1"/>
  <c r="P26" i="12"/>
  <c r="X26" i="12" s="1"/>
  <c r="H26" i="12"/>
  <c r="N26" i="12" s="1"/>
  <c r="D26" i="12"/>
  <c r="L26" i="12" s="1"/>
  <c r="B26" i="12"/>
  <c r="T25" i="12"/>
  <c r="P25" i="12"/>
  <c r="H25" i="12"/>
  <c r="D25" i="12"/>
  <c r="B25" i="12"/>
  <c r="X24" i="12"/>
  <c r="Z24" i="12" s="1"/>
  <c r="T24" i="12"/>
  <c r="P24" i="12"/>
  <c r="L24" i="12"/>
  <c r="N24" i="12" s="1"/>
  <c r="H24" i="12"/>
  <c r="D24" i="12"/>
  <c r="B24" i="12"/>
  <c r="T23" i="12"/>
  <c r="P23" i="12"/>
  <c r="X23" i="12" s="1"/>
  <c r="Z23" i="12" s="1"/>
  <c r="N23" i="12"/>
  <c r="H23" i="12"/>
  <c r="D23" i="12"/>
  <c r="L23" i="12" s="1"/>
  <c r="B23" i="12"/>
  <c r="T22" i="12"/>
  <c r="Z22" i="12" s="1"/>
  <c r="P22" i="12"/>
  <c r="X22" i="12" s="1"/>
  <c r="H22" i="12"/>
  <c r="N22" i="12" s="1"/>
  <c r="D22" i="12"/>
  <c r="L22" i="12" s="1"/>
  <c r="B22" i="12"/>
  <c r="T21" i="12"/>
  <c r="P21" i="12"/>
  <c r="H21" i="12"/>
  <c r="D21" i="12"/>
  <c r="B21" i="12"/>
  <c r="X20" i="12"/>
  <c r="Z20" i="12" s="1"/>
  <c r="T20" i="12"/>
  <c r="P20" i="12"/>
  <c r="L20" i="12"/>
  <c r="N20" i="12" s="1"/>
  <c r="H20" i="12"/>
  <c r="D20" i="12"/>
  <c r="B20" i="12"/>
  <c r="T19" i="12"/>
  <c r="P19" i="12"/>
  <c r="X19" i="12" s="1"/>
  <c r="Z19" i="12" s="1"/>
  <c r="H19" i="12"/>
  <c r="D19" i="12"/>
  <c r="L19" i="12" s="1"/>
  <c r="N19" i="12" s="1"/>
  <c r="B19" i="12"/>
  <c r="T18" i="12"/>
  <c r="Z18" i="12" s="1"/>
  <c r="P18" i="12"/>
  <c r="X18" i="12" s="1"/>
  <c r="H18" i="12"/>
  <c r="N18" i="12" s="1"/>
  <c r="D18" i="12"/>
  <c r="L18" i="12" s="1"/>
  <c r="B18" i="12"/>
  <c r="T17" i="12"/>
  <c r="P17" i="12"/>
  <c r="H17" i="12"/>
  <c r="D17" i="12"/>
  <c r="B17" i="12"/>
  <c r="X16" i="12"/>
  <c r="Z16" i="12" s="1"/>
  <c r="T16" i="12"/>
  <c r="P16" i="12"/>
  <c r="N16" i="12"/>
  <c r="L16" i="12"/>
  <c r="H16" i="12"/>
  <c r="D16" i="12"/>
  <c r="B16" i="12"/>
  <c r="Z15" i="12"/>
  <c r="T15" i="12"/>
  <c r="P15" i="12"/>
  <c r="X15" i="12" s="1"/>
  <c r="N15" i="12"/>
  <c r="H15" i="12"/>
  <c r="D15" i="12"/>
  <c r="L15" i="12" s="1"/>
  <c r="B15" i="12"/>
  <c r="T14" i="12"/>
  <c r="P14" i="12"/>
  <c r="X14" i="12" s="1"/>
  <c r="H14" i="12"/>
  <c r="D14" i="12"/>
  <c r="L14" i="12" s="1"/>
  <c r="B14" i="12"/>
  <c r="T13" i="12"/>
  <c r="Z13" i="12" s="1"/>
  <c r="P13" i="12"/>
  <c r="H13" i="12"/>
  <c r="D13" i="12"/>
  <c r="B13" i="12"/>
  <c r="D4" i="12"/>
  <c r="V100" i="9"/>
  <c r="V97" i="9"/>
  <c r="Z95" i="9"/>
  <c r="X95" i="9"/>
  <c r="V95" i="9"/>
  <c r="N95" i="9"/>
  <c r="L95" i="9"/>
  <c r="J95" i="9"/>
  <c r="V93" i="9"/>
  <c r="X91" i="9"/>
  <c r="V91" i="9"/>
  <c r="T91" i="9"/>
  <c r="Z91" i="9" s="1"/>
  <c r="P91" i="9"/>
  <c r="N91" i="9"/>
  <c r="H91" i="9"/>
  <c r="D91" i="9"/>
  <c r="L91" i="9" s="1"/>
  <c r="X89" i="9"/>
  <c r="Z89" i="9" s="1"/>
  <c r="V89" i="9"/>
  <c r="N89" i="9"/>
  <c r="L89" i="9"/>
  <c r="J89" i="9"/>
  <c r="B89" i="9"/>
  <c r="X88" i="9"/>
  <c r="Z88" i="9" s="1"/>
  <c r="L88" i="9"/>
  <c r="N88" i="9" s="1"/>
  <c r="B88" i="9"/>
  <c r="Z87" i="9"/>
  <c r="T87" i="9"/>
  <c r="P87" i="9"/>
  <c r="X87" i="9" s="1"/>
  <c r="L87" i="9"/>
  <c r="J87" i="9"/>
  <c r="H87" i="9"/>
  <c r="N87" i="9" s="1"/>
  <c r="D87" i="9"/>
  <c r="B87" i="9"/>
  <c r="X86" i="9"/>
  <c r="Z86" i="9" s="1"/>
  <c r="N86" i="9"/>
  <c r="L86" i="9"/>
  <c r="J86" i="9"/>
  <c r="B86" i="9"/>
  <c r="V85" i="9"/>
  <c r="T85" i="9"/>
  <c r="P85" i="9"/>
  <c r="X85" i="9" s="1"/>
  <c r="Z85" i="9" s="1"/>
  <c r="H85" i="9"/>
  <c r="L85" i="9" s="1"/>
  <c r="N85" i="9" s="1"/>
  <c r="D85" i="9"/>
  <c r="B85" i="9"/>
  <c r="X84" i="9"/>
  <c r="Z84" i="9" s="1"/>
  <c r="L84" i="9"/>
  <c r="N84" i="9" s="1"/>
  <c r="B84" i="9"/>
  <c r="Z83" i="9"/>
  <c r="X83" i="9"/>
  <c r="N83" i="9"/>
  <c r="L83" i="9"/>
  <c r="B83" i="9"/>
  <c r="T82" i="9"/>
  <c r="P82" i="9"/>
  <c r="X82" i="9" s="1"/>
  <c r="L82" i="9"/>
  <c r="H82" i="9"/>
  <c r="D82" i="9"/>
  <c r="B82" i="9"/>
  <c r="X81" i="9"/>
  <c r="Z81" i="9" s="1"/>
  <c r="V81" i="9"/>
  <c r="N81" i="9"/>
  <c r="L81" i="9"/>
  <c r="J81" i="9"/>
  <c r="B81" i="9"/>
  <c r="X80" i="9"/>
  <c r="Z80" i="9" s="1"/>
  <c r="L80" i="9"/>
  <c r="N80" i="9" s="1"/>
  <c r="B80" i="9"/>
  <c r="Z79" i="9"/>
  <c r="X79" i="9"/>
  <c r="N79" i="9"/>
  <c r="L79" i="9"/>
  <c r="B79" i="9"/>
  <c r="Z78" i="9"/>
  <c r="X78" i="9"/>
  <c r="N78" i="9"/>
  <c r="L78" i="9"/>
  <c r="B78" i="9"/>
  <c r="X77" i="9"/>
  <c r="Z77" i="9" s="1"/>
  <c r="V77" i="9"/>
  <c r="N77" i="9"/>
  <c r="L77" i="9"/>
  <c r="J77" i="9"/>
  <c r="B77" i="9"/>
  <c r="T76" i="9"/>
  <c r="P76" i="9"/>
  <c r="X76" i="9" s="1"/>
  <c r="Z76" i="9" s="1"/>
  <c r="H76" i="9"/>
  <c r="D76" i="9"/>
  <c r="B76" i="9"/>
  <c r="Z75" i="9"/>
  <c r="X75" i="9"/>
  <c r="N75" i="9"/>
  <c r="L75" i="9"/>
  <c r="J75" i="9"/>
  <c r="B75" i="9"/>
  <c r="X74" i="9"/>
  <c r="Z74" i="9" s="1"/>
  <c r="N74" i="9"/>
  <c r="L74" i="9"/>
  <c r="J74" i="9"/>
  <c r="B74" i="9"/>
  <c r="V73" i="9"/>
  <c r="T73" i="9"/>
  <c r="P73" i="9"/>
  <c r="X73" i="9" s="1"/>
  <c r="Z73" i="9" s="1"/>
  <c r="H73" i="9"/>
  <c r="L73" i="9" s="1"/>
  <c r="N73" i="9" s="1"/>
  <c r="D73" i="9"/>
  <c r="B73" i="9"/>
  <c r="X72" i="9"/>
  <c r="Z72" i="9" s="1"/>
  <c r="L72" i="9"/>
  <c r="N72" i="9" s="1"/>
  <c r="B72" i="9"/>
  <c r="Z71" i="9"/>
  <c r="X71" i="9"/>
  <c r="N71" i="9"/>
  <c r="L71" i="9"/>
  <c r="B71" i="9"/>
  <c r="T70" i="9"/>
  <c r="P70" i="9"/>
  <c r="L70" i="9"/>
  <c r="H70" i="9"/>
  <c r="N70" i="9" s="1"/>
  <c r="D70" i="9"/>
  <c r="B70" i="9"/>
  <c r="X69" i="9"/>
  <c r="Z69" i="9" s="1"/>
  <c r="V69" i="9"/>
  <c r="N69" i="9"/>
  <c r="L69" i="9"/>
  <c r="J69" i="9"/>
  <c r="B69" i="9"/>
  <c r="X68" i="9"/>
  <c r="Z68" i="9" s="1"/>
  <c r="L68" i="9"/>
  <c r="N68" i="9" s="1"/>
  <c r="B68" i="9"/>
  <c r="Z67" i="9"/>
  <c r="X67" i="9"/>
  <c r="N67" i="9"/>
  <c r="L67" i="9"/>
  <c r="B67" i="9"/>
  <c r="X66" i="9"/>
  <c r="Z66" i="9" s="1"/>
  <c r="L66" i="9"/>
  <c r="N66" i="9" s="1"/>
  <c r="B66" i="9"/>
  <c r="X65" i="9"/>
  <c r="V65" i="9"/>
  <c r="T65" i="9"/>
  <c r="Z65" i="9" s="1"/>
  <c r="P65" i="9"/>
  <c r="N65" i="9"/>
  <c r="H65" i="9"/>
  <c r="D65" i="9"/>
  <c r="L65" i="9" s="1"/>
  <c r="B65" i="9"/>
  <c r="X64" i="9"/>
  <c r="Z64" i="9" s="1"/>
  <c r="L64" i="9"/>
  <c r="N64" i="9" s="1"/>
  <c r="B64" i="9"/>
  <c r="Z63" i="9"/>
  <c r="X63" i="9"/>
  <c r="N63" i="9"/>
  <c r="L63" i="9"/>
  <c r="J63" i="9"/>
  <c r="B63" i="9"/>
  <c r="X62" i="9"/>
  <c r="Z62" i="9" s="1"/>
  <c r="N62" i="9"/>
  <c r="L62" i="9"/>
  <c r="J62" i="9"/>
  <c r="B62" i="9"/>
  <c r="Z61" i="9"/>
  <c r="X61" i="9"/>
  <c r="V61" i="9"/>
  <c r="L61" i="9"/>
  <c r="N61" i="9" s="1"/>
  <c r="J61" i="9"/>
  <c r="B61" i="9"/>
  <c r="T60" i="9"/>
  <c r="P60" i="9"/>
  <c r="X60" i="9" s="1"/>
  <c r="H60" i="9"/>
  <c r="D60" i="9"/>
  <c r="B60" i="9"/>
  <c r="Z59" i="9"/>
  <c r="X59" i="9"/>
  <c r="N59" i="9"/>
  <c r="L59" i="9"/>
  <c r="B59" i="9"/>
  <c r="T58" i="9"/>
  <c r="P58" i="9"/>
  <c r="H58" i="9"/>
  <c r="D58" i="9"/>
  <c r="L58" i="9" s="1"/>
  <c r="B58" i="9"/>
  <c r="X57" i="9"/>
  <c r="Z57" i="9" s="1"/>
  <c r="V57" i="9"/>
  <c r="N57" i="9"/>
  <c r="L57" i="9"/>
  <c r="J57" i="9"/>
  <c r="B57" i="9"/>
  <c r="X56" i="9"/>
  <c r="Z56" i="9" s="1"/>
  <c r="T56" i="9"/>
  <c r="P56" i="9"/>
  <c r="H56" i="9"/>
  <c r="D56" i="9"/>
  <c r="B56" i="9"/>
  <c r="Z55" i="9"/>
  <c r="X55" i="9"/>
  <c r="N55" i="9"/>
  <c r="L55" i="9"/>
  <c r="J55" i="9"/>
  <c r="B55" i="9"/>
  <c r="T54" i="9"/>
  <c r="P54" i="9"/>
  <c r="H54" i="9"/>
  <c r="D54" i="9"/>
  <c r="L54" i="9" s="1"/>
  <c r="B54" i="9"/>
  <c r="X53" i="9"/>
  <c r="Z53" i="9" s="1"/>
  <c r="V53" i="9"/>
  <c r="L53" i="9"/>
  <c r="N53" i="9" s="1"/>
  <c r="J53" i="9"/>
  <c r="B53" i="9"/>
  <c r="X52" i="9"/>
  <c r="T52" i="9"/>
  <c r="Z52" i="9" s="1"/>
  <c r="P52" i="9"/>
  <c r="J52" i="9"/>
  <c r="H52" i="9"/>
  <c r="D52" i="9"/>
  <c r="B52" i="9"/>
  <c r="Z51" i="9"/>
  <c r="X51" i="9"/>
  <c r="N51" i="9"/>
  <c r="L51" i="9"/>
  <c r="B51" i="9"/>
  <c r="T50" i="9"/>
  <c r="P50" i="9"/>
  <c r="H50" i="9"/>
  <c r="D50" i="9"/>
  <c r="L50" i="9" s="1"/>
  <c r="N50" i="9" s="1"/>
  <c r="B50" i="9"/>
  <c r="Z49" i="9"/>
  <c r="X49" i="9"/>
  <c r="V49" i="9"/>
  <c r="N49" i="9"/>
  <c r="L49" i="9"/>
  <c r="J49" i="9"/>
  <c r="B49" i="9"/>
  <c r="X48" i="9"/>
  <c r="T48" i="9"/>
  <c r="P48" i="9"/>
  <c r="H48" i="9"/>
  <c r="D48" i="9"/>
  <c r="B48" i="9"/>
  <c r="Z47" i="9"/>
  <c r="X47" i="9"/>
  <c r="V47" i="9"/>
  <c r="N47" i="9"/>
  <c r="L47" i="9"/>
  <c r="B47" i="9"/>
  <c r="Z46" i="9"/>
  <c r="X46" i="9"/>
  <c r="L46" i="9"/>
  <c r="N46" i="9" s="1"/>
  <c r="B46" i="9"/>
  <c r="V45" i="9"/>
  <c r="T45" i="9"/>
  <c r="P45" i="9"/>
  <c r="X45" i="9" s="1"/>
  <c r="Z45" i="9" s="1"/>
  <c r="J45" i="9"/>
  <c r="H45" i="9"/>
  <c r="L45" i="9" s="1"/>
  <c r="N45" i="9" s="1"/>
  <c r="D45" i="9"/>
  <c r="B45" i="9"/>
  <c r="X44" i="9"/>
  <c r="Z44" i="9" s="1"/>
  <c r="L44" i="9"/>
  <c r="N44" i="9" s="1"/>
  <c r="B44" i="9"/>
  <c r="T43" i="9"/>
  <c r="R43" i="9"/>
  <c r="P43" i="9"/>
  <c r="X43" i="9" s="1"/>
  <c r="Z43" i="9" s="1"/>
  <c r="L43" i="9"/>
  <c r="J43" i="9"/>
  <c r="H43" i="9"/>
  <c r="N43" i="9" s="1"/>
  <c r="D43" i="9"/>
  <c r="B43" i="9"/>
  <c r="X42" i="9"/>
  <c r="Z42" i="9" s="1"/>
  <c r="R42" i="9"/>
  <c r="N42" i="9"/>
  <c r="L42" i="9"/>
  <c r="J42" i="9"/>
  <c r="B42" i="9"/>
  <c r="V41" i="9"/>
  <c r="T41" i="9"/>
  <c r="P41" i="9"/>
  <c r="X41" i="9" s="1"/>
  <c r="Z41" i="9" s="1"/>
  <c r="H41" i="9"/>
  <c r="L41" i="9" s="1"/>
  <c r="N41" i="9" s="1"/>
  <c r="D41" i="9"/>
  <c r="B41" i="9"/>
  <c r="X40" i="9"/>
  <c r="Z40" i="9" s="1"/>
  <c r="L40" i="9"/>
  <c r="N40" i="9" s="1"/>
  <c r="B40" i="9"/>
  <c r="V39" i="9"/>
  <c r="T39" i="9"/>
  <c r="X39" i="9" s="1"/>
  <c r="Z39" i="9" s="1"/>
  <c r="R39" i="9"/>
  <c r="P39" i="9"/>
  <c r="J39" i="9"/>
  <c r="H39" i="9"/>
  <c r="D39" i="9"/>
  <c r="L39" i="9" s="1"/>
  <c r="N39" i="9" s="1"/>
  <c r="B39" i="9"/>
  <c r="X38" i="9"/>
  <c r="Z38" i="9" s="1"/>
  <c r="R38" i="9"/>
  <c r="L38" i="9"/>
  <c r="N38" i="9" s="1"/>
  <c r="B38" i="9"/>
  <c r="X37" i="9"/>
  <c r="Z37" i="9" s="1"/>
  <c r="V37" i="9"/>
  <c r="N37" i="9"/>
  <c r="L37" i="9"/>
  <c r="J37" i="9"/>
  <c r="B37" i="9"/>
  <c r="X36" i="9"/>
  <c r="Z36" i="9" s="1"/>
  <c r="L36" i="9"/>
  <c r="N36" i="9" s="1"/>
  <c r="B36" i="9"/>
  <c r="Z35" i="9"/>
  <c r="X35" i="9"/>
  <c r="N35" i="9"/>
  <c r="L35" i="9"/>
  <c r="B35" i="9"/>
  <c r="X34" i="9"/>
  <c r="Z34" i="9" s="1"/>
  <c r="R34" i="9"/>
  <c r="L34" i="9"/>
  <c r="N34" i="9" s="1"/>
  <c r="B34" i="9"/>
  <c r="X33" i="9"/>
  <c r="Z33" i="9" s="1"/>
  <c r="V33" i="9"/>
  <c r="N33" i="9"/>
  <c r="L33" i="9"/>
  <c r="J33" i="9"/>
  <c r="B33" i="9"/>
  <c r="X32" i="9"/>
  <c r="Z32" i="9" s="1"/>
  <c r="L32" i="9"/>
  <c r="N32" i="9" s="1"/>
  <c r="B32" i="9"/>
  <c r="T31" i="9"/>
  <c r="R31" i="9"/>
  <c r="P31" i="9"/>
  <c r="X31" i="9" s="1"/>
  <c r="Z31" i="9" s="1"/>
  <c r="L31" i="9"/>
  <c r="J31" i="9"/>
  <c r="H31" i="9"/>
  <c r="N31" i="9" s="1"/>
  <c r="F31" i="9"/>
  <c r="D31" i="9"/>
  <c r="B31" i="9"/>
  <c r="X30" i="9"/>
  <c r="Z30" i="9" s="1"/>
  <c r="R30" i="9"/>
  <c r="N30" i="9"/>
  <c r="L30" i="9"/>
  <c r="J30" i="9"/>
  <c r="B30" i="9"/>
  <c r="Z29" i="9"/>
  <c r="X29" i="9"/>
  <c r="V29" i="9"/>
  <c r="N29" i="9"/>
  <c r="L29" i="9"/>
  <c r="J29" i="9"/>
  <c r="B29" i="9"/>
  <c r="X28" i="9"/>
  <c r="Z28" i="9" s="1"/>
  <c r="L28" i="9"/>
  <c r="N28" i="9" s="1"/>
  <c r="B28" i="9"/>
  <c r="Z27" i="9"/>
  <c r="X27" i="9"/>
  <c r="N27" i="9"/>
  <c r="L27" i="9"/>
  <c r="J27" i="9"/>
  <c r="B27" i="9"/>
  <c r="X26" i="9"/>
  <c r="Z26" i="9" s="1"/>
  <c r="R26" i="9"/>
  <c r="N26" i="9"/>
  <c r="L26" i="9"/>
  <c r="J26" i="9"/>
  <c r="B26" i="9"/>
  <c r="Z25" i="9"/>
  <c r="X25" i="9"/>
  <c r="V25" i="9"/>
  <c r="N25" i="9"/>
  <c r="L25" i="9"/>
  <c r="J25" i="9"/>
  <c r="B25" i="9"/>
  <c r="X24" i="9"/>
  <c r="Z24" i="9" s="1"/>
  <c r="L24" i="9"/>
  <c r="N24" i="9" s="1"/>
  <c r="B24" i="9"/>
  <c r="Z23" i="9"/>
  <c r="X23" i="9"/>
  <c r="N23" i="9"/>
  <c r="L23" i="9"/>
  <c r="J23" i="9"/>
  <c r="B23" i="9"/>
  <c r="X22" i="9"/>
  <c r="Z22" i="9" s="1"/>
  <c r="R22" i="9"/>
  <c r="N22" i="9"/>
  <c r="L22" i="9"/>
  <c r="J22" i="9"/>
  <c r="B22" i="9"/>
  <c r="Z21" i="9"/>
  <c r="X21" i="9"/>
  <c r="V21" i="9"/>
  <c r="N21" i="9"/>
  <c r="L21" i="9"/>
  <c r="J21" i="9"/>
  <c r="B21" i="9"/>
  <c r="X20" i="9"/>
  <c r="Z20" i="9" s="1"/>
  <c r="L20" i="9"/>
  <c r="N20" i="9" s="1"/>
  <c r="B20" i="9"/>
  <c r="T19" i="9"/>
  <c r="X19" i="9" s="1"/>
  <c r="Z19" i="9" s="1"/>
  <c r="R19" i="9"/>
  <c r="P19" i="9"/>
  <c r="J19" i="9"/>
  <c r="H19" i="9"/>
  <c r="D19" i="9"/>
  <c r="L19" i="9" s="1"/>
  <c r="N19" i="9" s="1"/>
  <c r="B19" i="9"/>
  <c r="T18" i="9"/>
  <c r="P18" i="9"/>
  <c r="X18" i="9" s="1"/>
  <c r="L18" i="9"/>
  <c r="H18" i="9"/>
  <c r="D18" i="9"/>
  <c r="P16" i="9"/>
  <c r="T14" i="9"/>
  <c r="Z14" i="9" s="1"/>
  <c r="P14" i="9"/>
  <c r="H14" i="9"/>
  <c r="H16" i="9" s="1"/>
  <c r="D14" i="9"/>
  <c r="L14" i="9" s="1"/>
  <c r="T12" i="9"/>
  <c r="V87" i="9" s="1"/>
  <c r="P12" i="9"/>
  <c r="R78" i="9" s="1"/>
  <c r="H12" i="9"/>
  <c r="J93" i="9" s="1"/>
  <c r="D12" i="9"/>
  <c r="F73" i="9" s="1"/>
  <c r="D4" i="9"/>
  <c r="R31" i="6"/>
  <c r="J31" i="6"/>
  <c r="T29" i="6"/>
  <c r="X29" i="6" s="1"/>
  <c r="R29" i="6"/>
  <c r="P29" i="6"/>
  <c r="J29" i="6"/>
  <c r="H29" i="6"/>
  <c r="D29" i="6"/>
  <c r="L29" i="6" s="1"/>
  <c r="N29" i="6" s="1"/>
  <c r="Z28" i="6"/>
  <c r="T28" i="6"/>
  <c r="X28" i="6" s="1"/>
  <c r="R28" i="6"/>
  <c r="P28" i="6"/>
  <c r="J28" i="6"/>
  <c r="H28" i="6"/>
  <c r="D28" i="6"/>
  <c r="L28" i="6" s="1"/>
  <c r="N28" i="6" s="1"/>
  <c r="R26" i="6"/>
  <c r="J26" i="6"/>
  <c r="Z24" i="6"/>
  <c r="X24" i="6"/>
  <c r="R24" i="6"/>
  <c r="N24" i="6"/>
  <c r="L24" i="6"/>
  <c r="J24" i="6"/>
  <c r="R22" i="6"/>
  <c r="J22" i="6"/>
  <c r="Z20" i="6"/>
  <c r="T20" i="6"/>
  <c r="R20" i="6"/>
  <c r="P20" i="6"/>
  <c r="X20" i="6" s="1"/>
  <c r="L20" i="6"/>
  <c r="J20" i="6"/>
  <c r="H20" i="6"/>
  <c r="N20" i="6" s="1"/>
  <c r="F20" i="6"/>
  <c r="D20" i="6"/>
  <c r="Z18" i="6"/>
  <c r="T18" i="6"/>
  <c r="R18" i="6"/>
  <c r="P18" i="6"/>
  <c r="X18" i="6" s="1"/>
  <c r="L18" i="6"/>
  <c r="J18" i="6"/>
  <c r="H18" i="6"/>
  <c r="N18" i="6" s="1"/>
  <c r="D18" i="6"/>
  <c r="R16" i="6"/>
  <c r="J16" i="6"/>
  <c r="F16" i="6"/>
  <c r="Z14" i="6"/>
  <c r="T14" i="6"/>
  <c r="R14" i="6"/>
  <c r="P14" i="6"/>
  <c r="X14" i="6" s="1"/>
  <c r="L14" i="6"/>
  <c r="J14" i="6"/>
  <c r="H14" i="6"/>
  <c r="N14" i="6" s="1"/>
  <c r="D14" i="6"/>
  <c r="Z12" i="6"/>
  <c r="T12" i="6"/>
  <c r="V22" i="6" s="1"/>
  <c r="P12" i="6"/>
  <c r="P16" i="6" s="1"/>
  <c r="N12" i="6"/>
  <c r="H12" i="6"/>
  <c r="D12" i="6"/>
  <c r="D4" i="6"/>
  <c r="T330" i="3"/>
  <c r="X330" i="3" s="1"/>
  <c r="P330" i="3"/>
  <c r="H330" i="3"/>
  <c r="D330" i="3"/>
  <c r="T329" i="3"/>
  <c r="P329" i="3"/>
  <c r="X329" i="3" s="1"/>
  <c r="H329" i="3"/>
  <c r="D329" i="3"/>
  <c r="L329" i="3" s="1"/>
  <c r="X325" i="3"/>
  <c r="Z325" i="3" s="1"/>
  <c r="L325" i="3"/>
  <c r="N325" i="3" s="1"/>
  <c r="T321" i="3"/>
  <c r="Z321" i="3" s="1"/>
  <c r="P321" i="3"/>
  <c r="X321" i="3" s="1"/>
  <c r="H321" i="3"/>
  <c r="D321" i="3"/>
  <c r="B321" i="3"/>
  <c r="T320" i="3"/>
  <c r="X320" i="3" s="1"/>
  <c r="Z320" i="3" s="1"/>
  <c r="P320" i="3"/>
  <c r="N320" i="3"/>
  <c r="H320" i="3"/>
  <c r="D320" i="3"/>
  <c r="L320" i="3" s="1"/>
  <c r="B320" i="3"/>
  <c r="X319" i="3"/>
  <c r="T319" i="3"/>
  <c r="P319" i="3"/>
  <c r="L319" i="3"/>
  <c r="N319" i="3" s="1"/>
  <c r="H319" i="3"/>
  <c r="D319" i="3"/>
  <c r="B319" i="3"/>
  <c r="T318" i="3"/>
  <c r="P318" i="3"/>
  <c r="X318" i="3" s="1"/>
  <c r="Z318" i="3" s="1"/>
  <c r="H318" i="3"/>
  <c r="N318" i="3" s="1"/>
  <c r="D318" i="3"/>
  <c r="L318" i="3" s="1"/>
  <c r="B318" i="3"/>
  <c r="T317" i="3"/>
  <c r="P317" i="3"/>
  <c r="X317" i="3" s="1"/>
  <c r="H317" i="3"/>
  <c r="D317" i="3"/>
  <c r="L317" i="3" s="1"/>
  <c r="B317" i="3"/>
  <c r="Z316" i="3"/>
  <c r="T316" i="3"/>
  <c r="P316" i="3"/>
  <c r="X316" i="3" s="1"/>
  <c r="L316" i="3"/>
  <c r="H316" i="3"/>
  <c r="N316" i="3" s="1"/>
  <c r="D316" i="3"/>
  <c r="B316" i="3"/>
  <c r="X315" i="3"/>
  <c r="T315" i="3"/>
  <c r="P315" i="3"/>
  <c r="L315" i="3"/>
  <c r="N315" i="3" s="1"/>
  <c r="H315" i="3"/>
  <c r="D315" i="3"/>
  <c r="B315" i="3"/>
  <c r="T314" i="3"/>
  <c r="P314" i="3"/>
  <c r="X314" i="3" s="1"/>
  <c r="Z314" i="3" s="1"/>
  <c r="N314" i="3"/>
  <c r="L314" i="3"/>
  <c r="H314" i="3"/>
  <c r="F314" i="3"/>
  <c r="D314" i="3"/>
  <c r="B314" i="3"/>
  <c r="Z313" i="3"/>
  <c r="T313" i="3"/>
  <c r="P313" i="3"/>
  <c r="X313" i="3" s="1"/>
  <c r="L313" i="3"/>
  <c r="H313" i="3"/>
  <c r="N313" i="3" s="1"/>
  <c r="D313" i="3"/>
  <c r="B313" i="3"/>
  <c r="Z312" i="3"/>
  <c r="T312" i="3"/>
  <c r="P312" i="3"/>
  <c r="X312" i="3" s="1"/>
  <c r="H312" i="3"/>
  <c r="D312" i="3"/>
  <c r="L312" i="3" s="1"/>
  <c r="N312" i="3" s="1"/>
  <c r="B312" i="3"/>
  <c r="T311" i="3"/>
  <c r="P311" i="3"/>
  <c r="X311" i="3" s="1"/>
  <c r="H311" i="3"/>
  <c r="N311" i="3" s="1"/>
  <c r="D311" i="3"/>
  <c r="L311" i="3" s="1"/>
  <c r="B311" i="3"/>
  <c r="X310" i="3"/>
  <c r="T310" i="3"/>
  <c r="Z310" i="3" s="1"/>
  <c r="P310" i="3"/>
  <c r="N310" i="3"/>
  <c r="H310" i="3"/>
  <c r="D310" i="3"/>
  <c r="L310" i="3" s="1"/>
  <c r="B310" i="3"/>
  <c r="T309" i="3"/>
  <c r="P309" i="3"/>
  <c r="L309" i="3"/>
  <c r="H309" i="3"/>
  <c r="D309" i="3"/>
  <c r="B309" i="3"/>
  <c r="D308" i="3"/>
  <c r="Z306" i="3"/>
  <c r="X306" i="3"/>
  <c r="N306" i="3"/>
  <c r="L306" i="3"/>
  <c r="B306" i="3"/>
  <c r="T305" i="3"/>
  <c r="P305" i="3"/>
  <c r="X305" i="3" s="1"/>
  <c r="H305" i="3"/>
  <c r="D305" i="3"/>
  <c r="B305" i="3"/>
  <c r="X304" i="3"/>
  <c r="Z304" i="3" s="1"/>
  <c r="N304" i="3"/>
  <c r="L304" i="3"/>
  <c r="B304" i="3"/>
  <c r="X303" i="3"/>
  <c r="Z303" i="3" s="1"/>
  <c r="N303" i="3"/>
  <c r="L303" i="3"/>
  <c r="B303" i="3"/>
  <c r="Z302" i="3"/>
  <c r="X302" i="3"/>
  <c r="N302" i="3"/>
  <c r="L302" i="3"/>
  <c r="B302" i="3"/>
  <c r="T301" i="3"/>
  <c r="P301" i="3"/>
  <c r="X301" i="3" s="1"/>
  <c r="L301" i="3"/>
  <c r="N301" i="3" s="1"/>
  <c r="H301" i="3"/>
  <c r="D301" i="3"/>
  <c r="B301" i="3"/>
  <c r="Z300" i="3"/>
  <c r="X300" i="3"/>
  <c r="N300" i="3"/>
  <c r="L300" i="3"/>
  <c r="B300" i="3"/>
  <c r="X299" i="3"/>
  <c r="Z299" i="3" s="1"/>
  <c r="T299" i="3"/>
  <c r="P299" i="3"/>
  <c r="L299" i="3"/>
  <c r="H299" i="3"/>
  <c r="D299" i="3"/>
  <c r="B299" i="3"/>
  <c r="Z298" i="3"/>
  <c r="X298" i="3"/>
  <c r="N298" i="3"/>
  <c r="L298" i="3"/>
  <c r="B298" i="3"/>
  <c r="Z297" i="3"/>
  <c r="X297" i="3"/>
  <c r="L297" i="3"/>
  <c r="N297" i="3" s="1"/>
  <c r="B297" i="3"/>
  <c r="X296" i="3"/>
  <c r="Z296" i="3" s="1"/>
  <c r="T296" i="3"/>
  <c r="P296" i="3"/>
  <c r="N296" i="3"/>
  <c r="L296" i="3"/>
  <c r="H296" i="3"/>
  <c r="D296" i="3"/>
  <c r="B296" i="3"/>
  <c r="X295" i="3"/>
  <c r="Z295" i="3" s="1"/>
  <c r="L295" i="3"/>
  <c r="N295" i="3" s="1"/>
  <c r="B295" i="3"/>
  <c r="Z294" i="3"/>
  <c r="X294" i="3"/>
  <c r="N294" i="3"/>
  <c r="L294" i="3"/>
  <c r="B294" i="3"/>
  <c r="Z293" i="3"/>
  <c r="X293" i="3"/>
  <c r="N293" i="3"/>
  <c r="L293" i="3"/>
  <c r="B293" i="3"/>
  <c r="X292" i="3"/>
  <c r="Z292" i="3" s="1"/>
  <c r="N292" i="3"/>
  <c r="L292" i="3"/>
  <c r="B292" i="3"/>
  <c r="Z291" i="3"/>
  <c r="X291" i="3"/>
  <c r="N291" i="3"/>
  <c r="L291" i="3"/>
  <c r="B291" i="3"/>
  <c r="Z290" i="3"/>
  <c r="X290" i="3"/>
  <c r="N290" i="3"/>
  <c r="L290" i="3"/>
  <c r="B290" i="3"/>
  <c r="X289" i="3"/>
  <c r="Z289" i="3" s="1"/>
  <c r="L289" i="3"/>
  <c r="N289" i="3" s="1"/>
  <c r="B289" i="3"/>
  <c r="X288" i="3"/>
  <c r="Z288" i="3" s="1"/>
  <c r="N288" i="3"/>
  <c r="L288" i="3"/>
  <c r="B288" i="3"/>
  <c r="X287" i="3"/>
  <c r="Z287" i="3" s="1"/>
  <c r="N287" i="3"/>
  <c r="L287" i="3"/>
  <c r="B287" i="3"/>
  <c r="T286" i="3"/>
  <c r="Z286" i="3" s="1"/>
  <c r="P286" i="3"/>
  <c r="X286" i="3" s="1"/>
  <c r="H286" i="3"/>
  <c r="D286" i="3"/>
  <c r="L286" i="3" s="1"/>
  <c r="B286" i="3"/>
  <c r="X285" i="3"/>
  <c r="Z285" i="3" s="1"/>
  <c r="N285" i="3"/>
  <c r="L285" i="3"/>
  <c r="B285" i="3"/>
  <c r="Z284" i="3"/>
  <c r="X284" i="3"/>
  <c r="L284" i="3"/>
  <c r="N284" i="3" s="1"/>
  <c r="B284" i="3"/>
  <c r="X283" i="3"/>
  <c r="T283" i="3"/>
  <c r="Z283" i="3" s="1"/>
  <c r="P283" i="3"/>
  <c r="L283" i="3"/>
  <c r="H283" i="3"/>
  <c r="D283" i="3"/>
  <c r="B283" i="3"/>
  <c r="X282" i="3"/>
  <c r="Z282" i="3" s="1"/>
  <c r="N282" i="3"/>
  <c r="L282" i="3"/>
  <c r="B282" i="3"/>
  <c r="Z281" i="3"/>
  <c r="X281" i="3"/>
  <c r="L281" i="3"/>
  <c r="N281" i="3" s="1"/>
  <c r="B281" i="3"/>
  <c r="Z280" i="3"/>
  <c r="X280" i="3"/>
  <c r="L280" i="3"/>
  <c r="N280" i="3" s="1"/>
  <c r="B280" i="3"/>
  <c r="Z279" i="3"/>
  <c r="X279" i="3"/>
  <c r="L279" i="3"/>
  <c r="N279" i="3" s="1"/>
  <c r="B279" i="3"/>
  <c r="Z278" i="3"/>
  <c r="X278" i="3"/>
  <c r="N278" i="3"/>
  <c r="L278" i="3"/>
  <c r="B278" i="3"/>
  <c r="Z277" i="3"/>
  <c r="T277" i="3"/>
  <c r="P277" i="3"/>
  <c r="X277" i="3" s="1"/>
  <c r="H277" i="3"/>
  <c r="D277" i="3"/>
  <c r="L277" i="3" s="1"/>
  <c r="B277" i="3"/>
  <c r="X276" i="3"/>
  <c r="Z276" i="3" s="1"/>
  <c r="L276" i="3"/>
  <c r="N276" i="3" s="1"/>
  <c r="B276" i="3"/>
  <c r="X275" i="3"/>
  <c r="Z275" i="3" s="1"/>
  <c r="L275" i="3"/>
  <c r="N275" i="3" s="1"/>
  <c r="F275" i="3"/>
  <c r="B275" i="3"/>
  <c r="Z274" i="3"/>
  <c r="X274" i="3"/>
  <c r="L274" i="3"/>
  <c r="N274" i="3" s="1"/>
  <c r="B274" i="3"/>
  <c r="Z273" i="3"/>
  <c r="X273" i="3"/>
  <c r="T273" i="3"/>
  <c r="P273" i="3"/>
  <c r="H273" i="3"/>
  <c r="D273" i="3"/>
  <c r="L273" i="3" s="1"/>
  <c r="N273" i="3" s="1"/>
  <c r="B273" i="3"/>
  <c r="Z272" i="3"/>
  <c r="X272" i="3"/>
  <c r="L272" i="3"/>
  <c r="N272" i="3" s="1"/>
  <c r="B272" i="3"/>
  <c r="X271" i="3"/>
  <c r="Z271" i="3" s="1"/>
  <c r="N271" i="3"/>
  <c r="L271" i="3"/>
  <c r="F271" i="3"/>
  <c r="B271" i="3"/>
  <c r="X270" i="3"/>
  <c r="Z270" i="3" s="1"/>
  <c r="N270" i="3"/>
  <c r="L270" i="3"/>
  <c r="B270" i="3"/>
  <c r="X269" i="3"/>
  <c r="Z269" i="3" s="1"/>
  <c r="N269" i="3"/>
  <c r="L269" i="3"/>
  <c r="B269" i="3"/>
  <c r="X268" i="3"/>
  <c r="Z268" i="3" s="1"/>
  <c r="T268" i="3"/>
  <c r="P268" i="3"/>
  <c r="H268" i="3"/>
  <c r="D268" i="3"/>
  <c r="L268" i="3" s="1"/>
  <c r="N268" i="3" s="1"/>
  <c r="B268" i="3"/>
  <c r="X267" i="3"/>
  <c r="Z267" i="3" s="1"/>
  <c r="L267" i="3"/>
  <c r="N267" i="3" s="1"/>
  <c r="B267" i="3"/>
  <c r="T266" i="3"/>
  <c r="X266" i="3" s="1"/>
  <c r="P266" i="3"/>
  <c r="L266" i="3"/>
  <c r="N266" i="3" s="1"/>
  <c r="H266" i="3"/>
  <c r="D266" i="3"/>
  <c r="B266" i="3"/>
  <c r="X265" i="3"/>
  <c r="Z265" i="3" s="1"/>
  <c r="L265" i="3"/>
  <c r="N265" i="3" s="1"/>
  <c r="B265" i="3"/>
  <c r="T264" i="3"/>
  <c r="P264" i="3"/>
  <c r="H264" i="3"/>
  <c r="D264" i="3"/>
  <c r="B264" i="3"/>
  <c r="Z263" i="3"/>
  <c r="X263" i="3"/>
  <c r="N263" i="3"/>
  <c r="L263" i="3"/>
  <c r="B263" i="3"/>
  <c r="T262" i="3"/>
  <c r="P262" i="3"/>
  <c r="X262" i="3" s="1"/>
  <c r="Z262" i="3" s="1"/>
  <c r="N262" i="3"/>
  <c r="L262" i="3"/>
  <c r="H262" i="3"/>
  <c r="D262" i="3"/>
  <c r="B262" i="3"/>
  <c r="Z261" i="3"/>
  <c r="X261" i="3"/>
  <c r="N261" i="3"/>
  <c r="L261" i="3"/>
  <c r="B261" i="3"/>
  <c r="T260" i="3"/>
  <c r="Z260" i="3" s="1"/>
  <c r="P260" i="3"/>
  <c r="X260" i="3" s="1"/>
  <c r="L260" i="3"/>
  <c r="H260" i="3"/>
  <c r="N260" i="3" s="1"/>
  <c r="D260" i="3"/>
  <c r="B260" i="3"/>
  <c r="X259" i="3"/>
  <c r="Z259" i="3" s="1"/>
  <c r="L259" i="3"/>
  <c r="N259" i="3" s="1"/>
  <c r="B259" i="3"/>
  <c r="T258" i="3"/>
  <c r="P258" i="3"/>
  <c r="H258" i="3"/>
  <c r="D258" i="3"/>
  <c r="B258" i="3"/>
  <c r="X257" i="3"/>
  <c r="Z257" i="3" s="1"/>
  <c r="N257" i="3"/>
  <c r="L257" i="3"/>
  <c r="B257" i="3"/>
  <c r="X256" i="3"/>
  <c r="Z256" i="3" s="1"/>
  <c r="T256" i="3"/>
  <c r="P256" i="3"/>
  <c r="H256" i="3"/>
  <c r="D256" i="3"/>
  <c r="B256" i="3"/>
  <c r="X255" i="3"/>
  <c r="Z255" i="3" s="1"/>
  <c r="L255" i="3"/>
  <c r="N255" i="3" s="1"/>
  <c r="B255" i="3"/>
  <c r="X254" i="3"/>
  <c r="Z254" i="3" s="1"/>
  <c r="N254" i="3"/>
  <c r="L254" i="3"/>
  <c r="B254" i="3"/>
  <c r="T253" i="3"/>
  <c r="P253" i="3"/>
  <c r="X253" i="3" s="1"/>
  <c r="Z253" i="3" s="1"/>
  <c r="H253" i="3"/>
  <c r="N253" i="3" s="1"/>
  <c r="D253" i="3"/>
  <c r="L253" i="3" s="1"/>
  <c r="B253" i="3"/>
  <c r="X252" i="3"/>
  <c r="Z252" i="3" s="1"/>
  <c r="N252" i="3"/>
  <c r="L252" i="3"/>
  <c r="B252" i="3"/>
  <c r="X251" i="3"/>
  <c r="Z251" i="3" s="1"/>
  <c r="N251" i="3"/>
  <c r="L251" i="3"/>
  <c r="B251" i="3"/>
  <c r="T250" i="3"/>
  <c r="P250" i="3"/>
  <c r="H250" i="3"/>
  <c r="D250" i="3"/>
  <c r="L250" i="3" s="1"/>
  <c r="B250" i="3"/>
  <c r="X249" i="3"/>
  <c r="Z249" i="3" s="1"/>
  <c r="N249" i="3"/>
  <c r="L249" i="3"/>
  <c r="B249" i="3"/>
  <c r="T248" i="3"/>
  <c r="P248" i="3"/>
  <c r="X248" i="3" s="1"/>
  <c r="Z248" i="3" s="1"/>
  <c r="L248" i="3"/>
  <c r="N248" i="3" s="1"/>
  <c r="H248" i="3"/>
  <c r="D248" i="3"/>
  <c r="B248" i="3"/>
  <c r="Z247" i="3"/>
  <c r="X247" i="3"/>
  <c r="N247" i="3"/>
  <c r="L247" i="3"/>
  <c r="B247" i="3"/>
  <c r="T246" i="3"/>
  <c r="X246" i="3" s="1"/>
  <c r="Z246" i="3" s="1"/>
  <c r="P246" i="3"/>
  <c r="L246" i="3"/>
  <c r="H246" i="3"/>
  <c r="N246" i="3" s="1"/>
  <c r="D246" i="3"/>
  <c r="B246" i="3"/>
  <c r="Z245" i="3"/>
  <c r="X245" i="3"/>
  <c r="L245" i="3"/>
  <c r="N245" i="3" s="1"/>
  <c r="B245" i="3"/>
  <c r="T244" i="3"/>
  <c r="P244" i="3"/>
  <c r="X244" i="3" s="1"/>
  <c r="H244" i="3"/>
  <c r="N244" i="3" s="1"/>
  <c r="D244" i="3"/>
  <c r="L244" i="3" s="1"/>
  <c r="B244" i="3"/>
  <c r="X243" i="3"/>
  <c r="Z243" i="3" s="1"/>
  <c r="L243" i="3"/>
  <c r="N243" i="3" s="1"/>
  <c r="B243" i="3"/>
  <c r="Z242" i="3"/>
  <c r="X242" i="3"/>
  <c r="L242" i="3"/>
  <c r="N242" i="3" s="1"/>
  <c r="B242" i="3"/>
  <c r="X241" i="3"/>
  <c r="T241" i="3"/>
  <c r="P241" i="3"/>
  <c r="L241" i="3"/>
  <c r="H241" i="3"/>
  <c r="N241" i="3" s="1"/>
  <c r="F241" i="3"/>
  <c r="D241" i="3"/>
  <c r="B241" i="3"/>
  <c r="X240" i="3"/>
  <c r="Z240" i="3" s="1"/>
  <c r="L240" i="3"/>
  <c r="N240" i="3" s="1"/>
  <c r="B240" i="3"/>
  <c r="X239" i="3"/>
  <c r="Z239" i="3" s="1"/>
  <c r="N239" i="3"/>
  <c r="L239" i="3"/>
  <c r="B239" i="3"/>
  <c r="X238" i="3"/>
  <c r="Z238" i="3" s="1"/>
  <c r="N238" i="3"/>
  <c r="L238" i="3"/>
  <c r="B238" i="3"/>
  <c r="T237" i="3"/>
  <c r="P237" i="3"/>
  <c r="X237" i="3" s="1"/>
  <c r="Z237" i="3" s="1"/>
  <c r="H237" i="3"/>
  <c r="D237" i="3"/>
  <c r="L237" i="3" s="1"/>
  <c r="N237" i="3" s="1"/>
  <c r="B237" i="3"/>
  <c r="X236" i="3"/>
  <c r="Z236" i="3" s="1"/>
  <c r="L236" i="3"/>
  <c r="N236" i="3" s="1"/>
  <c r="B236" i="3"/>
  <c r="T235" i="3"/>
  <c r="P235" i="3"/>
  <c r="X235" i="3" s="1"/>
  <c r="Z235" i="3" s="1"/>
  <c r="L235" i="3"/>
  <c r="N235" i="3" s="1"/>
  <c r="H235" i="3"/>
  <c r="D235" i="3"/>
  <c r="B235" i="3"/>
  <c r="Z234" i="3"/>
  <c r="X234" i="3"/>
  <c r="N234" i="3"/>
  <c r="L234" i="3"/>
  <c r="F234" i="3"/>
  <c r="B234" i="3"/>
  <c r="X233" i="3"/>
  <c r="Z233" i="3" s="1"/>
  <c r="L233" i="3"/>
  <c r="N233" i="3" s="1"/>
  <c r="B233" i="3"/>
  <c r="X232" i="3"/>
  <c r="Z232" i="3" s="1"/>
  <c r="T232" i="3"/>
  <c r="P232" i="3"/>
  <c r="H232" i="3"/>
  <c r="D232" i="3"/>
  <c r="L232" i="3" s="1"/>
  <c r="B232" i="3"/>
  <c r="Z231" i="3"/>
  <c r="X231" i="3"/>
  <c r="L231" i="3"/>
  <c r="N231" i="3" s="1"/>
  <c r="B231" i="3"/>
  <c r="T230" i="3"/>
  <c r="P230" i="3"/>
  <c r="H230" i="3"/>
  <c r="D230" i="3"/>
  <c r="L230" i="3" s="1"/>
  <c r="N230" i="3" s="1"/>
  <c r="B230" i="3"/>
  <c r="Z229" i="3"/>
  <c r="X229" i="3"/>
  <c r="L229" i="3"/>
  <c r="N229" i="3" s="1"/>
  <c r="B229" i="3"/>
  <c r="X228" i="3"/>
  <c r="Z228" i="3" s="1"/>
  <c r="L228" i="3"/>
  <c r="N228" i="3" s="1"/>
  <c r="B228" i="3"/>
  <c r="X227" i="3"/>
  <c r="Z227" i="3" s="1"/>
  <c r="N227" i="3"/>
  <c r="L227" i="3"/>
  <c r="B227" i="3"/>
  <c r="X226" i="3"/>
  <c r="Z226" i="3" s="1"/>
  <c r="N226" i="3"/>
  <c r="L226" i="3"/>
  <c r="F226" i="3"/>
  <c r="B226" i="3"/>
  <c r="Z225" i="3"/>
  <c r="X225" i="3"/>
  <c r="L225" i="3"/>
  <c r="N225" i="3" s="1"/>
  <c r="B225" i="3"/>
  <c r="X224" i="3"/>
  <c r="Z224" i="3" s="1"/>
  <c r="L224" i="3"/>
  <c r="N224" i="3" s="1"/>
  <c r="B224" i="3"/>
  <c r="X223" i="3"/>
  <c r="Z223" i="3" s="1"/>
  <c r="N223" i="3"/>
  <c r="L223" i="3"/>
  <c r="B223" i="3"/>
  <c r="T222" i="3"/>
  <c r="X222" i="3" s="1"/>
  <c r="P222" i="3"/>
  <c r="H222" i="3"/>
  <c r="D222" i="3"/>
  <c r="L222" i="3" s="1"/>
  <c r="N222" i="3" s="1"/>
  <c r="B222" i="3"/>
  <c r="X221" i="3"/>
  <c r="Z221" i="3" s="1"/>
  <c r="L221" i="3"/>
  <c r="N221" i="3" s="1"/>
  <c r="B221" i="3"/>
  <c r="X220" i="3"/>
  <c r="Z220" i="3" s="1"/>
  <c r="N220" i="3"/>
  <c r="L220" i="3"/>
  <c r="B220" i="3"/>
  <c r="Z219" i="3"/>
  <c r="X219" i="3"/>
  <c r="N219" i="3"/>
  <c r="L219" i="3"/>
  <c r="B219" i="3"/>
  <c r="Z218" i="3"/>
  <c r="X218" i="3"/>
  <c r="L218" i="3"/>
  <c r="N218" i="3" s="1"/>
  <c r="F218" i="3"/>
  <c r="B218" i="3"/>
  <c r="X217" i="3"/>
  <c r="Z217" i="3" s="1"/>
  <c r="L217" i="3"/>
  <c r="N217" i="3" s="1"/>
  <c r="B217" i="3"/>
  <c r="X216" i="3"/>
  <c r="Z216" i="3" s="1"/>
  <c r="N216" i="3"/>
  <c r="L216" i="3"/>
  <c r="B216" i="3"/>
  <c r="Z215" i="3"/>
  <c r="X215" i="3"/>
  <c r="N215" i="3"/>
  <c r="L215" i="3"/>
  <c r="B215" i="3"/>
  <c r="Z214" i="3"/>
  <c r="X214" i="3"/>
  <c r="L214" i="3"/>
  <c r="N214" i="3" s="1"/>
  <c r="F214" i="3"/>
  <c r="B214" i="3"/>
  <c r="X213" i="3"/>
  <c r="Z213" i="3" s="1"/>
  <c r="L213" i="3"/>
  <c r="N213" i="3" s="1"/>
  <c r="B213" i="3"/>
  <c r="X212" i="3"/>
  <c r="Z212" i="3" s="1"/>
  <c r="T212" i="3"/>
  <c r="P212" i="3"/>
  <c r="H212" i="3"/>
  <c r="D212" i="3"/>
  <c r="L212" i="3" s="1"/>
  <c r="B212" i="3"/>
  <c r="T211" i="3"/>
  <c r="P211" i="3"/>
  <c r="X211" i="3" s="1"/>
  <c r="Z211" i="3" s="1"/>
  <c r="L211" i="3"/>
  <c r="H211" i="3"/>
  <c r="N211" i="3" s="1"/>
  <c r="D211" i="3"/>
  <c r="Z207" i="3"/>
  <c r="X207" i="3"/>
  <c r="L207" i="3"/>
  <c r="N207" i="3" s="1"/>
  <c r="B207" i="3"/>
  <c r="X206" i="3"/>
  <c r="Z206" i="3" s="1"/>
  <c r="L206" i="3"/>
  <c r="N206" i="3" s="1"/>
  <c r="B206" i="3"/>
  <c r="X205" i="3"/>
  <c r="Z205" i="3" s="1"/>
  <c r="N205" i="3"/>
  <c r="L205" i="3"/>
  <c r="B205" i="3"/>
  <c r="Z204" i="3"/>
  <c r="X204" i="3"/>
  <c r="N204" i="3"/>
  <c r="L204" i="3"/>
  <c r="B204" i="3"/>
  <c r="Z203" i="3"/>
  <c r="X203" i="3"/>
  <c r="N203" i="3"/>
  <c r="L203" i="3"/>
  <c r="B203" i="3"/>
  <c r="X202" i="3"/>
  <c r="Z202" i="3" s="1"/>
  <c r="L202" i="3"/>
  <c r="N202" i="3" s="1"/>
  <c r="B202" i="3"/>
  <c r="X201" i="3"/>
  <c r="Z201" i="3" s="1"/>
  <c r="N201" i="3"/>
  <c r="L201" i="3"/>
  <c r="B201" i="3"/>
  <c r="Z200" i="3"/>
  <c r="X200" i="3"/>
  <c r="N200" i="3"/>
  <c r="L200" i="3"/>
  <c r="B200" i="3"/>
  <c r="Z199" i="3"/>
  <c r="X199" i="3"/>
  <c r="L199" i="3"/>
  <c r="N199" i="3" s="1"/>
  <c r="B199" i="3"/>
  <c r="X198" i="3"/>
  <c r="Z198" i="3" s="1"/>
  <c r="L198" i="3"/>
  <c r="N198" i="3" s="1"/>
  <c r="B198" i="3"/>
  <c r="X197" i="3"/>
  <c r="Z197" i="3" s="1"/>
  <c r="N197" i="3"/>
  <c r="L197" i="3"/>
  <c r="B197" i="3"/>
  <c r="Z196" i="3"/>
  <c r="X196" i="3"/>
  <c r="L196" i="3"/>
  <c r="N196" i="3" s="1"/>
  <c r="B196" i="3"/>
  <c r="Z195" i="3"/>
  <c r="X195" i="3"/>
  <c r="L195" i="3"/>
  <c r="N195" i="3" s="1"/>
  <c r="B195" i="3"/>
  <c r="X194" i="3"/>
  <c r="Z194" i="3" s="1"/>
  <c r="L194" i="3"/>
  <c r="N194" i="3" s="1"/>
  <c r="B194" i="3"/>
  <c r="X193" i="3"/>
  <c r="Z193" i="3" s="1"/>
  <c r="N193" i="3"/>
  <c r="L193" i="3"/>
  <c r="B193" i="3"/>
  <c r="Z192" i="3"/>
  <c r="X192" i="3"/>
  <c r="N192" i="3"/>
  <c r="L192" i="3"/>
  <c r="B192" i="3"/>
  <c r="Z191" i="3"/>
  <c r="X191" i="3"/>
  <c r="L191" i="3"/>
  <c r="N191" i="3" s="1"/>
  <c r="B191" i="3"/>
  <c r="X190" i="3"/>
  <c r="Z190" i="3" s="1"/>
  <c r="N190" i="3"/>
  <c r="L190" i="3"/>
  <c r="B190" i="3"/>
  <c r="X189" i="3"/>
  <c r="Z189" i="3" s="1"/>
  <c r="N189" i="3"/>
  <c r="L189" i="3"/>
  <c r="B189" i="3"/>
  <c r="Z188" i="3"/>
  <c r="X188" i="3"/>
  <c r="L188" i="3"/>
  <c r="N188" i="3" s="1"/>
  <c r="B188" i="3"/>
  <c r="Z187" i="3"/>
  <c r="X187" i="3"/>
  <c r="N187" i="3"/>
  <c r="L187" i="3"/>
  <c r="B187" i="3"/>
  <c r="X186" i="3"/>
  <c r="Z186" i="3" s="1"/>
  <c r="L186" i="3"/>
  <c r="N186" i="3" s="1"/>
  <c r="B186" i="3"/>
  <c r="X185" i="3"/>
  <c r="Z185" i="3" s="1"/>
  <c r="N185" i="3"/>
  <c r="L185" i="3"/>
  <c r="B185" i="3"/>
  <c r="Z184" i="3"/>
  <c r="X184" i="3"/>
  <c r="N184" i="3"/>
  <c r="L184" i="3"/>
  <c r="B184" i="3"/>
  <c r="Z183" i="3"/>
  <c r="X183" i="3"/>
  <c r="L183" i="3"/>
  <c r="N183" i="3" s="1"/>
  <c r="B183" i="3"/>
  <c r="Z182" i="3"/>
  <c r="X182" i="3"/>
  <c r="N182" i="3"/>
  <c r="L182" i="3"/>
  <c r="B182" i="3"/>
  <c r="X181" i="3"/>
  <c r="Z181" i="3" s="1"/>
  <c r="N181" i="3"/>
  <c r="L181" i="3"/>
  <c r="B181" i="3"/>
  <c r="Z180" i="3"/>
  <c r="X180" i="3"/>
  <c r="L180" i="3"/>
  <c r="N180" i="3" s="1"/>
  <c r="B180" i="3"/>
  <c r="Z179" i="3"/>
  <c r="X179" i="3"/>
  <c r="L179" i="3"/>
  <c r="N179" i="3" s="1"/>
  <c r="B179" i="3"/>
  <c r="X178" i="3"/>
  <c r="Z178" i="3" s="1"/>
  <c r="L178" i="3"/>
  <c r="N178" i="3" s="1"/>
  <c r="B178" i="3"/>
  <c r="X177" i="3"/>
  <c r="Z177" i="3" s="1"/>
  <c r="N177" i="3"/>
  <c r="L177" i="3"/>
  <c r="B177" i="3"/>
  <c r="Z176" i="3"/>
  <c r="X176" i="3"/>
  <c r="L176" i="3"/>
  <c r="N176" i="3" s="1"/>
  <c r="B176" i="3"/>
  <c r="Z175" i="3"/>
  <c r="X175" i="3"/>
  <c r="L175" i="3"/>
  <c r="N175" i="3" s="1"/>
  <c r="B175" i="3"/>
  <c r="X174" i="3"/>
  <c r="Z174" i="3" s="1"/>
  <c r="L174" i="3"/>
  <c r="N174" i="3" s="1"/>
  <c r="B174" i="3"/>
  <c r="X173" i="3"/>
  <c r="Z173" i="3" s="1"/>
  <c r="N173" i="3"/>
  <c r="L173" i="3"/>
  <c r="B173" i="3"/>
  <c r="Z172" i="3"/>
  <c r="X172" i="3"/>
  <c r="L172" i="3"/>
  <c r="N172" i="3" s="1"/>
  <c r="B172" i="3"/>
  <c r="Z171" i="3"/>
  <c r="X171" i="3"/>
  <c r="L171" i="3"/>
  <c r="N171" i="3" s="1"/>
  <c r="B171" i="3"/>
  <c r="X170" i="3"/>
  <c r="Z170" i="3" s="1"/>
  <c r="L170" i="3"/>
  <c r="N170" i="3" s="1"/>
  <c r="B170" i="3"/>
  <c r="X169" i="3"/>
  <c r="Z169" i="3" s="1"/>
  <c r="N169" i="3"/>
  <c r="L169" i="3"/>
  <c r="B169" i="3"/>
  <c r="Z168" i="3"/>
  <c r="X168" i="3"/>
  <c r="L168" i="3"/>
  <c r="N168" i="3" s="1"/>
  <c r="B168" i="3"/>
  <c r="Z167" i="3"/>
  <c r="X167" i="3"/>
  <c r="L167" i="3"/>
  <c r="N167" i="3" s="1"/>
  <c r="B167" i="3"/>
  <c r="X166" i="3"/>
  <c r="Z166" i="3" s="1"/>
  <c r="L166" i="3"/>
  <c r="N166" i="3" s="1"/>
  <c r="B166" i="3"/>
  <c r="X165" i="3"/>
  <c r="Z165" i="3" s="1"/>
  <c r="N165" i="3"/>
  <c r="L165" i="3"/>
  <c r="B165" i="3"/>
  <c r="Z164" i="3"/>
  <c r="X164" i="3"/>
  <c r="L164" i="3"/>
  <c r="N164" i="3" s="1"/>
  <c r="B164" i="3"/>
  <c r="Z163" i="3"/>
  <c r="X163" i="3"/>
  <c r="L163" i="3"/>
  <c r="N163" i="3" s="1"/>
  <c r="B163" i="3"/>
  <c r="X162" i="3"/>
  <c r="Z162" i="3" s="1"/>
  <c r="L162" i="3"/>
  <c r="N162" i="3" s="1"/>
  <c r="B162" i="3"/>
  <c r="X161" i="3"/>
  <c r="Z161" i="3" s="1"/>
  <c r="N161" i="3"/>
  <c r="L161" i="3"/>
  <c r="B161" i="3"/>
  <c r="Z160" i="3"/>
  <c r="X160" i="3"/>
  <c r="L160" i="3"/>
  <c r="N160" i="3" s="1"/>
  <c r="B160" i="3"/>
  <c r="Z159" i="3"/>
  <c r="X159" i="3"/>
  <c r="L159" i="3"/>
  <c r="N159" i="3" s="1"/>
  <c r="B159" i="3"/>
  <c r="X158" i="3"/>
  <c r="Z158" i="3" s="1"/>
  <c r="L158" i="3"/>
  <c r="N158" i="3" s="1"/>
  <c r="B158" i="3"/>
  <c r="X157" i="3"/>
  <c r="Z157" i="3" s="1"/>
  <c r="N157" i="3"/>
  <c r="L157" i="3"/>
  <c r="B157" i="3"/>
  <c r="Z156" i="3"/>
  <c r="X156" i="3"/>
  <c r="N156" i="3"/>
  <c r="L156" i="3"/>
  <c r="B156" i="3"/>
  <c r="Z155" i="3"/>
  <c r="X155" i="3"/>
  <c r="L155" i="3"/>
  <c r="N155" i="3" s="1"/>
  <c r="B155" i="3"/>
  <c r="X154" i="3"/>
  <c r="Z154" i="3" s="1"/>
  <c r="L154" i="3"/>
  <c r="N154" i="3" s="1"/>
  <c r="B154" i="3"/>
  <c r="X153" i="3"/>
  <c r="Z153" i="3" s="1"/>
  <c r="N153" i="3"/>
  <c r="L153" i="3"/>
  <c r="B153" i="3"/>
  <c r="Z152" i="3"/>
  <c r="X152" i="3"/>
  <c r="L152" i="3"/>
  <c r="N152" i="3" s="1"/>
  <c r="B152" i="3"/>
  <c r="Z151" i="3"/>
  <c r="X151" i="3"/>
  <c r="L151" i="3"/>
  <c r="N151" i="3" s="1"/>
  <c r="B151" i="3"/>
  <c r="X150" i="3"/>
  <c r="Z150" i="3" s="1"/>
  <c r="L150" i="3"/>
  <c r="N150" i="3" s="1"/>
  <c r="B150" i="3"/>
  <c r="X149" i="3"/>
  <c r="Z149" i="3" s="1"/>
  <c r="N149" i="3"/>
  <c r="L149" i="3"/>
  <c r="B149" i="3"/>
  <c r="Z148" i="3"/>
  <c r="X148" i="3"/>
  <c r="L148" i="3"/>
  <c r="N148" i="3" s="1"/>
  <c r="B148" i="3"/>
  <c r="T147" i="3"/>
  <c r="P147" i="3"/>
  <c r="X147" i="3" s="1"/>
  <c r="Z147" i="3" s="1"/>
  <c r="L147" i="3"/>
  <c r="H147" i="3"/>
  <c r="N147" i="3" s="1"/>
  <c r="D147" i="3"/>
  <c r="T145" i="3"/>
  <c r="P145" i="3"/>
  <c r="X145" i="3" s="1"/>
  <c r="Z145" i="3" s="1"/>
  <c r="N145" i="3"/>
  <c r="L145" i="3"/>
  <c r="H145" i="3"/>
  <c r="D145" i="3"/>
  <c r="B145" i="3"/>
  <c r="T144" i="3"/>
  <c r="Z144" i="3" s="1"/>
  <c r="P144" i="3"/>
  <c r="X144" i="3" s="1"/>
  <c r="H144" i="3"/>
  <c r="N144" i="3" s="1"/>
  <c r="D144" i="3"/>
  <c r="L144" i="3" s="1"/>
  <c r="B144" i="3"/>
  <c r="T143" i="3"/>
  <c r="P143" i="3"/>
  <c r="H143" i="3"/>
  <c r="D143" i="3"/>
  <c r="B143" i="3"/>
  <c r="T142" i="3"/>
  <c r="Z142" i="3" s="1"/>
  <c r="P142" i="3"/>
  <c r="N142" i="3"/>
  <c r="L142" i="3"/>
  <c r="H142" i="3"/>
  <c r="D142" i="3"/>
  <c r="B142" i="3"/>
  <c r="Z141" i="3"/>
  <c r="T141" i="3"/>
  <c r="P141" i="3"/>
  <c r="X141" i="3" s="1"/>
  <c r="N141" i="3"/>
  <c r="L141" i="3"/>
  <c r="H141" i="3"/>
  <c r="D141" i="3"/>
  <c r="B141" i="3"/>
  <c r="T140" i="3"/>
  <c r="P140" i="3"/>
  <c r="X140" i="3" s="1"/>
  <c r="H140" i="3"/>
  <c r="D140" i="3"/>
  <c r="L140" i="3" s="1"/>
  <c r="B140" i="3"/>
  <c r="T139" i="3"/>
  <c r="P139" i="3"/>
  <c r="H139" i="3"/>
  <c r="D139" i="3"/>
  <c r="B139" i="3"/>
  <c r="T138" i="3"/>
  <c r="P138" i="3"/>
  <c r="L138" i="3"/>
  <c r="N138" i="3" s="1"/>
  <c r="H138" i="3"/>
  <c r="D138" i="3"/>
  <c r="B138" i="3"/>
  <c r="Z137" i="3"/>
  <c r="T137" i="3"/>
  <c r="P137" i="3"/>
  <c r="X137" i="3" s="1"/>
  <c r="N137" i="3"/>
  <c r="L137" i="3"/>
  <c r="H137" i="3"/>
  <c r="D137" i="3"/>
  <c r="B137" i="3"/>
  <c r="T136" i="3"/>
  <c r="Z136" i="3" s="1"/>
  <c r="P136" i="3"/>
  <c r="X136" i="3" s="1"/>
  <c r="H136" i="3"/>
  <c r="N136" i="3" s="1"/>
  <c r="D136" i="3"/>
  <c r="L136" i="3" s="1"/>
  <c r="B136" i="3"/>
  <c r="T135" i="3"/>
  <c r="P135" i="3"/>
  <c r="H135" i="3"/>
  <c r="D135" i="3"/>
  <c r="B135" i="3"/>
  <c r="T134" i="3"/>
  <c r="P134" i="3"/>
  <c r="L134" i="3"/>
  <c r="N134" i="3" s="1"/>
  <c r="H134" i="3"/>
  <c r="D134" i="3"/>
  <c r="B134" i="3"/>
  <c r="T133" i="3"/>
  <c r="P133" i="3"/>
  <c r="X133" i="3" s="1"/>
  <c r="Z133" i="3" s="1"/>
  <c r="N133" i="3"/>
  <c r="L133" i="3"/>
  <c r="H133" i="3"/>
  <c r="D133" i="3"/>
  <c r="B133" i="3"/>
  <c r="T132" i="3"/>
  <c r="Z132" i="3" s="1"/>
  <c r="P132" i="3"/>
  <c r="X132" i="3" s="1"/>
  <c r="H132" i="3"/>
  <c r="N132" i="3" s="1"/>
  <c r="D132" i="3"/>
  <c r="L132" i="3" s="1"/>
  <c r="B132" i="3"/>
  <c r="T131" i="3"/>
  <c r="P131" i="3"/>
  <c r="H131" i="3"/>
  <c r="D131" i="3"/>
  <c r="B131" i="3"/>
  <c r="T130" i="3"/>
  <c r="P130" i="3"/>
  <c r="N130" i="3"/>
  <c r="L130" i="3"/>
  <c r="H130" i="3"/>
  <c r="D130" i="3"/>
  <c r="B130" i="3"/>
  <c r="T129" i="3"/>
  <c r="P129" i="3"/>
  <c r="X129" i="3" s="1"/>
  <c r="Z129" i="3" s="1"/>
  <c r="N129" i="3"/>
  <c r="L129" i="3"/>
  <c r="H129" i="3"/>
  <c r="D129" i="3"/>
  <c r="B129" i="3"/>
  <c r="T128" i="3"/>
  <c r="P128" i="3"/>
  <c r="X128" i="3" s="1"/>
  <c r="H128" i="3"/>
  <c r="N128" i="3" s="1"/>
  <c r="D128" i="3"/>
  <c r="L128" i="3" s="1"/>
  <c r="B128" i="3"/>
  <c r="T127" i="3"/>
  <c r="P127" i="3"/>
  <c r="H127" i="3"/>
  <c r="D127" i="3"/>
  <c r="B127" i="3"/>
  <c r="T126" i="3"/>
  <c r="P126" i="3"/>
  <c r="N126" i="3"/>
  <c r="L126" i="3"/>
  <c r="H126" i="3"/>
  <c r="D126" i="3"/>
  <c r="B126" i="3"/>
  <c r="T125" i="3"/>
  <c r="P125" i="3"/>
  <c r="X125" i="3" s="1"/>
  <c r="Z125" i="3" s="1"/>
  <c r="L125" i="3"/>
  <c r="N125" i="3" s="1"/>
  <c r="H125" i="3"/>
  <c r="D125" i="3"/>
  <c r="B125" i="3"/>
  <c r="T124" i="3"/>
  <c r="P124" i="3"/>
  <c r="X124" i="3" s="1"/>
  <c r="H124" i="3"/>
  <c r="N124" i="3" s="1"/>
  <c r="D124" i="3"/>
  <c r="L124" i="3" s="1"/>
  <c r="B124" i="3"/>
  <c r="T123" i="3"/>
  <c r="P123" i="3"/>
  <c r="H123" i="3"/>
  <c r="D123" i="3"/>
  <c r="B123" i="3"/>
  <c r="T122" i="3"/>
  <c r="P122" i="3"/>
  <c r="L122" i="3"/>
  <c r="N122" i="3" s="1"/>
  <c r="H122" i="3"/>
  <c r="D122" i="3"/>
  <c r="B122" i="3"/>
  <c r="Z121" i="3"/>
  <c r="T121" i="3"/>
  <c r="P121" i="3"/>
  <c r="X121" i="3" s="1"/>
  <c r="N121" i="3"/>
  <c r="L121" i="3"/>
  <c r="H121" i="3"/>
  <c r="D121" i="3"/>
  <c r="B121" i="3"/>
  <c r="T120" i="3"/>
  <c r="P120" i="3"/>
  <c r="X120" i="3" s="1"/>
  <c r="H120" i="3"/>
  <c r="D120" i="3"/>
  <c r="L120" i="3" s="1"/>
  <c r="B120" i="3"/>
  <c r="T119" i="3"/>
  <c r="P119" i="3"/>
  <c r="H119" i="3"/>
  <c r="D119" i="3"/>
  <c r="B119" i="3"/>
  <c r="T118" i="3"/>
  <c r="P118" i="3"/>
  <c r="L118" i="3"/>
  <c r="N118" i="3" s="1"/>
  <c r="H118" i="3"/>
  <c r="D118" i="3"/>
  <c r="B118" i="3"/>
  <c r="T117" i="3"/>
  <c r="P117" i="3"/>
  <c r="X117" i="3" s="1"/>
  <c r="Z117" i="3" s="1"/>
  <c r="L117" i="3"/>
  <c r="N117" i="3" s="1"/>
  <c r="H117" i="3"/>
  <c r="D117" i="3"/>
  <c r="B117" i="3"/>
  <c r="T116" i="3"/>
  <c r="P116" i="3"/>
  <c r="X116" i="3" s="1"/>
  <c r="H116" i="3"/>
  <c r="D116" i="3"/>
  <c r="L116" i="3" s="1"/>
  <c r="B116" i="3"/>
  <c r="T115" i="3"/>
  <c r="P115" i="3"/>
  <c r="H115" i="3"/>
  <c r="N115" i="3" s="1"/>
  <c r="D115" i="3"/>
  <c r="B115" i="3"/>
  <c r="T114" i="3"/>
  <c r="P114" i="3"/>
  <c r="L114" i="3"/>
  <c r="N114" i="3" s="1"/>
  <c r="H114" i="3"/>
  <c r="D114" i="3"/>
  <c r="B114" i="3"/>
  <c r="T113" i="3"/>
  <c r="P113" i="3"/>
  <c r="X113" i="3" s="1"/>
  <c r="Z113" i="3" s="1"/>
  <c r="L113" i="3"/>
  <c r="N113" i="3" s="1"/>
  <c r="H113" i="3"/>
  <c r="D113" i="3"/>
  <c r="B113" i="3"/>
  <c r="T112" i="3"/>
  <c r="Z112" i="3" s="1"/>
  <c r="P112" i="3"/>
  <c r="X112" i="3" s="1"/>
  <c r="H112" i="3"/>
  <c r="D112" i="3"/>
  <c r="L112" i="3" s="1"/>
  <c r="B112" i="3"/>
  <c r="T111" i="3"/>
  <c r="P111" i="3"/>
  <c r="H111" i="3"/>
  <c r="N111" i="3" s="1"/>
  <c r="D111" i="3"/>
  <c r="B111" i="3"/>
  <c r="T110" i="3"/>
  <c r="P110" i="3"/>
  <c r="N110" i="3"/>
  <c r="L110" i="3"/>
  <c r="H110" i="3"/>
  <c r="D110" i="3"/>
  <c r="B110" i="3"/>
  <c r="T109" i="3"/>
  <c r="P109" i="3"/>
  <c r="X109" i="3" s="1"/>
  <c r="Z109" i="3" s="1"/>
  <c r="L109" i="3"/>
  <c r="N109" i="3" s="1"/>
  <c r="H109" i="3"/>
  <c r="D109" i="3"/>
  <c r="B109" i="3"/>
  <c r="T108" i="3"/>
  <c r="P108" i="3"/>
  <c r="X108" i="3" s="1"/>
  <c r="H108" i="3"/>
  <c r="D108" i="3"/>
  <c r="L108" i="3" s="1"/>
  <c r="B108" i="3"/>
  <c r="T107" i="3"/>
  <c r="P107" i="3"/>
  <c r="H107" i="3"/>
  <c r="D107" i="3"/>
  <c r="B107" i="3"/>
  <c r="T106" i="3"/>
  <c r="P106" i="3"/>
  <c r="L106" i="3"/>
  <c r="N106" i="3" s="1"/>
  <c r="H106" i="3"/>
  <c r="D106" i="3"/>
  <c r="B106" i="3"/>
  <c r="T105" i="3"/>
  <c r="P105" i="3"/>
  <c r="X105" i="3" s="1"/>
  <c r="Z105" i="3" s="1"/>
  <c r="N105" i="3"/>
  <c r="L105" i="3"/>
  <c r="H105" i="3"/>
  <c r="D105" i="3"/>
  <c r="B105" i="3"/>
  <c r="T104" i="3"/>
  <c r="Z104" i="3" s="1"/>
  <c r="P104" i="3"/>
  <c r="X104" i="3" s="1"/>
  <c r="H104" i="3"/>
  <c r="N104" i="3" s="1"/>
  <c r="D104" i="3"/>
  <c r="L104" i="3" s="1"/>
  <c r="B104" i="3"/>
  <c r="T103" i="3"/>
  <c r="P103" i="3"/>
  <c r="H103" i="3"/>
  <c r="N103" i="3" s="1"/>
  <c r="D103" i="3"/>
  <c r="B103" i="3"/>
  <c r="T102" i="3"/>
  <c r="P102" i="3"/>
  <c r="L102" i="3"/>
  <c r="N102" i="3" s="1"/>
  <c r="H102" i="3"/>
  <c r="D102" i="3"/>
  <c r="B102" i="3"/>
  <c r="T101" i="3"/>
  <c r="P101" i="3"/>
  <c r="X101" i="3" s="1"/>
  <c r="Z101" i="3" s="1"/>
  <c r="N101" i="3"/>
  <c r="L101" i="3"/>
  <c r="H101" i="3"/>
  <c r="D101" i="3"/>
  <c r="B101" i="3"/>
  <c r="T100" i="3"/>
  <c r="P100" i="3"/>
  <c r="X100" i="3" s="1"/>
  <c r="H100" i="3"/>
  <c r="N100" i="3" s="1"/>
  <c r="D100" i="3"/>
  <c r="L100" i="3" s="1"/>
  <c r="B100" i="3"/>
  <c r="T99" i="3"/>
  <c r="P99" i="3"/>
  <c r="H99" i="3"/>
  <c r="D99" i="3"/>
  <c r="B99" i="3"/>
  <c r="T98" i="3"/>
  <c r="P98" i="3"/>
  <c r="L98" i="3"/>
  <c r="N98" i="3" s="1"/>
  <c r="H98" i="3"/>
  <c r="D98" i="3"/>
  <c r="B98" i="3"/>
  <c r="T97" i="3"/>
  <c r="P97" i="3"/>
  <c r="X97" i="3" s="1"/>
  <c r="Z97" i="3" s="1"/>
  <c r="L97" i="3"/>
  <c r="N97" i="3" s="1"/>
  <c r="H97" i="3"/>
  <c r="D97" i="3"/>
  <c r="B97" i="3"/>
  <c r="T96" i="3"/>
  <c r="Z96" i="3" s="1"/>
  <c r="P96" i="3"/>
  <c r="X96" i="3" s="1"/>
  <c r="H96" i="3"/>
  <c r="N96" i="3" s="1"/>
  <c r="D96" i="3"/>
  <c r="L96" i="3" s="1"/>
  <c r="B96" i="3"/>
  <c r="T95" i="3"/>
  <c r="P95" i="3"/>
  <c r="H95" i="3"/>
  <c r="D95" i="3"/>
  <c r="B95" i="3"/>
  <c r="T94" i="3"/>
  <c r="P94" i="3"/>
  <c r="L94" i="3"/>
  <c r="N94" i="3" s="1"/>
  <c r="H94" i="3"/>
  <c r="D94" i="3"/>
  <c r="B94" i="3"/>
  <c r="T93" i="3"/>
  <c r="P93" i="3"/>
  <c r="X93" i="3" s="1"/>
  <c r="Z93" i="3" s="1"/>
  <c r="N93" i="3"/>
  <c r="L93" i="3"/>
  <c r="H93" i="3"/>
  <c r="D93" i="3"/>
  <c r="B93" i="3"/>
  <c r="T92" i="3"/>
  <c r="P92" i="3"/>
  <c r="X92" i="3" s="1"/>
  <c r="H92" i="3"/>
  <c r="D92" i="3"/>
  <c r="L92" i="3" s="1"/>
  <c r="B92" i="3"/>
  <c r="T91" i="3"/>
  <c r="P91" i="3"/>
  <c r="H91" i="3"/>
  <c r="D91" i="3"/>
  <c r="B91" i="3"/>
  <c r="T90" i="3"/>
  <c r="P90" i="3"/>
  <c r="L90" i="3"/>
  <c r="N90" i="3" s="1"/>
  <c r="H90" i="3"/>
  <c r="D90" i="3"/>
  <c r="B90" i="3"/>
  <c r="T89" i="3"/>
  <c r="P89" i="3"/>
  <c r="X89" i="3" s="1"/>
  <c r="Z89" i="3" s="1"/>
  <c r="N89" i="3"/>
  <c r="L89" i="3"/>
  <c r="H89" i="3"/>
  <c r="D89" i="3"/>
  <c r="B89" i="3"/>
  <c r="T88" i="3"/>
  <c r="P88" i="3"/>
  <c r="X88" i="3" s="1"/>
  <c r="H88" i="3"/>
  <c r="N88" i="3" s="1"/>
  <c r="D88" i="3"/>
  <c r="L88" i="3" s="1"/>
  <c r="B88" i="3"/>
  <c r="T87" i="3"/>
  <c r="P87" i="3"/>
  <c r="H87" i="3"/>
  <c r="N87" i="3" s="1"/>
  <c r="D87" i="3"/>
  <c r="B87" i="3"/>
  <c r="T86" i="3"/>
  <c r="P86" i="3"/>
  <c r="L86" i="3"/>
  <c r="N86" i="3" s="1"/>
  <c r="H86" i="3"/>
  <c r="D86" i="3"/>
  <c r="B86" i="3"/>
  <c r="T85" i="3"/>
  <c r="P85" i="3"/>
  <c r="X85" i="3" s="1"/>
  <c r="Z85" i="3" s="1"/>
  <c r="L85" i="3"/>
  <c r="N85" i="3" s="1"/>
  <c r="H85" i="3"/>
  <c r="D85" i="3"/>
  <c r="B85" i="3"/>
  <c r="T84" i="3"/>
  <c r="Z84" i="3" s="1"/>
  <c r="P84" i="3"/>
  <c r="X84" i="3" s="1"/>
  <c r="H84" i="3"/>
  <c r="D84" i="3"/>
  <c r="L84" i="3" s="1"/>
  <c r="B84" i="3"/>
  <c r="T83" i="3"/>
  <c r="P83" i="3"/>
  <c r="H83" i="3"/>
  <c r="D83" i="3"/>
  <c r="B83" i="3"/>
  <c r="T82" i="3"/>
  <c r="P82" i="3"/>
  <c r="L82" i="3"/>
  <c r="N82" i="3" s="1"/>
  <c r="H82" i="3"/>
  <c r="D82" i="3"/>
  <c r="B82" i="3"/>
  <c r="T81" i="3"/>
  <c r="P81" i="3"/>
  <c r="X81" i="3" s="1"/>
  <c r="Z81" i="3" s="1"/>
  <c r="L81" i="3"/>
  <c r="N81" i="3" s="1"/>
  <c r="H81" i="3"/>
  <c r="D81" i="3"/>
  <c r="B81" i="3"/>
  <c r="T80" i="3"/>
  <c r="P80" i="3"/>
  <c r="X80" i="3" s="1"/>
  <c r="H80" i="3"/>
  <c r="N80" i="3" s="1"/>
  <c r="D80" i="3"/>
  <c r="L80" i="3" s="1"/>
  <c r="B80" i="3"/>
  <c r="T79" i="3"/>
  <c r="P79" i="3"/>
  <c r="H79" i="3"/>
  <c r="D79" i="3"/>
  <c r="B79" i="3"/>
  <c r="T78" i="3"/>
  <c r="Z78" i="3" s="1"/>
  <c r="P78" i="3"/>
  <c r="N78" i="3"/>
  <c r="L78" i="3"/>
  <c r="H78" i="3"/>
  <c r="D78" i="3"/>
  <c r="B78" i="3"/>
  <c r="T77" i="3"/>
  <c r="P77" i="3"/>
  <c r="X77" i="3" s="1"/>
  <c r="Z77" i="3" s="1"/>
  <c r="L77" i="3"/>
  <c r="N77" i="3" s="1"/>
  <c r="H77" i="3"/>
  <c r="D77" i="3"/>
  <c r="B77" i="3"/>
  <c r="T76" i="3"/>
  <c r="Z76" i="3" s="1"/>
  <c r="P76" i="3"/>
  <c r="X76" i="3" s="1"/>
  <c r="H76" i="3"/>
  <c r="D76" i="3"/>
  <c r="L76" i="3" s="1"/>
  <c r="B76" i="3"/>
  <c r="T75" i="3"/>
  <c r="P75" i="3"/>
  <c r="H75" i="3"/>
  <c r="D75" i="3"/>
  <c r="B75" i="3"/>
  <c r="T74" i="3"/>
  <c r="P74" i="3"/>
  <c r="L74" i="3"/>
  <c r="N74" i="3" s="1"/>
  <c r="H74" i="3"/>
  <c r="D74" i="3"/>
  <c r="B74" i="3"/>
  <c r="T73" i="3"/>
  <c r="P73" i="3"/>
  <c r="X73" i="3" s="1"/>
  <c r="Z73" i="3" s="1"/>
  <c r="L73" i="3"/>
  <c r="N73" i="3" s="1"/>
  <c r="H73" i="3"/>
  <c r="D73" i="3"/>
  <c r="B73" i="3"/>
  <c r="T72" i="3"/>
  <c r="Z72" i="3" s="1"/>
  <c r="P72" i="3"/>
  <c r="X72" i="3" s="1"/>
  <c r="H72" i="3"/>
  <c r="N72" i="3" s="1"/>
  <c r="D72" i="3"/>
  <c r="L72" i="3" s="1"/>
  <c r="B72" i="3"/>
  <c r="T71" i="3"/>
  <c r="P71" i="3"/>
  <c r="H71" i="3"/>
  <c r="D71" i="3"/>
  <c r="B71" i="3"/>
  <c r="T70" i="3"/>
  <c r="P70" i="3"/>
  <c r="L70" i="3"/>
  <c r="N70" i="3" s="1"/>
  <c r="H70" i="3"/>
  <c r="D70" i="3"/>
  <c r="B70" i="3"/>
  <c r="T69" i="3"/>
  <c r="P69" i="3"/>
  <c r="X69" i="3" s="1"/>
  <c r="Z69" i="3" s="1"/>
  <c r="L69" i="3"/>
  <c r="N69" i="3" s="1"/>
  <c r="H69" i="3"/>
  <c r="D69" i="3"/>
  <c r="B69" i="3"/>
  <c r="T68" i="3"/>
  <c r="P68" i="3"/>
  <c r="X68" i="3" s="1"/>
  <c r="H68" i="3"/>
  <c r="N68" i="3" s="1"/>
  <c r="D68" i="3"/>
  <c r="L68" i="3" s="1"/>
  <c r="B68" i="3"/>
  <c r="T67" i="3"/>
  <c r="P67" i="3"/>
  <c r="H67" i="3"/>
  <c r="D67" i="3"/>
  <c r="B67" i="3"/>
  <c r="T66" i="3"/>
  <c r="P66" i="3"/>
  <c r="L66" i="3"/>
  <c r="N66" i="3" s="1"/>
  <c r="H66" i="3"/>
  <c r="D66" i="3"/>
  <c r="B66" i="3"/>
  <c r="T65" i="3"/>
  <c r="P65" i="3"/>
  <c r="X65" i="3" s="1"/>
  <c r="Z65" i="3" s="1"/>
  <c r="N65" i="3"/>
  <c r="L65" i="3"/>
  <c r="H65" i="3"/>
  <c r="D65" i="3"/>
  <c r="B65" i="3"/>
  <c r="T64" i="3"/>
  <c r="Z64" i="3" s="1"/>
  <c r="P64" i="3"/>
  <c r="X64" i="3" s="1"/>
  <c r="H64" i="3"/>
  <c r="N64" i="3" s="1"/>
  <c r="D64" i="3"/>
  <c r="L64" i="3" s="1"/>
  <c r="B64" i="3"/>
  <c r="T63" i="3"/>
  <c r="P63" i="3"/>
  <c r="H63" i="3"/>
  <c r="D63" i="3"/>
  <c r="B63" i="3"/>
  <c r="T62" i="3"/>
  <c r="P62" i="3"/>
  <c r="L62" i="3"/>
  <c r="N62" i="3" s="1"/>
  <c r="H62" i="3"/>
  <c r="D62" i="3"/>
  <c r="B62" i="3"/>
  <c r="T61" i="3"/>
  <c r="P61" i="3"/>
  <c r="X61" i="3" s="1"/>
  <c r="Z61" i="3" s="1"/>
  <c r="L61" i="3"/>
  <c r="N61" i="3" s="1"/>
  <c r="H61" i="3"/>
  <c r="D61" i="3"/>
  <c r="B61" i="3"/>
  <c r="T60" i="3"/>
  <c r="P60" i="3"/>
  <c r="X60" i="3" s="1"/>
  <c r="H60" i="3"/>
  <c r="N60" i="3" s="1"/>
  <c r="D60" i="3"/>
  <c r="L60" i="3" s="1"/>
  <c r="B60" i="3"/>
  <c r="T59" i="3"/>
  <c r="P59" i="3"/>
  <c r="H59" i="3"/>
  <c r="D59" i="3"/>
  <c r="B59" i="3"/>
  <c r="T58" i="3"/>
  <c r="P58" i="3"/>
  <c r="L58" i="3"/>
  <c r="N58" i="3" s="1"/>
  <c r="H58" i="3"/>
  <c r="D58" i="3"/>
  <c r="B58" i="3"/>
  <c r="T57" i="3"/>
  <c r="P57" i="3"/>
  <c r="X57" i="3" s="1"/>
  <c r="Z57" i="3" s="1"/>
  <c r="L57" i="3"/>
  <c r="N57" i="3" s="1"/>
  <c r="H57" i="3"/>
  <c r="D57" i="3"/>
  <c r="B57" i="3"/>
  <c r="T56" i="3"/>
  <c r="Z56" i="3" s="1"/>
  <c r="P56" i="3"/>
  <c r="X56" i="3" s="1"/>
  <c r="H56" i="3"/>
  <c r="D56" i="3"/>
  <c r="L56" i="3" s="1"/>
  <c r="B56" i="3"/>
  <c r="T55" i="3"/>
  <c r="P55" i="3"/>
  <c r="H55" i="3"/>
  <c r="D55" i="3"/>
  <c r="B55" i="3"/>
  <c r="T54" i="3"/>
  <c r="P54" i="3"/>
  <c r="N54" i="3"/>
  <c r="L54" i="3"/>
  <c r="H54" i="3"/>
  <c r="D54" i="3"/>
  <c r="B54" i="3"/>
  <c r="T53" i="3"/>
  <c r="P53" i="3"/>
  <c r="X53" i="3" s="1"/>
  <c r="Z53" i="3" s="1"/>
  <c r="L53" i="3"/>
  <c r="N53" i="3" s="1"/>
  <c r="H53" i="3"/>
  <c r="D53" i="3"/>
  <c r="B53" i="3"/>
  <c r="T52" i="3"/>
  <c r="P52" i="3"/>
  <c r="X52" i="3" s="1"/>
  <c r="H52" i="3"/>
  <c r="D52" i="3"/>
  <c r="L52" i="3" s="1"/>
  <c r="B52" i="3"/>
  <c r="T51" i="3"/>
  <c r="P51" i="3"/>
  <c r="H51" i="3"/>
  <c r="D51" i="3"/>
  <c r="B51" i="3"/>
  <c r="T50" i="3"/>
  <c r="P50" i="3"/>
  <c r="L50" i="3"/>
  <c r="N50" i="3" s="1"/>
  <c r="H50" i="3"/>
  <c r="D50" i="3"/>
  <c r="B50" i="3"/>
  <c r="T49" i="3"/>
  <c r="P49" i="3"/>
  <c r="X49" i="3" s="1"/>
  <c r="Z49" i="3" s="1"/>
  <c r="L49" i="3"/>
  <c r="N49" i="3" s="1"/>
  <c r="H49" i="3"/>
  <c r="D49" i="3"/>
  <c r="B49" i="3"/>
  <c r="T48" i="3"/>
  <c r="Z48" i="3" s="1"/>
  <c r="P48" i="3"/>
  <c r="X48" i="3" s="1"/>
  <c r="H48" i="3"/>
  <c r="D48" i="3"/>
  <c r="L48" i="3" s="1"/>
  <c r="B48" i="3"/>
  <c r="T47" i="3"/>
  <c r="P47" i="3"/>
  <c r="H47" i="3"/>
  <c r="L47" i="3" s="1"/>
  <c r="D47" i="3"/>
  <c r="B47" i="3"/>
  <c r="T46" i="3"/>
  <c r="P46" i="3"/>
  <c r="L46" i="3"/>
  <c r="N46" i="3" s="1"/>
  <c r="H46" i="3"/>
  <c r="D46" i="3"/>
  <c r="B46" i="3"/>
  <c r="T45" i="3"/>
  <c r="P45" i="3"/>
  <c r="X45" i="3" s="1"/>
  <c r="Z45" i="3" s="1"/>
  <c r="N45" i="3"/>
  <c r="L45" i="3"/>
  <c r="H45" i="3"/>
  <c r="D45" i="3"/>
  <c r="B45" i="3"/>
  <c r="T44" i="3"/>
  <c r="P44" i="3"/>
  <c r="X44" i="3" s="1"/>
  <c r="H44" i="3"/>
  <c r="D44" i="3"/>
  <c r="L44" i="3" s="1"/>
  <c r="B44" i="3"/>
  <c r="T43" i="3"/>
  <c r="P43" i="3"/>
  <c r="H43" i="3"/>
  <c r="D43" i="3"/>
  <c r="B43" i="3"/>
  <c r="T42" i="3"/>
  <c r="P42" i="3"/>
  <c r="L42" i="3"/>
  <c r="N42" i="3" s="1"/>
  <c r="H42" i="3"/>
  <c r="D42" i="3"/>
  <c r="B42" i="3"/>
  <c r="T41" i="3"/>
  <c r="P41" i="3"/>
  <c r="X41" i="3" s="1"/>
  <c r="Z41" i="3" s="1"/>
  <c r="L41" i="3"/>
  <c r="N41" i="3" s="1"/>
  <c r="H41" i="3"/>
  <c r="D41" i="3"/>
  <c r="B41" i="3"/>
  <c r="T40" i="3"/>
  <c r="P40" i="3"/>
  <c r="X40" i="3" s="1"/>
  <c r="H40" i="3"/>
  <c r="D40" i="3"/>
  <c r="L40" i="3" s="1"/>
  <c r="B40" i="3"/>
  <c r="T39" i="3"/>
  <c r="P39" i="3"/>
  <c r="H39" i="3"/>
  <c r="D39" i="3"/>
  <c r="B39" i="3"/>
  <c r="T38" i="3"/>
  <c r="X38" i="3" s="1"/>
  <c r="P38" i="3"/>
  <c r="L38" i="3"/>
  <c r="N38" i="3" s="1"/>
  <c r="H38" i="3"/>
  <c r="D38" i="3"/>
  <c r="B38" i="3"/>
  <c r="T37" i="3"/>
  <c r="P37" i="3"/>
  <c r="X37" i="3" s="1"/>
  <c r="Z37" i="3" s="1"/>
  <c r="L37" i="3"/>
  <c r="N37" i="3" s="1"/>
  <c r="H37" i="3"/>
  <c r="D37" i="3"/>
  <c r="B37" i="3"/>
  <c r="T36" i="3"/>
  <c r="Z36" i="3" s="1"/>
  <c r="P36" i="3"/>
  <c r="X36" i="3" s="1"/>
  <c r="H36" i="3"/>
  <c r="D36" i="3"/>
  <c r="L36" i="3" s="1"/>
  <c r="B36" i="3"/>
  <c r="T35" i="3"/>
  <c r="P35" i="3"/>
  <c r="H35" i="3"/>
  <c r="L35" i="3" s="1"/>
  <c r="D35" i="3"/>
  <c r="B35" i="3"/>
  <c r="T34" i="3"/>
  <c r="P34" i="3"/>
  <c r="L34" i="3"/>
  <c r="N34" i="3" s="1"/>
  <c r="H34" i="3"/>
  <c r="D34" i="3"/>
  <c r="B34" i="3"/>
  <c r="T33" i="3"/>
  <c r="P33" i="3"/>
  <c r="X33" i="3" s="1"/>
  <c r="Z33" i="3" s="1"/>
  <c r="L33" i="3"/>
  <c r="N33" i="3" s="1"/>
  <c r="H33" i="3"/>
  <c r="D33" i="3"/>
  <c r="B33" i="3"/>
  <c r="T32" i="3"/>
  <c r="Z32" i="3" s="1"/>
  <c r="P32" i="3"/>
  <c r="X32" i="3" s="1"/>
  <c r="H32" i="3"/>
  <c r="N32" i="3" s="1"/>
  <c r="D32" i="3"/>
  <c r="L32" i="3" s="1"/>
  <c r="B32" i="3"/>
  <c r="T31" i="3"/>
  <c r="P31" i="3"/>
  <c r="H31" i="3"/>
  <c r="D31" i="3"/>
  <c r="B31" i="3"/>
  <c r="T30" i="3"/>
  <c r="P30" i="3"/>
  <c r="L30" i="3"/>
  <c r="N30" i="3" s="1"/>
  <c r="H30" i="3"/>
  <c r="D30" i="3"/>
  <c r="B30" i="3"/>
  <c r="T29" i="3"/>
  <c r="P29" i="3"/>
  <c r="X29" i="3" s="1"/>
  <c r="Z29" i="3" s="1"/>
  <c r="L29" i="3"/>
  <c r="N29" i="3" s="1"/>
  <c r="H29" i="3"/>
  <c r="D29" i="3"/>
  <c r="B29" i="3"/>
  <c r="T28" i="3"/>
  <c r="Z28" i="3" s="1"/>
  <c r="P28" i="3"/>
  <c r="X28" i="3" s="1"/>
  <c r="H28" i="3"/>
  <c r="N28" i="3" s="1"/>
  <c r="D28" i="3"/>
  <c r="L28" i="3" s="1"/>
  <c r="B28" i="3"/>
  <c r="T27" i="3"/>
  <c r="P27" i="3"/>
  <c r="H27" i="3"/>
  <c r="D27" i="3"/>
  <c r="B27" i="3"/>
  <c r="T26" i="3"/>
  <c r="X26" i="3" s="1"/>
  <c r="P26" i="3"/>
  <c r="L26" i="3"/>
  <c r="N26" i="3" s="1"/>
  <c r="H26" i="3"/>
  <c r="D26" i="3"/>
  <c r="B26" i="3"/>
  <c r="T25" i="3"/>
  <c r="P25" i="3"/>
  <c r="X25" i="3" s="1"/>
  <c r="Z25" i="3" s="1"/>
  <c r="L25" i="3"/>
  <c r="N25" i="3" s="1"/>
  <c r="H25" i="3"/>
  <c r="D25" i="3"/>
  <c r="B25" i="3"/>
  <c r="T24" i="3"/>
  <c r="P24" i="3"/>
  <c r="X24" i="3" s="1"/>
  <c r="H24" i="3"/>
  <c r="N24" i="3" s="1"/>
  <c r="D24" i="3"/>
  <c r="L24" i="3" s="1"/>
  <c r="B24" i="3"/>
  <c r="T23" i="3"/>
  <c r="P23" i="3"/>
  <c r="H23" i="3"/>
  <c r="N23" i="3" s="1"/>
  <c r="D23" i="3"/>
  <c r="B23" i="3"/>
  <c r="T22" i="3"/>
  <c r="P22" i="3"/>
  <c r="L22" i="3"/>
  <c r="N22" i="3" s="1"/>
  <c r="H22" i="3"/>
  <c r="D22" i="3"/>
  <c r="B22" i="3"/>
  <c r="T21" i="3"/>
  <c r="P21" i="3"/>
  <c r="X21" i="3" s="1"/>
  <c r="Z21" i="3" s="1"/>
  <c r="L21" i="3"/>
  <c r="N21" i="3" s="1"/>
  <c r="H21" i="3"/>
  <c r="D21" i="3"/>
  <c r="B21" i="3"/>
  <c r="T20" i="3"/>
  <c r="P20" i="3"/>
  <c r="X20" i="3" s="1"/>
  <c r="H20" i="3"/>
  <c r="D20" i="3"/>
  <c r="L20" i="3" s="1"/>
  <c r="B20" i="3"/>
  <c r="T19" i="3"/>
  <c r="P19" i="3"/>
  <c r="H19" i="3"/>
  <c r="D19" i="3"/>
  <c r="B19" i="3"/>
  <c r="T18" i="3"/>
  <c r="P18" i="3"/>
  <c r="N18" i="3"/>
  <c r="L18" i="3"/>
  <c r="H18" i="3"/>
  <c r="D18" i="3"/>
  <c r="B18" i="3"/>
  <c r="T17" i="3"/>
  <c r="P17" i="3"/>
  <c r="X17" i="3" s="1"/>
  <c r="Z17" i="3" s="1"/>
  <c r="N17" i="3"/>
  <c r="L17" i="3"/>
  <c r="H17" i="3"/>
  <c r="D17" i="3"/>
  <c r="B17" i="3"/>
  <c r="T16" i="3"/>
  <c r="P16" i="3"/>
  <c r="X16" i="3" s="1"/>
  <c r="H16" i="3"/>
  <c r="N16" i="3" s="1"/>
  <c r="D16" i="3"/>
  <c r="L16" i="3" s="1"/>
  <c r="B16" i="3"/>
  <c r="T15" i="3"/>
  <c r="P15" i="3"/>
  <c r="H15" i="3"/>
  <c r="D15" i="3"/>
  <c r="B15" i="3"/>
  <c r="T14" i="3"/>
  <c r="P14" i="3"/>
  <c r="L14" i="3"/>
  <c r="N14" i="3" s="1"/>
  <c r="H14" i="3"/>
  <c r="D14" i="3"/>
  <c r="B14" i="3"/>
  <c r="Z13" i="3"/>
  <c r="T13" i="3"/>
  <c r="P13" i="3"/>
  <c r="X13" i="3" s="1"/>
  <c r="N13" i="3"/>
  <c r="L13" i="3"/>
  <c r="H13" i="3"/>
  <c r="D13" i="3"/>
  <c r="B13" i="3"/>
  <c r="P12" i="3"/>
  <c r="R293" i="3" s="1"/>
  <c r="D12" i="3"/>
  <c r="F316" i="3" s="1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1" i="113"/>
  <c r="T15" i="113"/>
  <c r="P13" i="113"/>
  <c r="H12" i="113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P22" i="113"/>
  <c r="T16" i="113"/>
  <c r="T22" i="112"/>
  <c r="P16" i="113"/>
  <c r="P22" i="112"/>
  <c r="T16" i="112"/>
  <c r="T22" i="111"/>
  <c r="H29" i="113"/>
  <c r="P29" i="111"/>
  <c r="D16" i="111"/>
  <c r="H34" i="113"/>
  <c r="P15" i="113"/>
  <c r="P21" i="112"/>
  <c r="T15" i="112"/>
  <c r="P34" i="111"/>
  <c r="T21" i="111"/>
  <c r="T20" i="113"/>
  <c r="T13" i="113"/>
  <c r="B21" i="111"/>
  <c r="P20" i="113"/>
  <c r="T20" i="112"/>
  <c r="T13" i="112"/>
  <c r="H33" i="113"/>
  <c r="H25" i="113"/>
  <c r="P13" i="112"/>
  <c r="P33" i="111"/>
  <c r="P25" i="111"/>
  <c r="P24" i="113"/>
  <c r="T24" i="112"/>
  <c r="P12" i="112"/>
  <c r="D20" i="111"/>
  <c r="D6" i="113"/>
  <c r="H12" i="112"/>
  <c r="D12" i="113"/>
  <c r="P24" i="112"/>
  <c r="T24" i="111"/>
  <c r="P12" i="111"/>
  <c r="B39" i="53"/>
  <c r="H24" i="53"/>
  <c r="H22" i="53"/>
  <c r="H13" i="53"/>
  <c r="D4" i="53"/>
  <c r="H34" i="52"/>
  <c r="H33" i="52"/>
  <c r="H29" i="52"/>
  <c r="H25" i="52"/>
  <c r="B22" i="53"/>
  <c r="D21" i="53"/>
  <c r="B21" i="53"/>
  <c r="D20" i="53"/>
  <c r="D16" i="53"/>
  <c r="B22" i="52"/>
  <c r="D21" i="52"/>
  <c r="H15" i="52"/>
  <c r="T34" i="53"/>
  <c r="T33" i="53"/>
  <c r="T29" i="53"/>
  <c r="T25" i="53"/>
  <c r="B16" i="53"/>
  <c r="D15" i="53"/>
  <c r="T12" i="53"/>
  <c r="B21" i="52"/>
  <c r="D20" i="52"/>
  <c r="D16" i="52"/>
  <c r="P21" i="53"/>
  <c r="T15" i="53"/>
  <c r="P13" i="53"/>
  <c r="H12" i="53"/>
  <c r="P24" i="52"/>
  <c r="P22" i="52"/>
  <c r="T20" i="52"/>
  <c r="T16" i="52"/>
  <c r="T13" i="52"/>
  <c r="H34" i="53"/>
  <c r="H33" i="53"/>
  <c r="H29" i="53"/>
  <c r="H25" i="53"/>
  <c r="P15" i="53"/>
  <c r="D5" i="53"/>
  <c r="P20" i="52"/>
  <c r="P16" i="52"/>
  <c r="D12" i="52"/>
  <c r="D24" i="53"/>
  <c r="D12" i="53"/>
  <c r="P25" i="52"/>
  <c r="D4" i="52"/>
  <c r="B21" i="50"/>
  <c r="D20" i="50"/>
  <c r="D16" i="50"/>
  <c r="B22" i="49"/>
  <c r="D21" i="49"/>
  <c r="H15" i="49"/>
  <c r="P20" i="47"/>
  <c r="P16" i="47"/>
  <c r="D12" i="47"/>
  <c r="P21" i="46"/>
  <c r="T15" i="46"/>
  <c r="P13" i="46"/>
  <c r="H12" i="46"/>
  <c r="T22" i="53"/>
  <c r="H15" i="53"/>
  <c r="B39" i="52"/>
  <c r="P34" i="52"/>
  <c r="D29" i="52"/>
  <c r="T22" i="52"/>
  <c r="H21" i="52"/>
  <c r="T34" i="50"/>
  <c r="T33" i="50"/>
  <c r="T29" i="50"/>
  <c r="T25" i="50"/>
  <c r="B16" i="50"/>
  <c r="D15" i="50"/>
  <c r="T12" i="50"/>
  <c r="B21" i="49"/>
  <c r="D20" i="49"/>
  <c r="D16" i="49"/>
  <c r="P33" i="53"/>
  <c r="P29" i="53"/>
  <c r="P25" i="53"/>
  <c r="B38" i="52"/>
  <c r="H16" i="52"/>
  <c r="P13" i="52"/>
  <c r="T24" i="50"/>
  <c r="T22" i="50"/>
  <c r="P12" i="50"/>
  <c r="T34" i="49"/>
  <c r="T33" i="49"/>
  <c r="T29" i="49"/>
  <c r="T25" i="49"/>
  <c r="B16" i="49"/>
  <c r="D15" i="49"/>
  <c r="T12" i="49"/>
  <c r="B39" i="47"/>
  <c r="H24" i="47"/>
  <c r="H22" i="47"/>
  <c r="H13" i="47"/>
  <c r="D4" i="47"/>
  <c r="H34" i="46"/>
  <c r="H33" i="46"/>
  <c r="H29" i="46"/>
  <c r="H25" i="46"/>
  <c r="P22" i="53"/>
  <c r="T20" i="53"/>
  <c r="T16" i="53"/>
  <c r="D25" i="52"/>
  <c r="B16" i="52"/>
  <c r="P34" i="50"/>
  <c r="P33" i="50"/>
  <c r="P29" i="50"/>
  <c r="P25" i="50"/>
  <c r="T21" i="50"/>
  <c r="T24" i="49"/>
  <c r="T22" i="49"/>
  <c r="P20" i="53"/>
  <c r="P16" i="53"/>
  <c r="T13" i="53"/>
  <c r="D34" i="52"/>
  <c r="B25" i="52"/>
  <c r="H22" i="52"/>
  <c r="H13" i="52"/>
  <c r="P24" i="50"/>
  <c r="P22" i="50"/>
  <c r="T20" i="50"/>
  <c r="T16" i="50"/>
  <c r="T13" i="50"/>
  <c r="P34" i="49"/>
  <c r="P33" i="49"/>
  <c r="P29" i="49"/>
  <c r="P25" i="49"/>
  <c r="T21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D33" i="53"/>
  <c r="D29" i="53"/>
  <c r="D25" i="53"/>
  <c r="D13" i="52"/>
  <c r="P21" i="50"/>
  <c r="T15" i="50"/>
  <c r="P13" i="50"/>
  <c r="H12" i="50"/>
  <c r="P24" i="49"/>
  <c r="P22" i="49"/>
  <c r="T20" i="49"/>
  <c r="T16" i="49"/>
  <c r="T13" i="49"/>
  <c r="B25" i="53"/>
  <c r="D22" i="53"/>
  <c r="H20" i="53"/>
  <c r="H16" i="53"/>
  <c r="D13" i="53"/>
  <c r="T33" i="52"/>
  <c r="T24" i="52"/>
  <c r="D22" i="52"/>
  <c r="T15" i="52"/>
  <c r="B13" i="52"/>
  <c r="T24" i="53"/>
  <c r="B13" i="53"/>
  <c r="P15" i="52"/>
  <c r="T12" i="52"/>
  <c r="H34" i="50"/>
  <c r="H33" i="50"/>
  <c r="H29" i="50"/>
  <c r="H25" i="50"/>
  <c r="P15" i="50"/>
  <c r="D5" i="50"/>
  <c r="P20" i="49"/>
  <c r="P16" i="49"/>
  <c r="D12" i="49"/>
  <c r="T34" i="47"/>
  <c r="T33" i="47"/>
  <c r="T29" i="47"/>
  <c r="T25" i="47"/>
  <c r="B16" i="47"/>
  <c r="D15" i="47"/>
  <c r="T12" i="47"/>
  <c r="B21" i="46"/>
  <c r="D20" i="46"/>
  <c r="D16" i="46"/>
  <c r="P34" i="53"/>
  <c r="T21" i="53"/>
  <c r="P33" i="52"/>
  <c r="T29" i="52"/>
  <c r="P12" i="52"/>
  <c r="B39" i="50"/>
  <c r="H24" i="50"/>
  <c r="H22" i="50"/>
  <c r="H13" i="50"/>
  <c r="D4" i="50"/>
  <c r="H34" i="49"/>
  <c r="H33" i="49"/>
  <c r="H29" i="49"/>
  <c r="H25" i="49"/>
  <c r="P15" i="49"/>
  <c r="D5" i="49"/>
  <c r="P24" i="53"/>
  <c r="P12" i="53"/>
  <c r="H24" i="52"/>
  <c r="T21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P34" i="47"/>
  <c r="P33" i="47"/>
  <c r="P29" i="47"/>
  <c r="P25" i="47"/>
  <c r="T21" i="47"/>
  <c r="T24" i="46"/>
  <c r="T22" i="46"/>
  <c r="P12" i="46"/>
  <c r="B38" i="53"/>
  <c r="D34" i="53"/>
  <c r="H21" i="53"/>
  <c r="T34" i="52"/>
  <c r="D33" i="52"/>
  <c r="D24" i="52"/>
  <c r="D15" i="52"/>
  <c r="D5" i="52"/>
  <c r="B22" i="50"/>
  <c r="D21" i="50"/>
  <c r="H15" i="50"/>
  <c r="B25" i="49"/>
  <c r="D24" i="49"/>
  <c r="D22" i="49"/>
  <c r="H20" i="49"/>
  <c r="H16" i="49"/>
  <c r="B13" i="49"/>
  <c r="P21" i="47"/>
  <c r="T15" i="47"/>
  <c r="P13" i="47"/>
  <c r="H12" i="47"/>
  <c r="P24" i="46"/>
  <c r="P22" i="46"/>
  <c r="T20" i="46"/>
  <c r="T16" i="46"/>
  <c r="T13" i="46"/>
  <c r="H20" i="52"/>
  <c r="T15" i="49"/>
  <c r="T22" i="47"/>
  <c r="T33" i="46"/>
  <c r="T29" i="46"/>
  <c r="T25" i="46"/>
  <c r="D5" i="46"/>
  <c r="P34" i="44"/>
  <c r="P33" i="44"/>
  <c r="P29" i="44"/>
  <c r="P25" i="44"/>
  <c r="T21" i="44"/>
  <c r="T24" i="43"/>
  <c r="T22" i="43"/>
  <c r="P12" i="43"/>
  <c r="D34" i="49"/>
  <c r="P22" i="47"/>
  <c r="T20" i="47"/>
  <c r="T16" i="47"/>
  <c r="T13" i="47"/>
  <c r="P33" i="46"/>
  <c r="P29" i="46"/>
  <c r="P25" i="46"/>
  <c r="H15" i="46"/>
  <c r="D4" i="46"/>
  <c r="P24" i="44"/>
  <c r="P22" i="44"/>
  <c r="T20" i="44"/>
  <c r="T16" i="44"/>
  <c r="T13" i="44"/>
  <c r="P34" i="43"/>
  <c r="P33" i="43"/>
  <c r="P29" i="43"/>
  <c r="P25" i="43"/>
  <c r="T21" i="43"/>
  <c r="P16" i="50"/>
  <c r="P13" i="49"/>
  <c r="H33" i="47"/>
  <c r="H29" i="47"/>
  <c r="H25" i="47"/>
  <c r="P20" i="46"/>
  <c r="P16" i="46"/>
  <c r="D15" i="46"/>
  <c r="P21" i="44"/>
  <c r="T15" i="44"/>
  <c r="P13" i="44"/>
  <c r="H12" i="44"/>
  <c r="P24" i="43"/>
  <c r="P22" i="43"/>
  <c r="T20" i="43"/>
  <c r="T16" i="43"/>
  <c r="T13" i="43"/>
  <c r="H12" i="52"/>
  <c r="B25" i="50"/>
  <c r="H16" i="50"/>
  <c r="D33" i="49"/>
  <c r="D13" i="49"/>
  <c r="D33" i="47"/>
  <c r="D29" i="47"/>
  <c r="D25" i="47"/>
  <c r="D13" i="47"/>
  <c r="H22" i="46"/>
  <c r="P20" i="44"/>
  <c r="P16" i="44"/>
  <c r="D12" i="44"/>
  <c r="P21" i="43"/>
  <c r="T15" i="43"/>
  <c r="P13" i="43"/>
  <c r="H12" i="43"/>
  <c r="P21" i="49"/>
  <c r="P12" i="49"/>
  <c r="B22" i="47"/>
  <c r="B25" i="46"/>
  <c r="D22" i="46"/>
  <c r="H20" i="46"/>
  <c r="H34" i="44"/>
  <c r="H33" i="44"/>
  <c r="H29" i="44"/>
  <c r="H25" i="44"/>
  <c r="P15" i="44"/>
  <c r="D5" i="44"/>
  <c r="P20" i="43"/>
  <c r="P16" i="43"/>
  <c r="D12" i="43"/>
  <c r="P21" i="41"/>
  <c r="T15" i="41"/>
  <c r="P13" i="41"/>
  <c r="H12" i="41"/>
  <c r="P24" i="40"/>
  <c r="P22" i="40"/>
  <c r="T20" i="40"/>
  <c r="T16" i="40"/>
  <c r="T13" i="40"/>
  <c r="D24" i="50"/>
  <c r="H21" i="49"/>
  <c r="H12" i="49"/>
  <c r="D20" i="47"/>
  <c r="D16" i="47"/>
  <c r="B22" i="46"/>
  <c r="H16" i="46"/>
  <c r="B39" i="44"/>
  <c r="H24" i="44"/>
  <c r="H22" i="44"/>
  <c r="H13" i="44"/>
  <c r="D4" i="44"/>
  <c r="H34" i="43"/>
  <c r="H33" i="43"/>
  <c r="H29" i="43"/>
  <c r="H25" i="43"/>
  <c r="P15" i="43"/>
  <c r="D5" i="43"/>
  <c r="T24" i="47"/>
  <c r="P12" i="47"/>
  <c r="T34" i="46"/>
  <c r="H13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D22" i="50"/>
  <c r="B13" i="50"/>
  <c r="D29" i="49"/>
  <c r="P24" i="47"/>
  <c r="P34" i="46"/>
  <c r="T21" i="46"/>
  <c r="B16" i="46"/>
  <c r="B13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P29" i="52"/>
  <c r="D12" i="50"/>
  <c r="H34" i="47"/>
  <c r="P15" i="47"/>
  <c r="D5" i="47"/>
  <c r="B22" i="44"/>
  <c r="D21" i="44"/>
  <c r="H15" i="44"/>
  <c r="B25" i="43"/>
  <c r="D24" i="43"/>
  <c r="D22" i="43"/>
  <c r="H20" i="43"/>
  <c r="H16" i="43"/>
  <c r="B13" i="43"/>
  <c r="B38" i="41"/>
  <c r="D34" i="41"/>
  <c r="D33" i="41"/>
  <c r="T25" i="52"/>
  <c r="B38" i="49"/>
  <c r="D34" i="47"/>
  <c r="H21" i="47"/>
  <c r="B39" i="46"/>
  <c r="H24" i="46"/>
  <c r="T12" i="46"/>
  <c r="B21" i="44"/>
  <c r="D20" i="44"/>
  <c r="D16" i="44"/>
  <c r="B22" i="43"/>
  <c r="D21" i="43"/>
  <c r="H15" i="43"/>
  <c r="P21" i="52"/>
  <c r="H20" i="50"/>
  <c r="D25" i="49"/>
  <c r="B21" i="47"/>
  <c r="D21" i="46"/>
  <c r="D12" i="46"/>
  <c r="T24" i="44"/>
  <c r="T22" i="44"/>
  <c r="P12" i="44"/>
  <c r="T34" i="43"/>
  <c r="T33" i="43"/>
  <c r="T29" i="43"/>
  <c r="T25" i="43"/>
  <c r="B16" i="43"/>
  <c r="D15" i="43"/>
  <c r="T12" i="43"/>
  <c r="B21" i="41"/>
  <c r="D20" i="41"/>
  <c r="D16" i="41"/>
  <c r="B22" i="40"/>
  <c r="D21" i="40"/>
  <c r="H15" i="40"/>
  <c r="P33" i="41"/>
  <c r="T25" i="41"/>
  <c r="H20" i="41"/>
  <c r="D4" i="41"/>
  <c r="D25" i="40"/>
  <c r="P12" i="40"/>
  <c r="P20" i="38"/>
  <c r="P16" i="38"/>
  <c r="D12" i="38"/>
  <c r="P21" i="37"/>
  <c r="T15" i="37"/>
  <c r="P13" i="37"/>
  <c r="H12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P20" i="50"/>
  <c r="P15" i="46"/>
  <c r="T34" i="44"/>
  <c r="B16" i="44"/>
  <c r="B39" i="41"/>
  <c r="T34" i="41"/>
  <c r="P24" i="41"/>
  <c r="H21" i="41"/>
  <c r="B39" i="40"/>
  <c r="T33" i="40"/>
  <c r="B25" i="40"/>
  <c r="T21" i="40"/>
  <c r="P20" i="40"/>
  <c r="H16" i="40"/>
  <c r="D15" i="40"/>
  <c r="H34" i="38"/>
  <c r="H33" i="38"/>
  <c r="H29" i="38"/>
  <c r="H25" i="38"/>
  <c r="P15" i="38"/>
  <c r="D5" i="38"/>
  <c r="P20" i="37"/>
  <c r="P16" i="37"/>
  <c r="D12" i="37"/>
  <c r="B25" i="35"/>
  <c r="D24" i="35"/>
  <c r="D22" i="35"/>
  <c r="H20" i="35"/>
  <c r="H16" i="35"/>
  <c r="B13" i="35"/>
  <c r="B38" i="34"/>
  <c r="T33" i="44"/>
  <c r="D15" i="44"/>
  <c r="B21" i="43"/>
  <c r="P25" i="41"/>
  <c r="H22" i="41"/>
  <c r="H13" i="41"/>
  <c r="B38" i="40"/>
  <c r="H29" i="40"/>
  <c r="T22" i="40"/>
  <c r="P21" i="40"/>
  <c r="D16" i="40"/>
  <c r="H12" i="40"/>
  <c r="B39" i="38"/>
  <c r="H24" i="38"/>
  <c r="H22" i="38"/>
  <c r="H13" i="38"/>
  <c r="D4" i="38"/>
  <c r="H34" i="37"/>
  <c r="H33" i="37"/>
  <c r="H29" i="37"/>
  <c r="H25" i="37"/>
  <c r="P15" i="37"/>
  <c r="D5" i="37"/>
  <c r="D21" i="47"/>
  <c r="T12" i="44"/>
  <c r="D20" i="43"/>
  <c r="P34" i="41"/>
  <c r="H33" i="41"/>
  <c r="D21" i="41"/>
  <c r="T16" i="41"/>
  <c r="P15" i="41"/>
  <c r="D13" i="41"/>
  <c r="T34" i="40"/>
  <c r="P33" i="40"/>
  <c r="B16" i="40"/>
  <c r="D12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B21" i="35"/>
  <c r="D20" i="35"/>
  <c r="D16" i="35"/>
  <c r="B22" i="34"/>
  <c r="D21" i="34"/>
  <c r="H15" i="34"/>
  <c r="T29" i="44"/>
  <c r="T29" i="41"/>
  <c r="H24" i="41"/>
  <c r="D22" i="41"/>
  <c r="P16" i="41"/>
  <c r="B13" i="41"/>
  <c r="D29" i="40"/>
  <c r="T24" i="40"/>
  <c r="P13" i="40"/>
  <c r="D5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T34" i="35"/>
  <c r="T33" i="35"/>
  <c r="T29" i="35"/>
  <c r="T25" i="35"/>
  <c r="B16" i="35"/>
  <c r="D15" i="35"/>
  <c r="T12" i="35"/>
  <c r="B21" i="34"/>
  <c r="D20" i="34"/>
  <c r="D16" i="34"/>
  <c r="H15" i="47"/>
  <c r="D16" i="43"/>
  <c r="H25" i="41"/>
  <c r="B22" i="41"/>
  <c r="P34" i="40"/>
  <c r="T25" i="40"/>
  <c r="H20" i="40"/>
  <c r="D4" i="40"/>
  <c r="B22" i="38"/>
  <c r="D21" i="38"/>
  <c r="H15" i="38"/>
  <c r="B25" i="37"/>
  <c r="D24" i="37"/>
  <c r="D22" i="37"/>
  <c r="H20" i="37"/>
  <c r="H16" i="37"/>
  <c r="B13" i="37"/>
  <c r="T24" i="35"/>
  <c r="T22" i="35"/>
  <c r="P12" i="35"/>
  <c r="T34" i="34"/>
  <c r="T33" i="34"/>
  <c r="T29" i="34"/>
  <c r="T25" i="34"/>
  <c r="B16" i="34"/>
  <c r="D15" i="34"/>
  <c r="T12" i="34"/>
  <c r="T25" i="44"/>
  <c r="H34" i="41"/>
  <c r="P29" i="41"/>
  <c r="D24" i="41"/>
  <c r="T12" i="41"/>
  <c r="H33" i="40"/>
  <c r="H21" i="40"/>
  <c r="D20" i="40"/>
  <c r="T15" i="40"/>
  <c r="B21" i="38"/>
  <c r="D20" i="38"/>
  <c r="D16" i="38"/>
  <c r="B22" i="37"/>
  <c r="D21" i="37"/>
  <c r="H15" i="37"/>
  <c r="D25" i="41"/>
  <c r="T20" i="41"/>
  <c r="H15" i="41"/>
  <c r="P12" i="41"/>
  <c r="P25" i="40"/>
  <c r="H22" i="40"/>
  <c r="H13" i="40"/>
  <c r="T34" i="38"/>
  <c r="T33" i="38"/>
  <c r="T29" i="38"/>
  <c r="T25" i="38"/>
  <c r="B16" i="38"/>
  <c r="D15" i="38"/>
  <c r="T12" i="38"/>
  <c r="B21" i="37"/>
  <c r="D20" i="37"/>
  <c r="D16" i="37"/>
  <c r="P24" i="35"/>
  <c r="P22" i="35"/>
  <c r="T20" i="35"/>
  <c r="T16" i="35"/>
  <c r="T13" i="35"/>
  <c r="P34" i="34"/>
  <c r="P33" i="34"/>
  <c r="P29" i="34"/>
  <c r="P25" i="34"/>
  <c r="T21" i="34"/>
  <c r="B25" i="41"/>
  <c r="T21" i="41"/>
  <c r="P20" i="41"/>
  <c r="H16" i="41"/>
  <c r="D15" i="41"/>
  <c r="H34" i="40"/>
  <c r="D33" i="40"/>
  <c r="B21" i="40"/>
  <c r="P15" i="40"/>
  <c r="D13" i="40"/>
  <c r="T24" i="38"/>
  <c r="T22" i="38"/>
  <c r="P12" i="38"/>
  <c r="T34" i="37"/>
  <c r="T33" i="37"/>
  <c r="T29" i="37"/>
  <c r="T25" i="37"/>
  <c r="B16" i="37"/>
  <c r="D15" i="37"/>
  <c r="T12" i="37"/>
  <c r="H29" i="41"/>
  <c r="T22" i="41"/>
  <c r="T29" i="40"/>
  <c r="H24" i="40"/>
  <c r="D22" i="40"/>
  <c r="P16" i="40"/>
  <c r="B13" i="40"/>
  <c r="P34" i="38"/>
  <c r="P33" i="38"/>
  <c r="P29" i="38"/>
  <c r="P25" i="38"/>
  <c r="T21" i="38"/>
  <c r="T24" i="37"/>
  <c r="T22" i="37"/>
  <c r="P12" i="37"/>
  <c r="P20" i="35"/>
  <c r="P16" i="35"/>
  <c r="D12" i="35"/>
  <c r="P21" i="34"/>
  <c r="T15" i="34"/>
  <c r="P13" i="34"/>
  <c r="H12" i="34"/>
  <c r="D29" i="41"/>
  <c r="T24" i="41"/>
  <c r="P22" i="41"/>
  <c r="T13" i="41"/>
  <c r="D5" i="41"/>
  <c r="P29" i="40"/>
  <c r="D24" i="40"/>
  <c r="T12" i="40"/>
  <c r="P21" i="38"/>
  <c r="T15" i="38"/>
  <c r="P13" i="38"/>
  <c r="H12" i="38"/>
  <c r="P24" i="37"/>
  <c r="P22" i="37"/>
  <c r="T20" i="37"/>
  <c r="T16" i="37"/>
  <c r="T13" i="37"/>
  <c r="B39" i="35"/>
  <c r="H24" i="35"/>
  <c r="H22" i="35"/>
  <c r="H13" i="35"/>
  <c r="D4" i="35"/>
  <c r="H34" i="34"/>
  <c r="H33" i="34"/>
  <c r="H29" i="34"/>
  <c r="H25" i="34"/>
  <c r="P15" i="34"/>
  <c r="D5" i="34"/>
  <c r="H25" i="40"/>
  <c r="P34" i="37"/>
  <c r="H33" i="35"/>
  <c r="H34" i="32"/>
  <c r="H33" i="32"/>
  <c r="H29" i="32"/>
  <c r="H25" i="32"/>
  <c r="P15" i="32"/>
  <c r="D5" i="32"/>
  <c r="P20" i="31"/>
  <c r="P16" i="31"/>
  <c r="D12" i="31"/>
  <c r="P34" i="29"/>
  <c r="P33" i="29"/>
  <c r="P29" i="29"/>
  <c r="P25" i="29"/>
  <c r="T21" i="29"/>
  <c r="T24" i="28"/>
  <c r="T22" i="28"/>
  <c r="P12" i="28"/>
  <c r="P33" i="37"/>
  <c r="B22" i="35"/>
  <c r="D34" i="34"/>
  <c r="D22" i="34"/>
  <c r="B39" i="32"/>
  <c r="H24" i="32"/>
  <c r="H22" i="32"/>
  <c r="H13" i="32"/>
  <c r="D4" i="32"/>
  <c r="H34" i="31"/>
  <c r="H33" i="31"/>
  <c r="H29" i="31"/>
  <c r="H25" i="31"/>
  <c r="P15" i="31"/>
  <c r="D5" i="31"/>
  <c r="P24" i="29"/>
  <c r="P22" i="29"/>
  <c r="T20" i="29"/>
  <c r="T16" i="29"/>
  <c r="T13" i="29"/>
  <c r="P34" i="28"/>
  <c r="P33" i="28"/>
  <c r="P29" i="28"/>
  <c r="P25" i="28"/>
  <c r="T21" i="28"/>
  <c r="P24" i="38"/>
  <c r="P25" i="35"/>
  <c r="T21" i="35"/>
  <c r="D25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P21" i="29"/>
  <c r="T15" i="29"/>
  <c r="P13" i="29"/>
  <c r="H12" i="29"/>
  <c r="P24" i="28"/>
  <c r="P22" i="28"/>
  <c r="T20" i="28"/>
  <c r="T16" i="28"/>
  <c r="T13" i="28"/>
  <c r="P22" i="38"/>
  <c r="P29" i="37"/>
  <c r="P21" i="35"/>
  <c r="H12" i="35"/>
  <c r="B25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P20" i="29"/>
  <c r="P16" i="29"/>
  <c r="D12" i="29"/>
  <c r="P21" i="28"/>
  <c r="T15" i="28"/>
  <c r="P13" i="28"/>
  <c r="H12" i="28"/>
  <c r="B16" i="41"/>
  <c r="H25" i="35"/>
  <c r="D5" i="35"/>
  <c r="D29" i="34"/>
  <c r="T24" i="34"/>
  <c r="T13" i="34"/>
  <c r="B22" i="32"/>
  <c r="D21" i="32"/>
  <c r="H15" i="32"/>
  <c r="B25" i="31"/>
  <c r="D24" i="31"/>
  <c r="D22" i="31"/>
  <c r="H20" i="31"/>
  <c r="H16" i="31"/>
  <c r="B13" i="31"/>
  <c r="H34" i="29"/>
  <c r="H33" i="29"/>
  <c r="H29" i="29"/>
  <c r="H25" i="29"/>
  <c r="P15" i="29"/>
  <c r="D5" i="29"/>
  <c r="P20" i="28"/>
  <c r="P16" i="28"/>
  <c r="D12" i="28"/>
  <c r="B21" i="26"/>
  <c r="D20" i="26"/>
  <c r="T20" i="38"/>
  <c r="P25" i="37"/>
  <c r="D21" i="35"/>
  <c r="P24" i="34"/>
  <c r="H21" i="34"/>
  <c r="B21" i="32"/>
  <c r="D20" i="32"/>
  <c r="D16" i="32"/>
  <c r="B22" i="31"/>
  <c r="D21" i="31"/>
  <c r="H15" i="31"/>
  <c r="B39" i="29"/>
  <c r="H24" i="29"/>
  <c r="H22" i="29"/>
  <c r="H13" i="29"/>
  <c r="D4" i="29"/>
  <c r="H34" i="28"/>
  <c r="H33" i="28"/>
  <c r="H29" i="28"/>
  <c r="H25" i="28"/>
  <c r="P15" i="28"/>
  <c r="D5" i="28"/>
  <c r="D12" i="41"/>
  <c r="P34" i="35"/>
  <c r="P29" i="35"/>
  <c r="D33" i="34"/>
  <c r="T16" i="34"/>
  <c r="D13" i="34"/>
  <c r="T33" i="41"/>
  <c r="T16" i="38"/>
  <c r="T15" i="35"/>
  <c r="P16" i="34"/>
  <c r="B13" i="34"/>
  <c r="T24" i="32"/>
  <c r="T22" i="32"/>
  <c r="P12" i="32"/>
  <c r="T34" i="31"/>
  <c r="T33" i="31"/>
  <c r="T29" i="31"/>
  <c r="T25" i="31"/>
  <c r="B16" i="31"/>
  <c r="D15" i="31"/>
  <c r="T12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D34" i="40"/>
  <c r="T21" i="37"/>
  <c r="H34" i="35"/>
  <c r="H29" i="35"/>
  <c r="P15" i="35"/>
  <c r="D24" i="34"/>
  <c r="T20" i="34"/>
  <c r="P12" i="34"/>
  <c r="P34" i="32"/>
  <c r="P33" i="32"/>
  <c r="P29" i="32"/>
  <c r="P25" i="32"/>
  <c r="T21" i="32"/>
  <c r="T24" i="31"/>
  <c r="T22" i="31"/>
  <c r="P12" i="31"/>
  <c r="B22" i="29"/>
  <c r="D21" i="29"/>
  <c r="H15" i="29"/>
  <c r="B25" i="28"/>
  <c r="D24" i="28"/>
  <c r="D22" i="28"/>
  <c r="H20" i="28"/>
  <c r="H16" i="28"/>
  <c r="B13" i="28"/>
  <c r="B38" i="47"/>
  <c r="T13" i="38"/>
  <c r="H15" i="35"/>
  <c r="T22" i="34"/>
  <c r="P20" i="34"/>
  <c r="H16" i="34"/>
  <c r="P24" i="32"/>
  <c r="P22" i="32"/>
  <c r="T20" i="32"/>
  <c r="T16" i="32"/>
  <c r="T13" i="32"/>
  <c r="P34" i="31"/>
  <c r="P33" i="31"/>
  <c r="P29" i="31"/>
  <c r="P25" i="31"/>
  <c r="T21" i="31"/>
  <c r="B21" i="29"/>
  <c r="D20" i="29"/>
  <c r="D16" i="29"/>
  <c r="B22" i="28"/>
  <c r="D21" i="28"/>
  <c r="H15" i="28"/>
  <c r="P13" i="35"/>
  <c r="H20" i="34"/>
  <c r="P20" i="32"/>
  <c r="P16" i="32"/>
  <c r="D12" i="32"/>
  <c r="P21" i="31"/>
  <c r="T15" i="31"/>
  <c r="P13" i="31"/>
  <c r="H12" i="31"/>
  <c r="T24" i="29"/>
  <c r="T22" i="29"/>
  <c r="P12" i="29"/>
  <c r="T34" i="28"/>
  <c r="T33" i="28"/>
  <c r="T29" i="28"/>
  <c r="T25" i="28"/>
  <c r="B16" i="28"/>
  <c r="D15" i="28"/>
  <c r="T12" i="28"/>
  <c r="D16" i="31"/>
  <c r="D16" i="28"/>
  <c r="P33" i="26"/>
  <c r="H25" i="26"/>
  <c r="H24" i="26"/>
  <c r="D16" i="26"/>
  <c r="B22" i="25"/>
  <c r="D21" i="25"/>
  <c r="H15" i="25"/>
  <c r="P24" i="23"/>
  <c r="P22" i="23"/>
  <c r="T20" i="23"/>
  <c r="T16" i="23"/>
  <c r="T13" i="23"/>
  <c r="P34" i="22"/>
  <c r="P33" i="22"/>
  <c r="P29" i="22"/>
  <c r="P25" i="22"/>
  <c r="T21" i="22"/>
  <c r="H34" i="20"/>
  <c r="H33" i="20"/>
  <c r="H29" i="20"/>
  <c r="H25" i="20"/>
  <c r="P15" i="20"/>
  <c r="D5" i="20"/>
  <c r="P20" i="19"/>
  <c r="P16" i="19"/>
  <c r="D12" i="19"/>
  <c r="P24" i="31"/>
  <c r="B38" i="29"/>
  <c r="H24" i="28"/>
  <c r="P34" i="26"/>
  <c r="D22" i="26"/>
  <c r="D21" i="26"/>
  <c r="B16" i="26"/>
  <c r="D15" i="26"/>
  <c r="T12" i="26"/>
  <c r="B21" i="25"/>
  <c r="D20" i="25"/>
  <c r="D16" i="25"/>
  <c r="P21" i="23"/>
  <c r="T15" i="23"/>
  <c r="P13" i="23"/>
  <c r="H12" i="23"/>
  <c r="P24" i="22"/>
  <c r="P22" i="22"/>
  <c r="T20" i="22"/>
  <c r="T16" i="22"/>
  <c r="T13" i="22"/>
  <c r="B39" i="20"/>
  <c r="H24" i="20"/>
  <c r="H22" i="20"/>
  <c r="H13" i="20"/>
  <c r="D4" i="20"/>
  <c r="H34" i="19"/>
  <c r="H33" i="19"/>
  <c r="H29" i="19"/>
  <c r="H25" i="19"/>
  <c r="P15" i="19"/>
  <c r="D5" i="19"/>
  <c r="T25" i="32"/>
  <c r="T25" i="29"/>
  <c r="H29" i="26"/>
  <c r="D25" i="26"/>
  <c r="D24" i="26"/>
  <c r="B22" i="26"/>
  <c r="P12" i="26"/>
  <c r="T34" i="25"/>
  <c r="T33" i="25"/>
  <c r="T29" i="25"/>
  <c r="T25" i="25"/>
  <c r="B16" i="25"/>
  <c r="D15" i="25"/>
  <c r="T12" i="25"/>
  <c r="P20" i="23"/>
  <c r="P16" i="23"/>
  <c r="D12" i="23"/>
  <c r="P21" i="22"/>
  <c r="T15" i="22"/>
  <c r="P13" i="22"/>
  <c r="H1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P22" i="31"/>
  <c r="T13" i="31"/>
  <c r="D25" i="29"/>
  <c r="H22" i="28"/>
  <c r="H13" i="28"/>
  <c r="B25" i="26"/>
  <c r="T24" i="25"/>
  <c r="T22" i="25"/>
  <c r="P12" i="25"/>
  <c r="H34" i="23"/>
  <c r="H33" i="23"/>
  <c r="H29" i="23"/>
  <c r="H25" i="23"/>
  <c r="P15" i="23"/>
  <c r="D5" i="23"/>
  <c r="P20" i="22"/>
  <c r="P16" i="22"/>
  <c r="D12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T34" i="32"/>
  <c r="B16" i="32"/>
  <c r="T34" i="29"/>
  <c r="B16" i="29"/>
  <c r="H33" i="26"/>
  <c r="D29" i="26"/>
  <c r="T16" i="26"/>
  <c r="T13" i="26"/>
  <c r="P34" i="25"/>
  <c r="P33" i="25"/>
  <c r="P29" i="25"/>
  <c r="P25" i="25"/>
  <c r="T21" i="25"/>
  <c r="B39" i="23"/>
  <c r="H24" i="23"/>
  <c r="H22" i="23"/>
  <c r="H13" i="23"/>
  <c r="D4" i="23"/>
  <c r="H34" i="22"/>
  <c r="H33" i="22"/>
  <c r="H29" i="22"/>
  <c r="H25" i="22"/>
  <c r="P15" i="22"/>
  <c r="D5" i="22"/>
  <c r="B22" i="20"/>
  <c r="D21" i="20"/>
  <c r="H15" i="20"/>
  <c r="B25" i="19"/>
  <c r="D24" i="19"/>
  <c r="D22" i="19"/>
  <c r="H20" i="19"/>
  <c r="H16" i="19"/>
  <c r="B13" i="19"/>
  <c r="P22" i="34"/>
  <c r="T15" i="32"/>
  <c r="D34" i="29"/>
  <c r="D4" i="28"/>
  <c r="H34" i="26"/>
  <c r="T22" i="26"/>
  <c r="T21" i="26"/>
  <c r="T20" i="26"/>
  <c r="T15" i="26"/>
  <c r="P13" i="26"/>
  <c r="H12" i="26"/>
  <c r="P24" i="25"/>
  <c r="P22" i="25"/>
  <c r="T20" i="25"/>
  <c r="T16" i="25"/>
  <c r="T13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B21" i="20"/>
  <c r="D20" i="20"/>
  <c r="D16" i="20"/>
  <c r="B22" i="19"/>
  <c r="D21" i="19"/>
  <c r="H15" i="19"/>
  <c r="T33" i="32"/>
  <c r="D15" i="32"/>
  <c r="B21" i="31"/>
  <c r="T33" i="29"/>
  <c r="D15" i="29"/>
  <c r="B21" i="28"/>
  <c r="D33" i="26"/>
  <c r="T25" i="26"/>
  <c r="T24" i="26"/>
  <c r="P16" i="26"/>
  <c r="D12" i="26"/>
  <c r="P21" i="25"/>
  <c r="T15" i="25"/>
  <c r="P13" i="25"/>
  <c r="H12" i="25"/>
  <c r="P13" i="32"/>
  <c r="T20" i="31"/>
  <c r="D33" i="29"/>
  <c r="D13" i="29"/>
  <c r="D34" i="26"/>
  <c r="P22" i="26"/>
  <c r="P21" i="26"/>
  <c r="P20" i="26"/>
  <c r="P15" i="26"/>
  <c r="D5" i="26"/>
  <c r="P20" i="25"/>
  <c r="P16" i="25"/>
  <c r="D12" i="25"/>
  <c r="B22" i="23"/>
  <c r="D21" i="23"/>
  <c r="H15" i="23"/>
  <c r="B25" i="22"/>
  <c r="D24" i="22"/>
  <c r="D22" i="22"/>
  <c r="H20" i="22"/>
  <c r="H16" i="22"/>
  <c r="B13" i="22"/>
  <c r="T24" i="20"/>
  <c r="T22" i="20"/>
  <c r="P12" i="20"/>
  <c r="T34" i="19"/>
  <c r="T33" i="19"/>
  <c r="T29" i="19"/>
  <c r="T25" i="19"/>
  <c r="B16" i="19"/>
  <c r="D15" i="19"/>
  <c r="T12" i="19"/>
  <c r="D12" i="34"/>
  <c r="T12" i="32"/>
  <c r="D20" i="31"/>
  <c r="T12" i="29"/>
  <c r="D20" i="28"/>
  <c r="B39" i="26"/>
  <c r="T29" i="26"/>
  <c r="P25" i="26"/>
  <c r="P24" i="26"/>
  <c r="H13" i="26"/>
  <c r="D4" i="26"/>
  <c r="H34" i="25"/>
  <c r="H33" i="25"/>
  <c r="H29" i="25"/>
  <c r="H25" i="25"/>
  <c r="P15" i="25"/>
  <c r="D5" i="25"/>
  <c r="B21" i="23"/>
  <c r="D20" i="23"/>
  <c r="D16" i="23"/>
  <c r="B22" i="22"/>
  <c r="D21" i="22"/>
  <c r="H15" i="22"/>
  <c r="P34" i="20"/>
  <c r="P33" i="20"/>
  <c r="P29" i="20"/>
  <c r="P25" i="20"/>
  <c r="T21" i="20"/>
  <c r="T24" i="19"/>
  <c r="T22" i="19"/>
  <c r="P12" i="19"/>
  <c r="D24" i="46"/>
  <c r="P33" i="35"/>
  <c r="P21" i="32"/>
  <c r="H12" i="32"/>
  <c r="H21" i="29"/>
  <c r="B39" i="28"/>
  <c r="B38" i="26"/>
  <c r="D13" i="26"/>
  <c r="B39" i="25"/>
  <c r="H24" i="25"/>
  <c r="H22" i="25"/>
  <c r="H13" i="25"/>
  <c r="D4" i="25"/>
  <c r="T34" i="23"/>
  <c r="T33" i="23"/>
  <c r="T29" i="23"/>
  <c r="T25" i="23"/>
  <c r="B16" i="23"/>
  <c r="D15" i="23"/>
  <c r="T12" i="23"/>
  <c r="B21" i="22"/>
  <c r="D20" i="22"/>
  <c r="D16" i="22"/>
  <c r="P24" i="20"/>
  <c r="P22" i="20"/>
  <c r="T20" i="20"/>
  <c r="T16" i="20"/>
  <c r="T13" i="20"/>
  <c r="P34" i="19"/>
  <c r="P33" i="19"/>
  <c r="P29" i="19"/>
  <c r="P25" i="19"/>
  <c r="T21" i="19"/>
  <c r="T16" i="31"/>
  <c r="D29" i="29"/>
  <c r="T34" i="26"/>
  <c r="H22" i="26"/>
  <c r="H21" i="26"/>
  <c r="H20" i="26"/>
  <c r="H15" i="26"/>
  <c r="B25" i="25"/>
  <c r="D24" i="25"/>
  <c r="D22" i="25"/>
  <c r="H20" i="25"/>
  <c r="H16" i="25"/>
  <c r="B13" i="25"/>
  <c r="P34" i="23"/>
  <c r="P33" i="23"/>
  <c r="P29" i="23"/>
  <c r="P25" i="23"/>
  <c r="T21" i="23"/>
  <c r="T24" i="22"/>
  <c r="T22" i="22"/>
  <c r="P12" i="22"/>
  <c r="P20" i="20"/>
  <c r="P16" i="20"/>
  <c r="D12" i="20"/>
  <c r="P21" i="19"/>
  <c r="T15" i="19"/>
  <c r="P13" i="19"/>
  <c r="H12" i="19"/>
  <c r="T29" i="29"/>
  <c r="D29" i="25"/>
  <c r="H20" i="23"/>
  <c r="D25" i="22"/>
  <c r="T34" i="20"/>
  <c r="B16" i="20"/>
  <c r="T24" i="17"/>
  <c r="T22" i="17"/>
  <c r="P12" i="17"/>
  <c r="T34" i="16"/>
  <c r="T33" i="16"/>
  <c r="T29" i="16"/>
  <c r="T25" i="16"/>
  <c r="B16" i="16"/>
  <c r="D15" i="16"/>
  <c r="T12" i="16"/>
  <c r="P34" i="14"/>
  <c r="P33" i="14"/>
  <c r="P29" i="14"/>
  <c r="P25" i="14"/>
  <c r="T21" i="14"/>
  <c r="T24" i="13"/>
  <c r="T22" i="13"/>
  <c r="P12" i="13"/>
  <c r="T34" i="22"/>
  <c r="B16" i="22"/>
  <c r="T15" i="20"/>
  <c r="P34" i="17"/>
  <c r="P33" i="17"/>
  <c r="P29" i="17"/>
  <c r="P25" i="17"/>
  <c r="T21" i="17"/>
  <c r="T24" i="16"/>
  <c r="T22" i="16"/>
  <c r="P12" i="16"/>
  <c r="P24" i="14"/>
  <c r="P22" i="14"/>
  <c r="T20" i="14"/>
  <c r="T16" i="14"/>
  <c r="T13" i="14"/>
  <c r="P34" i="13"/>
  <c r="P33" i="13"/>
  <c r="D25" i="25"/>
  <c r="D34" i="22"/>
  <c r="T33" i="20"/>
  <c r="D15" i="20"/>
  <c r="B21" i="19"/>
  <c r="P24" i="17"/>
  <c r="P22" i="17"/>
  <c r="T20" i="17"/>
  <c r="T16" i="17"/>
  <c r="T13" i="17"/>
  <c r="P34" i="16"/>
  <c r="P33" i="16"/>
  <c r="P29" i="16"/>
  <c r="P25" i="16"/>
  <c r="T21" i="16"/>
  <c r="T33" i="22"/>
  <c r="D15" i="22"/>
  <c r="P13" i="20"/>
  <c r="T20" i="19"/>
  <c r="P21" i="17"/>
  <c r="T15" i="17"/>
  <c r="P13" i="17"/>
  <c r="H12" i="17"/>
  <c r="P24" i="16"/>
  <c r="P22" i="16"/>
  <c r="T20" i="16"/>
  <c r="T16" i="16"/>
  <c r="T13" i="16"/>
  <c r="P20" i="14"/>
  <c r="P16" i="14"/>
  <c r="D12" i="14"/>
  <c r="P21" i="13"/>
  <c r="T15" i="13"/>
  <c r="P13" i="13"/>
  <c r="H12" i="13"/>
  <c r="H16" i="26"/>
  <c r="B25" i="23"/>
  <c r="H16" i="23"/>
  <c r="D33" i="22"/>
  <c r="D13" i="22"/>
  <c r="T12" i="20"/>
  <c r="D20" i="19"/>
  <c r="P20" i="17"/>
  <c r="P16" i="17"/>
  <c r="D12" i="17"/>
  <c r="P21" i="16"/>
  <c r="T15" i="16"/>
  <c r="P13" i="16"/>
  <c r="H12" i="16"/>
  <c r="H34" i="14"/>
  <c r="H33" i="14"/>
  <c r="H21" i="25"/>
  <c r="T24" i="23"/>
  <c r="T12" i="22"/>
  <c r="P21" i="20"/>
  <c r="H12" i="20"/>
  <c r="H34" i="17"/>
  <c r="H33" i="17"/>
  <c r="H29" i="17"/>
  <c r="H25" i="17"/>
  <c r="P15" i="17"/>
  <c r="D5" i="17"/>
  <c r="P20" i="16"/>
  <c r="P16" i="16"/>
  <c r="D12" i="16"/>
  <c r="B39" i="14"/>
  <c r="H24" i="14"/>
  <c r="H22" i="14"/>
  <c r="H13" i="14"/>
  <c r="D4" i="14"/>
  <c r="H34" i="13"/>
  <c r="H33" i="13"/>
  <c r="H29" i="13"/>
  <c r="H25" i="13"/>
  <c r="P15" i="13"/>
  <c r="D5" i="13"/>
  <c r="T33" i="26"/>
  <c r="B13" i="26"/>
  <c r="D24" i="23"/>
  <c r="H21" i="22"/>
  <c r="T29" i="20"/>
  <c r="B39" i="17"/>
  <c r="H24" i="17"/>
  <c r="H22" i="17"/>
  <c r="H13" i="17"/>
  <c r="D4" i="17"/>
  <c r="H34" i="16"/>
  <c r="H33" i="16"/>
  <c r="H29" i="16"/>
  <c r="H25" i="16"/>
  <c r="P15" i="16"/>
  <c r="D5" i="16"/>
  <c r="B38" i="25"/>
  <c r="T22" i="23"/>
  <c r="T29" i="22"/>
  <c r="T16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B25" i="14"/>
  <c r="D24" i="14"/>
  <c r="D22" i="14"/>
  <c r="H20" i="14"/>
  <c r="H16" i="14"/>
  <c r="B13" i="14"/>
  <c r="B38" i="13"/>
  <c r="D34" i="13"/>
  <c r="D33" i="13"/>
  <c r="P29" i="26"/>
  <c r="D22" i="23"/>
  <c r="B13" i="23"/>
  <c r="D29" i="22"/>
  <c r="D16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B22" i="14"/>
  <c r="D21" i="14"/>
  <c r="H15" i="14"/>
  <c r="B25" i="13"/>
  <c r="D24" i="13"/>
  <c r="D22" i="13"/>
  <c r="H20" i="13"/>
  <c r="H16" i="13"/>
  <c r="B13" i="13"/>
  <c r="D34" i="25"/>
  <c r="P12" i="23"/>
  <c r="P24" i="19"/>
  <c r="B22" i="17"/>
  <c r="D21" i="17"/>
  <c r="H15" i="17"/>
  <c r="B25" i="16"/>
  <c r="D24" i="16"/>
  <c r="D22" i="16"/>
  <c r="H20" i="16"/>
  <c r="H16" i="16"/>
  <c r="B13" i="16"/>
  <c r="B21" i="14"/>
  <c r="D20" i="14"/>
  <c r="D16" i="14"/>
  <c r="B22" i="13"/>
  <c r="D21" i="13"/>
  <c r="H15" i="13"/>
  <c r="T25" i="22"/>
  <c r="P22" i="19"/>
  <c r="T13" i="19"/>
  <c r="T34" i="17"/>
  <c r="T33" i="17"/>
  <c r="T29" i="17"/>
  <c r="T25" i="17"/>
  <c r="B16" i="17"/>
  <c r="D15" i="17"/>
  <c r="T12" i="17"/>
  <c r="B21" i="16"/>
  <c r="D20" i="16"/>
  <c r="D16" i="16"/>
  <c r="T24" i="14"/>
  <c r="T22" i="14"/>
  <c r="P12" i="14"/>
  <c r="T34" i="13"/>
  <c r="T33" i="13"/>
  <c r="T29" i="13"/>
  <c r="T25" i="13"/>
  <c r="B16" i="13"/>
  <c r="D15" i="13"/>
  <c r="T12" i="13"/>
  <c r="D20" i="17"/>
  <c r="T15" i="14"/>
  <c r="D12" i="13"/>
  <c r="T24" i="11"/>
  <c r="T22" i="11"/>
  <c r="P12" i="11"/>
  <c r="T34" i="10"/>
  <c r="T33" i="10"/>
  <c r="T29" i="10"/>
  <c r="T25" i="10"/>
  <c r="B16" i="10"/>
  <c r="D15" i="10"/>
  <c r="T12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B38" i="22"/>
  <c r="T34" i="14"/>
  <c r="H29" i="14"/>
  <c r="P15" i="14"/>
  <c r="H24" i="13"/>
  <c r="D4" i="13"/>
  <c r="P34" i="11"/>
  <c r="P33" i="11"/>
  <c r="P29" i="11"/>
  <c r="P25" i="11"/>
  <c r="T21" i="11"/>
  <c r="T24" i="10"/>
  <c r="T22" i="10"/>
  <c r="P12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D16" i="17"/>
  <c r="B22" i="16"/>
  <c r="D29" i="14"/>
  <c r="H21" i="13"/>
  <c r="P24" i="11"/>
  <c r="P22" i="11"/>
  <c r="T20" i="11"/>
  <c r="T16" i="11"/>
  <c r="T13" i="11"/>
  <c r="P34" i="10"/>
  <c r="P33" i="10"/>
  <c r="P29" i="10"/>
  <c r="P25" i="10"/>
  <c r="T21" i="10"/>
  <c r="D21" i="16"/>
  <c r="D34" i="14"/>
  <c r="D15" i="14"/>
  <c r="B21" i="13"/>
  <c r="P21" i="11"/>
  <c r="T15" i="11"/>
  <c r="P13" i="11"/>
  <c r="H12" i="11"/>
  <c r="P24" i="10"/>
  <c r="P22" i="10"/>
  <c r="T20" i="10"/>
  <c r="T16" i="10"/>
  <c r="T13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T33" i="14"/>
  <c r="P13" i="14"/>
  <c r="P29" i="13"/>
  <c r="P25" i="13"/>
  <c r="P20" i="11"/>
  <c r="P16" i="11"/>
  <c r="D12" i="11"/>
  <c r="P21" i="10"/>
  <c r="T15" i="10"/>
  <c r="P13" i="10"/>
  <c r="H12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P22" i="13"/>
  <c r="T20" i="13"/>
  <c r="T16" i="13"/>
  <c r="T13" i="13"/>
  <c r="H34" i="11"/>
  <c r="H33" i="11"/>
  <c r="H29" i="11"/>
  <c r="H25" i="11"/>
  <c r="P15" i="11"/>
  <c r="D5" i="11"/>
  <c r="P20" i="10"/>
  <c r="P16" i="10"/>
  <c r="D12" i="10"/>
  <c r="T34" i="8"/>
  <c r="T33" i="8"/>
  <c r="T29" i="8"/>
  <c r="T25" i="8"/>
  <c r="B16" i="8"/>
  <c r="D15" i="8"/>
  <c r="T12" i="8"/>
  <c r="T29" i="32"/>
  <c r="D33" i="14"/>
  <c r="D13" i="14"/>
  <c r="P20" i="13"/>
  <c r="P16" i="13"/>
  <c r="T25" i="20"/>
  <c r="H15" i="16"/>
  <c r="T25" i="14"/>
  <c r="T12" i="14"/>
  <c r="H22" i="13"/>
  <c r="H13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D33" i="25"/>
  <c r="P21" i="14"/>
  <c r="H12" i="14"/>
  <c r="D29" i="13"/>
  <c r="D25" i="13"/>
  <c r="D13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D13" i="25"/>
  <c r="B38" i="14"/>
  <c r="H25" i="14"/>
  <c r="D5" i="14"/>
  <c r="D20" i="13"/>
  <c r="D16" i="13"/>
  <c r="B22" i="11"/>
  <c r="D21" i="11"/>
  <c r="H15" i="11"/>
  <c r="B25" i="10"/>
  <c r="D24" i="10"/>
  <c r="D22" i="10"/>
  <c r="H20" i="10"/>
  <c r="H16" i="10"/>
  <c r="B13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B21" i="17"/>
  <c r="T29" i="14"/>
  <c r="B16" i="14"/>
  <c r="P24" i="13"/>
  <c r="T34" i="11"/>
  <c r="T33" i="11"/>
  <c r="T29" i="11"/>
  <c r="T25" i="11"/>
  <c r="B16" i="11"/>
  <c r="D15" i="11"/>
  <c r="T12" i="11"/>
  <c r="B21" i="10"/>
  <c r="D20" i="10"/>
  <c r="D16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T21" i="13"/>
  <c r="D16" i="11"/>
  <c r="B22" i="10"/>
  <c r="D22" i="8"/>
  <c r="B13" i="8"/>
  <c r="D34" i="7"/>
  <c r="D29" i="7"/>
  <c r="P21" i="7"/>
  <c r="D29" i="5"/>
  <c r="D24" i="4"/>
  <c r="P12" i="4"/>
  <c r="T21" i="5"/>
  <c r="H24" i="11"/>
  <c r="D5" i="10"/>
  <c r="P12" i="8"/>
  <c r="T33" i="7"/>
  <c r="H21" i="7"/>
  <c r="P13" i="7"/>
  <c r="H33" i="5"/>
  <c r="H21" i="5"/>
  <c r="T22" i="4"/>
  <c r="P20" i="4"/>
  <c r="H16" i="4"/>
  <c r="H12" i="4"/>
  <c r="D21" i="10"/>
  <c r="T16" i="8"/>
  <c r="P33" i="7"/>
  <c r="B21" i="7"/>
  <c r="D13" i="7"/>
  <c r="D33" i="5"/>
  <c r="D21" i="5"/>
  <c r="P16" i="5"/>
  <c r="D13" i="5"/>
  <c r="D12" i="4"/>
  <c r="H22" i="11"/>
  <c r="H13" i="11"/>
  <c r="H29" i="10"/>
  <c r="P16" i="8"/>
  <c r="D12" i="8"/>
  <c r="H20" i="4"/>
  <c r="T15" i="4"/>
  <c r="D4" i="4"/>
  <c r="P29" i="7"/>
  <c r="B25" i="8"/>
  <c r="H16" i="8"/>
  <c r="B38" i="7"/>
  <c r="D33" i="7"/>
  <c r="T12" i="7"/>
  <c r="P20" i="5"/>
  <c r="H22" i="4"/>
  <c r="P34" i="7"/>
  <c r="D25" i="14"/>
  <c r="D4" i="11"/>
  <c r="T24" i="8"/>
  <c r="D16" i="7"/>
  <c r="D12" i="5"/>
  <c r="D22" i="4"/>
  <c r="H21" i="14"/>
  <c r="B21" i="11"/>
  <c r="P24" i="8"/>
  <c r="T20" i="8"/>
  <c r="B16" i="7"/>
  <c r="H12" i="7"/>
  <c r="P34" i="5"/>
  <c r="D5" i="5"/>
  <c r="H25" i="10"/>
  <c r="P20" i="8"/>
  <c r="T25" i="7"/>
  <c r="D20" i="7"/>
  <c r="P25" i="5"/>
  <c r="B39" i="4"/>
  <c r="B25" i="4"/>
  <c r="P21" i="4"/>
  <c r="H15" i="10"/>
  <c r="D25" i="7"/>
  <c r="H13" i="4"/>
  <c r="B39" i="13"/>
  <c r="D20" i="11"/>
  <c r="D24" i="8"/>
  <c r="H20" i="8"/>
  <c r="P25" i="7"/>
  <c r="T15" i="7"/>
  <c r="H34" i="5"/>
  <c r="P15" i="5"/>
  <c r="T24" i="4"/>
  <c r="P13" i="4"/>
  <c r="H15" i="5"/>
  <c r="B39" i="11"/>
  <c r="H34" i="10"/>
  <c r="P15" i="10"/>
  <c r="T22" i="8"/>
  <c r="T34" i="7"/>
  <c r="T29" i="7"/>
  <c r="D34" i="5"/>
  <c r="P29" i="5"/>
  <c r="H25" i="5"/>
  <c r="B22" i="5"/>
  <c r="P22" i="8"/>
  <c r="H33" i="10"/>
  <c r="T21" i="7"/>
  <c r="D15" i="7"/>
  <c r="B38" i="5"/>
  <c r="P33" i="5"/>
  <c r="H29" i="5"/>
  <c r="H24" i="4"/>
  <c r="P16" i="4"/>
  <c r="B13" i="4"/>
  <c r="T13" i="8"/>
  <c r="D25" i="5"/>
  <c r="L25" i="5" l="1"/>
  <c r="Z13" i="8"/>
  <c r="X16" i="4"/>
  <c r="N24" i="4"/>
  <c r="N29" i="5"/>
  <c r="X33" i="5"/>
  <c r="L15" i="7"/>
  <c r="Z21" i="7"/>
  <c r="N33" i="10"/>
  <c r="X22" i="8"/>
  <c r="N25" i="5"/>
  <c r="X29" i="5"/>
  <c r="L34" i="5"/>
  <c r="Z29" i="7"/>
  <c r="Z34" i="7"/>
  <c r="Z22" i="8"/>
  <c r="X15" i="10"/>
  <c r="N34" i="10"/>
  <c r="N15" i="5"/>
  <c r="X13" i="4"/>
  <c r="Z24" i="4"/>
  <c r="X15" i="5"/>
  <c r="N34" i="5"/>
  <c r="Z15" i="7"/>
  <c r="X25" i="7"/>
  <c r="N20" i="8"/>
  <c r="L24" i="8"/>
  <c r="L20" i="11"/>
  <c r="N13" i="4"/>
  <c r="L25" i="7"/>
  <c r="N15" i="10"/>
  <c r="X21" i="4"/>
  <c r="X25" i="5"/>
  <c r="L20" i="7"/>
  <c r="Z25" i="7"/>
  <c r="X20" i="8"/>
  <c r="N25" i="10"/>
  <c r="X34" i="5"/>
  <c r="J24" i="7"/>
  <c r="J22" i="7"/>
  <c r="J21" i="7"/>
  <c r="H18" i="7"/>
  <c r="J15" i="7"/>
  <c r="J36" i="7"/>
  <c r="J34" i="7"/>
  <c r="J33" i="7"/>
  <c r="J31" i="7"/>
  <c r="J29" i="7"/>
  <c r="J27" i="7"/>
  <c r="J25" i="7"/>
  <c r="J16" i="7"/>
  <c r="N12" i="7"/>
  <c r="J20" i="7"/>
  <c r="J18" i="7"/>
  <c r="Z20" i="8"/>
  <c r="X24" i="8"/>
  <c r="N21" i="14"/>
  <c r="L22" i="4"/>
  <c r="L12" i="5"/>
  <c r="F36" i="5"/>
  <c r="F34" i="5"/>
  <c r="F33" i="5"/>
  <c r="F31" i="5"/>
  <c r="F29" i="5"/>
  <c r="F27" i="5"/>
  <c r="F25" i="5"/>
  <c r="F21" i="5"/>
  <c r="D18" i="5"/>
  <c r="F15" i="5"/>
  <c r="F18" i="5"/>
  <c r="F24" i="5"/>
  <c r="F16" i="5"/>
  <c r="F20" i="5"/>
  <c r="F22" i="5"/>
  <c r="L16" i="7"/>
  <c r="Z24" i="8"/>
  <c r="L25" i="14"/>
  <c r="X34" i="7"/>
  <c r="N22" i="4"/>
  <c r="X20" i="5"/>
  <c r="Z12" i="7"/>
  <c r="V36" i="7"/>
  <c r="V34" i="7"/>
  <c r="V33" i="7"/>
  <c r="V31" i="7"/>
  <c r="V29" i="7"/>
  <c r="V21" i="7"/>
  <c r="T18" i="7"/>
  <c r="V15" i="7"/>
  <c r="V24" i="7"/>
  <c r="V27" i="7"/>
  <c r="V16" i="7"/>
  <c r="V20" i="7"/>
  <c r="V22" i="7"/>
  <c r="V25" i="7"/>
  <c r="V18" i="7"/>
  <c r="L33" i="7"/>
  <c r="N16" i="8"/>
  <c r="X29" i="7"/>
  <c r="Z15" i="4"/>
  <c r="N20" i="4"/>
  <c r="F36" i="8"/>
  <c r="F34" i="8"/>
  <c r="F33" i="8"/>
  <c r="F31" i="8"/>
  <c r="F29" i="8"/>
  <c r="F27" i="8"/>
  <c r="F25" i="8"/>
  <c r="F24" i="8"/>
  <c r="F22" i="8"/>
  <c r="F20" i="8"/>
  <c r="F18" i="8"/>
  <c r="F16" i="8"/>
  <c r="D18" i="8"/>
  <c r="F15" i="8"/>
  <c r="L12" i="8"/>
  <c r="F21" i="8"/>
  <c r="X16" i="8"/>
  <c r="N29" i="10"/>
  <c r="N13" i="11"/>
  <c r="N22" i="11"/>
  <c r="D18" i="4"/>
  <c r="F15" i="4"/>
  <c r="L12" i="4"/>
  <c r="F24" i="4"/>
  <c r="F22" i="4"/>
  <c r="F20" i="4"/>
  <c r="F18" i="4"/>
  <c r="F16" i="4"/>
  <c r="F36" i="4"/>
  <c r="F27" i="4"/>
  <c r="F31" i="4"/>
  <c r="F33" i="4"/>
  <c r="F34" i="4"/>
  <c r="F25" i="4"/>
  <c r="F29" i="4"/>
  <c r="F21" i="4"/>
  <c r="L13" i="5"/>
  <c r="X16" i="5"/>
  <c r="L21" i="5"/>
  <c r="L33" i="5"/>
  <c r="L13" i="7"/>
  <c r="X33" i="7"/>
  <c r="Z16" i="8"/>
  <c r="L21" i="10"/>
  <c r="N12" i="4"/>
  <c r="J24" i="4"/>
  <c r="J22" i="4"/>
  <c r="J20" i="4"/>
  <c r="J18" i="4"/>
  <c r="J16" i="4"/>
  <c r="J27" i="4"/>
  <c r="J31" i="4"/>
  <c r="J34" i="4"/>
  <c r="J25" i="4"/>
  <c r="J15" i="4"/>
  <c r="J29" i="4"/>
  <c r="H18" i="4"/>
  <c r="J33" i="4"/>
  <c r="J21" i="4"/>
  <c r="J36" i="4"/>
  <c r="N16" i="4"/>
  <c r="X20" i="4"/>
  <c r="Z22" i="4"/>
  <c r="N21" i="5"/>
  <c r="N33" i="5"/>
  <c r="X13" i="7"/>
  <c r="N21" i="7"/>
  <c r="Z33" i="7"/>
  <c r="X12" i="8"/>
  <c r="R24" i="8"/>
  <c r="R22" i="8"/>
  <c r="R20" i="8"/>
  <c r="R18" i="8"/>
  <c r="R16" i="8"/>
  <c r="R36" i="8"/>
  <c r="R31" i="8"/>
  <c r="R25" i="8"/>
  <c r="R21" i="8"/>
  <c r="R34" i="8"/>
  <c r="R29" i="8"/>
  <c r="R15" i="8"/>
  <c r="R33" i="8"/>
  <c r="R27" i="8"/>
  <c r="P18" i="8"/>
  <c r="N24" i="11"/>
  <c r="Z21" i="5"/>
  <c r="X12" i="4"/>
  <c r="R24" i="4"/>
  <c r="R22" i="4"/>
  <c r="R21" i="4"/>
  <c r="R31" i="4"/>
  <c r="R20" i="4"/>
  <c r="R34" i="4"/>
  <c r="R25" i="4"/>
  <c r="R16" i="4"/>
  <c r="R15" i="4"/>
  <c r="R29" i="4"/>
  <c r="R18" i="4"/>
  <c r="P18" i="4"/>
  <c r="R33" i="4"/>
  <c r="R36" i="4"/>
  <c r="R27" i="4"/>
  <c r="L24" i="4"/>
  <c r="L29" i="5"/>
  <c r="X21" i="7"/>
  <c r="L29" i="7"/>
  <c r="L34" i="7"/>
  <c r="L22" i="8"/>
  <c r="L16" i="11"/>
  <c r="Z21" i="13"/>
  <c r="N15" i="4"/>
  <c r="L21" i="4"/>
  <c r="L16" i="5"/>
  <c r="L20" i="5"/>
  <c r="F36" i="7"/>
  <c r="F34" i="7"/>
  <c r="F33" i="7"/>
  <c r="F31" i="7"/>
  <c r="F29" i="7"/>
  <c r="F27" i="7"/>
  <c r="F25" i="7"/>
  <c r="F21" i="7"/>
  <c r="F20" i="7"/>
  <c r="F18" i="7"/>
  <c r="F16" i="7"/>
  <c r="L12" i="7"/>
  <c r="D18" i="7"/>
  <c r="F24" i="7"/>
  <c r="F22" i="7"/>
  <c r="F15" i="7"/>
  <c r="X16" i="7"/>
  <c r="X20" i="7"/>
  <c r="X15" i="8"/>
  <c r="N25" i="8"/>
  <c r="N29" i="8"/>
  <c r="N33" i="8"/>
  <c r="N34" i="8"/>
  <c r="L16" i="10"/>
  <c r="L20" i="10"/>
  <c r="V21" i="11"/>
  <c r="V20" i="11"/>
  <c r="V18" i="11"/>
  <c r="V16" i="11"/>
  <c r="T18" i="11"/>
  <c r="V15" i="11"/>
  <c r="Z12" i="11"/>
  <c r="V24" i="11"/>
  <c r="V22" i="11"/>
  <c r="V34" i="11"/>
  <c r="V33" i="11"/>
  <c r="V31" i="11"/>
  <c r="V36" i="11"/>
  <c r="V29" i="11"/>
  <c r="V27" i="11"/>
  <c r="V25" i="11"/>
  <c r="L15" i="11"/>
  <c r="Z25" i="11"/>
  <c r="Z29" i="11"/>
  <c r="Z33" i="11"/>
  <c r="Z34" i="11"/>
  <c r="X24" i="13"/>
  <c r="Z29" i="14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21" i="8"/>
  <c r="J20" i="8"/>
  <c r="J18" i="8"/>
  <c r="J16" i="8"/>
  <c r="N12" i="8"/>
  <c r="J24" i="8"/>
  <c r="J22" i="8"/>
  <c r="H18" i="8"/>
  <c r="J36" i="8"/>
  <c r="J31" i="8"/>
  <c r="J25" i="8"/>
  <c r="J34" i="8"/>
  <c r="J29" i="8"/>
  <c r="J15" i="8"/>
  <c r="J33" i="8"/>
  <c r="J27" i="8"/>
  <c r="X13" i="8"/>
  <c r="Z15" i="8"/>
  <c r="X21" i="8"/>
  <c r="N16" i="10"/>
  <c r="N20" i="10"/>
  <c r="L22" i="10"/>
  <c r="L24" i="10"/>
  <c r="N15" i="11"/>
  <c r="L21" i="11"/>
  <c r="L16" i="13"/>
  <c r="L20" i="13"/>
  <c r="N25" i="14"/>
  <c r="L13" i="25"/>
  <c r="L13" i="10"/>
  <c r="N21" i="10"/>
  <c r="L25" i="10"/>
  <c r="L29" i="10"/>
  <c r="L33" i="10"/>
  <c r="L34" i="10"/>
  <c r="N16" i="11"/>
  <c r="N20" i="11"/>
  <c r="L22" i="11"/>
  <c r="L24" i="11"/>
  <c r="L13" i="13"/>
  <c r="L25" i="13"/>
  <c r="L29" i="13"/>
  <c r="N12" i="14"/>
  <c r="J36" i="14"/>
  <c r="J34" i="14"/>
  <c r="J33" i="14"/>
  <c r="J31" i="14"/>
  <c r="J29" i="14"/>
  <c r="J27" i="14"/>
  <c r="J25" i="14"/>
  <c r="J21" i="14"/>
  <c r="H18" i="14"/>
  <c r="J15" i="14"/>
  <c r="J24" i="14"/>
  <c r="J20" i="14"/>
  <c r="J22" i="14"/>
  <c r="J18" i="14"/>
  <c r="J16" i="14"/>
  <c r="X21" i="14"/>
  <c r="L33" i="25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1" i="7"/>
  <c r="P18" i="7"/>
  <c r="R15" i="7"/>
  <c r="R24" i="7"/>
  <c r="R16" i="7"/>
  <c r="X12" i="7"/>
  <c r="R20" i="7"/>
  <c r="R18" i="7"/>
  <c r="R22" i="7"/>
  <c r="Z22" i="7"/>
  <c r="Z24" i="7"/>
  <c r="Z21" i="8"/>
  <c r="X25" i="8"/>
  <c r="X29" i="8"/>
  <c r="X33" i="8"/>
  <c r="X34" i="8"/>
  <c r="N13" i="10"/>
  <c r="N22" i="10"/>
  <c r="N24" i="10"/>
  <c r="L13" i="11"/>
  <c r="N21" i="11"/>
  <c r="L25" i="11"/>
  <c r="L29" i="11"/>
  <c r="L33" i="11"/>
  <c r="L34" i="11"/>
  <c r="N13" i="13"/>
  <c r="N22" i="13"/>
  <c r="V20" i="14"/>
  <c r="V18" i="14"/>
  <c r="V16" i="14"/>
  <c r="T18" i="14"/>
  <c r="V15" i="14"/>
  <c r="Z12" i="14"/>
  <c r="V36" i="14"/>
  <c r="V34" i="14"/>
  <c r="V33" i="14"/>
  <c r="V31" i="14"/>
  <c r="V29" i="14"/>
  <c r="V27" i="14"/>
  <c r="V25" i="14"/>
  <c r="V21" i="14"/>
  <c r="V22" i="14"/>
  <c r="V24" i="14"/>
  <c r="Z25" i="14"/>
  <c r="N15" i="16"/>
  <c r="Z25" i="20"/>
  <c r="X16" i="13"/>
  <c r="X20" i="13"/>
  <c r="L13" i="14"/>
  <c r="L33" i="14"/>
  <c r="Z29" i="32"/>
  <c r="Z12" i="8"/>
  <c r="V36" i="8"/>
  <c r="V34" i="8"/>
  <c r="V33" i="8"/>
  <c r="V31" i="8"/>
  <c r="V29" i="8"/>
  <c r="V27" i="8"/>
  <c r="V25" i="8"/>
  <c r="V24" i="8"/>
  <c r="V22" i="8"/>
  <c r="V20" i="8"/>
  <c r="V18" i="8"/>
  <c r="V16" i="8"/>
  <c r="V21" i="8"/>
  <c r="T18" i="8"/>
  <c r="V15" i="8"/>
  <c r="L15" i="8"/>
  <c r="Z25" i="8"/>
  <c r="Z29" i="8"/>
  <c r="Z33" i="8"/>
  <c r="Z34" i="8"/>
  <c r="L12" i="10"/>
  <c r="F36" i="10"/>
  <c r="F34" i="10"/>
  <c r="F33" i="10"/>
  <c r="F31" i="10"/>
  <c r="F29" i="10"/>
  <c r="F27" i="10"/>
  <c r="F25" i="10"/>
  <c r="F24" i="10"/>
  <c r="F22" i="10"/>
  <c r="F21" i="10"/>
  <c r="D18" i="10"/>
  <c r="F15" i="10"/>
  <c r="F20" i="10"/>
  <c r="F18" i="10"/>
  <c r="F16" i="10"/>
  <c r="X16" i="10"/>
  <c r="X20" i="10"/>
  <c r="X15" i="11"/>
  <c r="N25" i="11"/>
  <c r="N29" i="11"/>
  <c r="N33" i="11"/>
  <c r="N34" i="11"/>
  <c r="Z13" i="13"/>
  <c r="Z16" i="13"/>
  <c r="Z20" i="13"/>
  <c r="X22" i="13"/>
  <c r="Z13" i="4"/>
  <c r="Z16" i="4"/>
  <c r="Z20" i="4"/>
  <c r="X22" i="4"/>
  <c r="X24" i="4"/>
  <c r="J21" i="5"/>
  <c r="H18" i="5"/>
  <c r="J15" i="5"/>
  <c r="J33" i="5"/>
  <c r="J36" i="5"/>
  <c r="J24" i="5"/>
  <c r="J27" i="5"/>
  <c r="J16" i="5"/>
  <c r="N12" i="5"/>
  <c r="J31" i="5"/>
  <c r="J20" i="5"/>
  <c r="J34" i="5"/>
  <c r="J22" i="5"/>
  <c r="J25" i="5"/>
  <c r="J29" i="5"/>
  <c r="J18" i="5"/>
  <c r="X13" i="5"/>
  <c r="Z15" i="5"/>
  <c r="X21" i="5"/>
  <c r="N15" i="7"/>
  <c r="L21" i="7"/>
  <c r="L16" i="8"/>
  <c r="L20" i="8"/>
  <c r="N12" i="10"/>
  <c r="J36" i="10"/>
  <c r="J34" i="10"/>
  <c r="J33" i="10"/>
  <c r="J31" i="10"/>
  <c r="J29" i="10"/>
  <c r="J27" i="10"/>
  <c r="J25" i="10"/>
  <c r="J21" i="10"/>
  <c r="J20" i="10"/>
  <c r="J18" i="10"/>
  <c r="J16" i="10"/>
  <c r="H18" i="10"/>
  <c r="J15" i="10"/>
  <c r="J24" i="10"/>
  <c r="J22" i="10"/>
  <c r="X13" i="10"/>
  <c r="Z15" i="10"/>
  <c r="X21" i="10"/>
  <c r="L12" i="11"/>
  <c r="F24" i="11"/>
  <c r="F22" i="11"/>
  <c r="F21" i="11"/>
  <c r="F20" i="11"/>
  <c r="F18" i="11"/>
  <c r="F16" i="11"/>
  <c r="F34" i="11"/>
  <c r="F15" i="11"/>
  <c r="F33" i="11"/>
  <c r="D18" i="11"/>
  <c r="F31" i="11"/>
  <c r="F29" i="11"/>
  <c r="F27" i="11"/>
  <c r="F36" i="11"/>
  <c r="F25" i="11"/>
  <c r="X16" i="11"/>
  <c r="X20" i="11"/>
  <c r="X25" i="13"/>
  <c r="X29" i="13"/>
  <c r="X13" i="14"/>
  <c r="Z33" i="14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Z13" i="10"/>
  <c r="Z16" i="10"/>
  <c r="Z20" i="10"/>
  <c r="X22" i="10"/>
  <c r="X24" i="10"/>
  <c r="N12" i="11"/>
  <c r="J36" i="11"/>
  <c r="J34" i="11"/>
  <c r="J33" i="11"/>
  <c r="J31" i="11"/>
  <c r="J29" i="11"/>
  <c r="J27" i="11"/>
  <c r="J25" i="11"/>
  <c r="J24" i="11"/>
  <c r="J22" i="11"/>
  <c r="J20" i="11"/>
  <c r="J18" i="11"/>
  <c r="J16" i="11"/>
  <c r="H18" i="11"/>
  <c r="J15" i="11"/>
  <c r="J21" i="11"/>
  <c r="X13" i="11"/>
  <c r="Z15" i="11"/>
  <c r="X21" i="11"/>
  <c r="L15" i="14"/>
  <c r="L34" i="14"/>
  <c r="L21" i="16"/>
  <c r="Z21" i="10"/>
  <c r="X25" i="10"/>
  <c r="X29" i="10"/>
  <c r="X33" i="10"/>
  <c r="X34" i="10"/>
  <c r="Z13" i="11"/>
  <c r="Z16" i="11"/>
  <c r="Z20" i="11"/>
  <c r="X22" i="11"/>
  <c r="X24" i="11"/>
  <c r="N21" i="13"/>
  <c r="L29" i="14"/>
  <c r="L16" i="17"/>
  <c r="V36" i="4"/>
  <c r="V34" i="4"/>
  <c r="V33" i="4"/>
  <c r="V31" i="4"/>
  <c r="V29" i="4"/>
  <c r="V27" i="4"/>
  <c r="V25" i="4"/>
  <c r="V24" i="4"/>
  <c r="V22" i="4"/>
  <c r="V20" i="4"/>
  <c r="V18" i="4"/>
  <c r="V16" i="4"/>
  <c r="T18" i="4"/>
  <c r="V15" i="4"/>
  <c r="Z12" i="4"/>
  <c r="V21" i="4"/>
  <c r="L15" i="4"/>
  <c r="Z25" i="4"/>
  <c r="Z29" i="4"/>
  <c r="Z33" i="4"/>
  <c r="Z34" i="4"/>
  <c r="R36" i="5"/>
  <c r="R34" i="5"/>
  <c r="R33" i="5"/>
  <c r="R31" i="5"/>
  <c r="R29" i="5"/>
  <c r="R27" i="5"/>
  <c r="R25" i="5"/>
  <c r="R21" i="5"/>
  <c r="R20" i="5"/>
  <c r="R18" i="5"/>
  <c r="R16" i="5"/>
  <c r="X12" i="5"/>
  <c r="R24" i="5"/>
  <c r="R22" i="5"/>
  <c r="R15" i="5"/>
  <c r="P18" i="5"/>
  <c r="Z22" i="5"/>
  <c r="Z24" i="5"/>
  <c r="N13" i="7"/>
  <c r="N22" i="7"/>
  <c r="N24" i="7"/>
  <c r="L13" i="8"/>
  <c r="N21" i="8"/>
  <c r="L25" i="8"/>
  <c r="L29" i="8"/>
  <c r="L33" i="8"/>
  <c r="L34" i="8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X12" i="10"/>
  <c r="Z22" i="10"/>
  <c r="Z24" i="10"/>
  <c r="Z21" i="11"/>
  <c r="X25" i="11"/>
  <c r="X29" i="11"/>
  <c r="X33" i="11"/>
  <c r="X34" i="11"/>
  <c r="N24" i="13"/>
  <c r="X15" i="14"/>
  <c r="N29" i="14"/>
  <c r="Z34" i="14"/>
  <c r="L16" i="4"/>
  <c r="L20" i="4"/>
  <c r="V24" i="5"/>
  <c r="V22" i="5"/>
  <c r="V21" i="5"/>
  <c r="T18" i="5"/>
  <c r="V15" i="5"/>
  <c r="V36" i="5"/>
  <c r="V34" i="5"/>
  <c r="V33" i="5"/>
  <c r="V31" i="5"/>
  <c r="V29" i="5"/>
  <c r="V27" i="5"/>
  <c r="V25" i="5"/>
  <c r="V16" i="5"/>
  <c r="V20" i="5"/>
  <c r="Z12" i="5"/>
  <c r="V18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V24" i="10"/>
  <c r="V22" i="10"/>
  <c r="V21" i="10"/>
  <c r="V20" i="10"/>
  <c r="V18" i="10"/>
  <c r="V16" i="10"/>
  <c r="T18" i="10"/>
  <c r="V15" i="10"/>
  <c r="V36" i="10"/>
  <c r="V34" i="10"/>
  <c r="V33" i="10"/>
  <c r="V31" i="10"/>
  <c r="V29" i="10"/>
  <c r="V27" i="10"/>
  <c r="V25" i="10"/>
  <c r="Z12" i="10"/>
  <c r="L15" i="10"/>
  <c r="Z25" i="10"/>
  <c r="Z29" i="10"/>
  <c r="Z33" i="10"/>
  <c r="Z34" i="10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X12" i="11"/>
  <c r="Z22" i="11"/>
  <c r="Z24" i="11"/>
  <c r="F21" i="13"/>
  <c r="F20" i="13"/>
  <c r="F18" i="13"/>
  <c r="F16" i="13"/>
  <c r="F27" i="13"/>
  <c r="F36" i="13"/>
  <c r="F31" i="13"/>
  <c r="F24" i="13"/>
  <c r="D18" i="13"/>
  <c r="F15" i="13"/>
  <c r="F34" i="13"/>
  <c r="F29" i="13"/>
  <c r="F25" i="13"/>
  <c r="F22" i="13"/>
  <c r="L12" i="13"/>
  <c r="F33" i="13"/>
  <c r="Z15" i="14"/>
  <c r="L20" i="17"/>
  <c r="V21" i="13"/>
  <c r="Z12" i="13"/>
  <c r="V24" i="13"/>
  <c r="V22" i="13"/>
  <c r="V34" i="13"/>
  <c r="V29" i="13"/>
  <c r="V25" i="13"/>
  <c r="V20" i="13"/>
  <c r="V16" i="13"/>
  <c r="V33" i="13"/>
  <c r="V27" i="13"/>
  <c r="V36" i="13"/>
  <c r="V31" i="13"/>
  <c r="T18" i="13"/>
  <c r="V15" i="13"/>
  <c r="V18" i="13"/>
  <c r="L15" i="13"/>
  <c r="Z25" i="13"/>
  <c r="Z29" i="13"/>
  <c r="Z33" i="13"/>
  <c r="Z34" i="13"/>
  <c r="R24" i="14"/>
  <c r="R22" i="14"/>
  <c r="R21" i="14"/>
  <c r="P18" i="14"/>
  <c r="R15" i="14"/>
  <c r="X12" i="14"/>
  <c r="R36" i="14"/>
  <c r="R34" i="14"/>
  <c r="R33" i="14"/>
  <c r="R31" i="14"/>
  <c r="R29" i="14"/>
  <c r="R27" i="14"/>
  <c r="R25" i="14"/>
  <c r="R20" i="14"/>
  <c r="R18" i="14"/>
  <c r="R16" i="14"/>
  <c r="Z22" i="14"/>
  <c r="Z24" i="14"/>
  <c r="L16" i="16"/>
  <c r="L20" i="16"/>
  <c r="V21" i="17"/>
  <c r="V20" i="17"/>
  <c r="V18" i="17"/>
  <c r="V16" i="17"/>
  <c r="T18" i="17"/>
  <c r="V15" i="17"/>
  <c r="Z12" i="17"/>
  <c r="V24" i="17"/>
  <c r="V22" i="17"/>
  <c r="V36" i="17"/>
  <c r="V34" i="17"/>
  <c r="V33" i="17"/>
  <c r="V31" i="17"/>
  <c r="V29" i="17"/>
  <c r="V27" i="17"/>
  <c r="V25" i="17"/>
  <c r="L15" i="17"/>
  <c r="Z25" i="17"/>
  <c r="Z29" i="17"/>
  <c r="Z33" i="17"/>
  <c r="Z34" i="17"/>
  <c r="Z13" i="19"/>
  <c r="X22" i="19"/>
  <c r="Z25" i="22"/>
  <c r="N15" i="13"/>
  <c r="L21" i="13"/>
  <c r="L16" i="14"/>
  <c r="L20" i="14"/>
  <c r="N16" i="16"/>
  <c r="N20" i="16"/>
  <c r="L22" i="16"/>
  <c r="L24" i="16"/>
  <c r="N15" i="17"/>
  <c r="L21" i="17"/>
  <c r="X24" i="19"/>
  <c r="R21" i="23"/>
  <c r="R20" i="23"/>
  <c r="R18" i="23"/>
  <c r="R16" i="23"/>
  <c r="P18" i="23"/>
  <c r="R15" i="23"/>
  <c r="X12" i="23"/>
  <c r="R24" i="23"/>
  <c r="R22" i="23"/>
  <c r="R27" i="23"/>
  <c r="R36" i="23"/>
  <c r="R25" i="23"/>
  <c r="R34" i="23"/>
  <c r="R33" i="23"/>
  <c r="R31" i="23"/>
  <c r="R29" i="23"/>
  <c r="L34" i="25"/>
  <c r="N16" i="13"/>
  <c r="N20" i="13"/>
  <c r="L22" i="13"/>
  <c r="L24" i="13"/>
  <c r="N15" i="14"/>
  <c r="L21" i="14"/>
  <c r="L13" i="16"/>
  <c r="N21" i="16"/>
  <c r="L25" i="16"/>
  <c r="L29" i="16"/>
  <c r="L33" i="16"/>
  <c r="L34" i="16"/>
  <c r="N16" i="17"/>
  <c r="N20" i="17"/>
  <c r="L22" i="17"/>
  <c r="L24" i="17"/>
  <c r="L16" i="19"/>
  <c r="L29" i="22"/>
  <c r="L22" i="23"/>
  <c r="X29" i="26"/>
  <c r="L33" i="13"/>
  <c r="L34" i="13"/>
  <c r="N16" i="14"/>
  <c r="N20" i="14"/>
  <c r="L22" i="14"/>
  <c r="L24" i="14"/>
  <c r="N13" i="16"/>
  <c r="N22" i="16"/>
  <c r="N24" i="16"/>
  <c r="L13" i="17"/>
  <c r="N21" i="17"/>
  <c r="L25" i="17"/>
  <c r="L29" i="17"/>
  <c r="L33" i="17"/>
  <c r="L34" i="17"/>
  <c r="Z16" i="19"/>
  <c r="Z29" i="22"/>
  <c r="Z22" i="23"/>
  <c r="X15" i="16"/>
  <c r="N25" i="16"/>
  <c r="N29" i="16"/>
  <c r="N33" i="16"/>
  <c r="N34" i="16"/>
  <c r="N13" i="17"/>
  <c r="N22" i="17"/>
  <c r="N24" i="17"/>
  <c r="Z29" i="20"/>
  <c r="N21" i="22"/>
  <c r="L24" i="23"/>
  <c r="Z33" i="26"/>
  <c r="X15" i="13"/>
  <c r="N25" i="13"/>
  <c r="N29" i="13"/>
  <c r="N33" i="13"/>
  <c r="N34" i="13"/>
  <c r="N13" i="14"/>
  <c r="N22" i="14"/>
  <c r="N24" i="14"/>
  <c r="L12" i="16"/>
  <c r="F36" i="16"/>
  <c r="F34" i="16"/>
  <c r="F33" i="16"/>
  <c r="F31" i="16"/>
  <c r="F29" i="16"/>
  <c r="F27" i="16"/>
  <c r="F25" i="16"/>
  <c r="F24" i="16"/>
  <c r="F22" i="16"/>
  <c r="F21" i="16"/>
  <c r="D18" i="16"/>
  <c r="F15" i="16"/>
  <c r="F20" i="16"/>
  <c r="F18" i="16"/>
  <c r="F16" i="16"/>
  <c r="X16" i="16"/>
  <c r="X20" i="16"/>
  <c r="X15" i="17"/>
  <c r="N25" i="17"/>
  <c r="N29" i="17"/>
  <c r="N33" i="17"/>
  <c r="N34" i="17"/>
  <c r="J24" i="20"/>
  <c r="J22" i="20"/>
  <c r="J21" i="20"/>
  <c r="J20" i="20"/>
  <c r="J18" i="20"/>
  <c r="J16" i="20"/>
  <c r="H18" i="20"/>
  <c r="J15" i="20"/>
  <c r="N12" i="20"/>
  <c r="J36" i="20"/>
  <c r="J34" i="20"/>
  <c r="J33" i="20"/>
  <c r="J31" i="20"/>
  <c r="J29" i="20"/>
  <c r="J27" i="20"/>
  <c r="J25" i="20"/>
  <c r="X21" i="20"/>
  <c r="V20" i="22"/>
  <c r="V18" i="22"/>
  <c r="V16" i="22"/>
  <c r="T18" i="22"/>
  <c r="V15" i="22"/>
  <c r="Z12" i="22"/>
  <c r="V36" i="22"/>
  <c r="V34" i="22"/>
  <c r="V33" i="22"/>
  <c r="V31" i="22"/>
  <c r="V29" i="22"/>
  <c r="V27" i="22"/>
  <c r="V25" i="22"/>
  <c r="V21" i="22"/>
  <c r="V24" i="22"/>
  <c r="V22" i="22"/>
  <c r="Z24" i="23"/>
  <c r="N21" i="25"/>
  <c r="N33" i="14"/>
  <c r="N34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X16" i="17"/>
  <c r="X20" i="17"/>
  <c r="L20" i="19"/>
  <c r="Z12" i="20"/>
  <c r="V36" i="20"/>
  <c r="V34" i="20"/>
  <c r="V33" i="20"/>
  <c r="V31" i="20"/>
  <c r="V29" i="20"/>
  <c r="V27" i="20"/>
  <c r="V25" i="20"/>
  <c r="V21" i="20"/>
  <c r="V20" i="20"/>
  <c r="V18" i="20"/>
  <c r="V16" i="20"/>
  <c r="T18" i="20"/>
  <c r="V15" i="20"/>
  <c r="V24" i="20"/>
  <c r="V22" i="20"/>
  <c r="L13" i="22"/>
  <c r="L33" i="22"/>
  <c r="N16" i="23"/>
  <c r="N16" i="26"/>
  <c r="J24" i="13"/>
  <c r="J22" i="13"/>
  <c r="H18" i="13"/>
  <c r="J15" i="13"/>
  <c r="J27" i="13"/>
  <c r="J36" i="13"/>
  <c r="J31" i="13"/>
  <c r="J21" i="13"/>
  <c r="J18" i="13"/>
  <c r="J34" i="13"/>
  <c r="J29" i="13"/>
  <c r="J25" i="13"/>
  <c r="J20" i="13"/>
  <c r="J16" i="13"/>
  <c r="J33" i="13"/>
  <c r="N12" i="13"/>
  <c r="X13" i="13"/>
  <c r="Z15" i="13"/>
  <c r="X21" i="13"/>
  <c r="L12" i="14"/>
  <c r="F36" i="14"/>
  <c r="F34" i="14"/>
  <c r="F33" i="14"/>
  <c r="F31" i="14"/>
  <c r="F29" i="14"/>
  <c r="F27" i="14"/>
  <c r="F25" i="14"/>
  <c r="F21" i="14"/>
  <c r="F20" i="14"/>
  <c r="F18" i="14"/>
  <c r="F16" i="14"/>
  <c r="D18" i="14"/>
  <c r="F15" i="14"/>
  <c r="F24" i="14"/>
  <c r="F22" i="14"/>
  <c r="X16" i="14"/>
  <c r="X20" i="14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13" i="17"/>
  <c r="Z15" i="17"/>
  <c r="X21" i="17"/>
  <c r="Z20" i="19"/>
  <c r="X13" i="20"/>
  <c r="L15" i="22"/>
  <c r="Z33" i="22"/>
  <c r="Z21" i="16"/>
  <c r="X25" i="16"/>
  <c r="X29" i="16"/>
  <c r="X33" i="16"/>
  <c r="X34" i="16"/>
  <c r="Z13" i="17"/>
  <c r="Z16" i="17"/>
  <c r="Z20" i="17"/>
  <c r="X22" i="17"/>
  <c r="X24" i="17"/>
  <c r="L15" i="20"/>
  <c r="Z33" i="20"/>
  <c r="L34" i="22"/>
  <c r="L25" i="25"/>
  <c r="X33" i="13"/>
  <c r="X34" i="13"/>
  <c r="Z13" i="14"/>
  <c r="Z16" i="14"/>
  <c r="Z20" i="14"/>
  <c r="X22" i="14"/>
  <c r="X24" i="14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X12" i="16"/>
  <c r="Z22" i="16"/>
  <c r="Z24" i="16"/>
  <c r="Z21" i="17"/>
  <c r="X25" i="17"/>
  <c r="X29" i="17"/>
  <c r="X33" i="17"/>
  <c r="X34" i="17"/>
  <c r="Z15" i="20"/>
  <c r="Z34" i="22"/>
  <c r="R36" i="13"/>
  <c r="R34" i="13"/>
  <c r="R33" i="13"/>
  <c r="R31" i="13"/>
  <c r="R29" i="13"/>
  <c r="R27" i="13"/>
  <c r="R25" i="13"/>
  <c r="R20" i="13"/>
  <c r="R18" i="13"/>
  <c r="R16" i="13"/>
  <c r="P18" i="13"/>
  <c r="R15" i="13"/>
  <c r="R22" i="13"/>
  <c r="X12" i="13"/>
  <c r="R21" i="13"/>
  <c r="R24" i="13"/>
  <c r="Z22" i="13"/>
  <c r="Z24" i="13"/>
  <c r="Z21" i="14"/>
  <c r="X25" i="14"/>
  <c r="X29" i="14"/>
  <c r="X33" i="14"/>
  <c r="X34" i="14"/>
  <c r="V24" i="16"/>
  <c r="V22" i="16"/>
  <c r="V21" i="16"/>
  <c r="V20" i="16"/>
  <c r="V18" i="16"/>
  <c r="V16" i="16"/>
  <c r="T18" i="16"/>
  <c r="V15" i="16"/>
  <c r="V36" i="16"/>
  <c r="V34" i="16"/>
  <c r="V33" i="16"/>
  <c r="V31" i="16"/>
  <c r="V29" i="16"/>
  <c r="V27" i="16"/>
  <c r="V25" i="16"/>
  <c r="Z12" i="16"/>
  <c r="L15" i="16"/>
  <c r="Z25" i="16"/>
  <c r="Z29" i="16"/>
  <c r="Z33" i="16"/>
  <c r="Z34" i="16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X12" i="17"/>
  <c r="Z22" i="17"/>
  <c r="Z24" i="17"/>
  <c r="Z34" i="20"/>
  <c r="L25" i="22"/>
  <c r="N20" i="23"/>
  <c r="L29" i="25"/>
  <c r="Z29" i="29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R24" i="22"/>
  <c r="R22" i="22"/>
  <c r="R21" i="22"/>
  <c r="R20" i="22"/>
  <c r="R18" i="22"/>
  <c r="R16" i="22"/>
  <c r="P18" i="22"/>
  <c r="R15" i="22"/>
  <c r="X12" i="22"/>
  <c r="R36" i="22"/>
  <c r="R34" i="22"/>
  <c r="R33" i="22"/>
  <c r="R31" i="22"/>
  <c r="R29" i="22"/>
  <c r="R27" i="22"/>
  <c r="R25" i="22"/>
  <c r="Z22" i="22"/>
  <c r="Z24" i="22"/>
  <c r="Z21" i="23"/>
  <c r="X25" i="23"/>
  <c r="X29" i="23"/>
  <c r="X33" i="23"/>
  <c r="X34" i="23"/>
  <c r="N16" i="25"/>
  <c r="N20" i="25"/>
  <c r="L22" i="25"/>
  <c r="L24" i="25"/>
  <c r="N15" i="26"/>
  <c r="N20" i="26"/>
  <c r="N21" i="26"/>
  <c r="N22" i="26"/>
  <c r="Z34" i="26"/>
  <c r="L29" i="29"/>
  <c r="Z16" i="31"/>
  <c r="Z21" i="19"/>
  <c r="X25" i="19"/>
  <c r="X29" i="19"/>
  <c r="X33" i="19"/>
  <c r="X34" i="19"/>
  <c r="Z13" i="20"/>
  <c r="Z16" i="20"/>
  <c r="Z20" i="20"/>
  <c r="X22" i="20"/>
  <c r="X24" i="20"/>
  <c r="L16" i="22"/>
  <c r="L20" i="22"/>
  <c r="T18" i="23"/>
  <c r="V15" i="23"/>
  <c r="Z12" i="23"/>
  <c r="V36" i="23"/>
  <c r="V34" i="23"/>
  <c r="V33" i="23"/>
  <c r="V31" i="23"/>
  <c r="V29" i="23"/>
  <c r="V27" i="23"/>
  <c r="V25" i="23"/>
  <c r="V24" i="23"/>
  <c r="V22" i="23"/>
  <c r="V20" i="23"/>
  <c r="V18" i="23"/>
  <c r="V16" i="23"/>
  <c r="V21" i="23"/>
  <c r="L15" i="23"/>
  <c r="Z25" i="23"/>
  <c r="Z29" i="23"/>
  <c r="Z33" i="23"/>
  <c r="Z34" i="23"/>
  <c r="N13" i="25"/>
  <c r="N22" i="25"/>
  <c r="N24" i="25"/>
  <c r="L13" i="26"/>
  <c r="N21" i="29"/>
  <c r="J24" i="32"/>
  <c r="J22" i="32"/>
  <c r="J21" i="32"/>
  <c r="J20" i="32"/>
  <c r="J18" i="32"/>
  <c r="J16" i="32"/>
  <c r="H18" i="32"/>
  <c r="J15" i="32"/>
  <c r="N12" i="32"/>
  <c r="J36" i="32"/>
  <c r="J34" i="32"/>
  <c r="J33" i="32"/>
  <c r="J31" i="32"/>
  <c r="J29" i="32"/>
  <c r="J27" i="32"/>
  <c r="J25" i="32"/>
  <c r="X21" i="32"/>
  <c r="X33" i="35"/>
  <c r="L24" i="46"/>
  <c r="P18" i="19"/>
  <c r="R15" i="19"/>
  <c r="R36" i="19"/>
  <c r="R34" i="19"/>
  <c r="R33" i="19"/>
  <c r="R31" i="19"/>
  <c r="R29" i="19"/>
  <c r="R27" i="19"/>
  <c r="R25" i="19"/>
  <c r="R24" i="19"/>
  <c r="R22" i="19"/>
  <c r="R20" i="19"/>
  <c r="R18" i="19"/>
  <c r="R16" i="19"/>
  <c r="X12" i="19"/>
  <c r="R21" i="19"/>
  <c r="Z22" i="19"/>
  <c r="Z24" i="19"/>
  <c r="Z21" i="20"/>
  <c r="X25" i="20"/>
  <c r="X29" i="20"/>
  <c r="X33" i="20"/>
  <c r="X34" i="20"/>
  <c r="N15" i="22"/>
  <c r="L21" i="22"/>
  <c r="L16" i="23"/>
  <c r="L20" i="23"/>
  <c r="X15" i="25"/>
  <c r="N25" i="25"/>
  <c r="N29" i="25"/>
  <c r="N33" i="25"/>
  <c r="N34" i="25"/>
  <c r="N13" i="26"/>
  <c r="X24" i="26"/>
  <c r="X25" i="26"/>
  <c r="Z29" i="26"/>
  <c r="L20" i="28"/>
  <c r="V20" i="29"/>
  <c r="V18" i="29"/>
  <c r="V16" i="29"/>
  <c r="T18" i="29"/>
  <c r="V15" i="29"/>
  <c r="Z12" i="29"/>
  <c r="V36" i="29"/>
  <c r="V34" i="29"/>
  <c r="V33" i="29"/>
  <c r="V31" i="29"/>
  <c r="V29" i="29"/>
  <c r="V27" i="29"/>
  <c r="V25" i="29"/>
  <c r="V21" i="29"/>
  <c r="V24" i="29"/>
  <c r="V22" i="29"/>
  <c r="L20" i="31"/>
  <c r="Z12" i="32"/>
  <c r="V36" i="32"/>
  <c r="V34" i="32"/>
  <c r="V33" i="32"/>
  <c r="V31" i="32"/>
  <c r="V29" i="32"/>
  <c r="V27" i="32"/>
  <c r="V25" i="32"/>
  <c r="V21" i="32"/>
  <c r="V20" i="32"/>
  <c r="V18" i="32"/>
  <c r="V16" i="32"/>
  <c r="T18" i="32"/>
  <c r="V15" i="32"/>
  <c r="V24" i="32"/>
  <c r="V22" i="32"/>
  <c r="F36" i="34"/>
  <c r="F34" i="34"/>
  <c r="F33" i="34"/>
  <c r="F31" i="34"/>
  <c r="F29" i="34"/>
  <c r="F27" i="34"/>
  <c r="F25" i="34"/>
  <c r="F20" i="34"/>
  <c r="F18" i="34"/>
  <c r="F16" i="34"/>
  <c r="D18" i="34"/>
  <c r="F15" i="34"/>
  <c r="F22" i="34"/>
  <c r="F21" i="34"/>
  <c r="F24" i="34"/>
  <c r="L12" i="34"/>
  <c r="Z12" i="19"/>
  <c r="V24" i="19"/>
  <c r="V22" i="19"/>
  <c r="V21" i="19"/>
  <c r="V20" i="19"/>
  <c r="V18" i="19"/>
  <c r="V16" i="19"/>
  <c r="V31" i="19"/>
  <c r="V29" i="19"/>
  <c r="V27" i="19"/>
  <c r="T18" i="19"/>
  <c r="V36" i="19"/>
  <c r="V25" i="19"/>
  <c r="V34" i="19"/>
  <c r="V15" i="19"/>
  <c r="V33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P18" i="20"/>
  <c r="R15" i="20"/>
  <c r="R20" i="20"/>
  <c r="R18" i="20"/>
  <c r="R16" i="20"/>
  <c r="Z22" i="20"/>
  <c r="Z24" i="20"/>
  <c r="N16" i="22"/>
  <c r="N20" i="22"/>
  <c r="L22" i="22"/>
  <c r="L24" i="22"/>
  <c r="N15" i="23"/>
  <c r="L21" i="23"/>
  <c r="F20" i="25"/>
  <c r="F18" i="25"/>
  <c r="F16" i="25"/>
  <c r="D18" i="25"/>
  <c r="F15" i="25"/>
  <c r="L12" i="25"/>
  <c r="F36" i="25"/>
  <c r="F34" i="25"/>
  <c r="F33" i="25"/>
  <c r="F31" i="25"/>
  <c r="F29" i="25"/>
  <c r="F27" i="25"/>
  <c r="F25" i="25"/>
  <c r="F21" i="25"/>
  <c r="F24" i="25"/>
  <c r="F22" i="25"/>
  <c r="X16" i="25"/>
  <c r="X20" i="25"/>
  <c r="X15" i="26"/>
  <c r="X20" i="26"/>
  <c r="X21" i="26"/>
  <c r="X22" i="26"/>
  <c r="L34" i="26"/>
  <c r="L13" i="29"/>
  <c r="L33" i="29"/>
  <c r="Z20" i="31"/>
  <c r="X13" i="32"/>
  <c r="N12" i="25"/>
  <c r="J36" i="25"/>
  <c r="J34" i="25"/>
  <c r="J33" i="25"/>
  <c r="J31" i="25"/>
  <c r="J29" i="25"/>
  <c r="J27" i="25"/>
  <c r="J25" i="25"/>
  <c r="J24" i="25"/>
  <c r="J22" i="25"/>
  <c r="J21" i="25"/>
  <c r="H18" i="25"/>
  <c r="J15" i="25"/>
  <c r="J20" i="25"/>
  <c r="J18" i="25"/>
  <c r="J16" i="25"/>
  <c r="X13" i="25"/>
  <c r="Z15" i="25"/>
  <c r="X21" i="25"/>
  <c r="F22" i="26"/>
  <c r="F21" i="26"/>
  <c r="F20" i="26"/>
  <c r="D18" i="26"/>
  <c r="F15" i="26"/>
  <c r="F25" i="26"/>
  <c r="F24" i="26"/>
  <c r="F27" i="26"/>
  <c r="F29" i="26"/>
  <c r="F31" i="26"/>
  <c r="L12" i="26"/>
  <c r="F33" i="26"/>
  <c r="F34" i="26"/>
  <c r="F36" i="26"/>
  <c r="F18" i="26"/>
  <c r="F16" i="26"/>
  <c r="X16" i="26"/>
  <c r="Z24" i="26"/>
  <c r="Z25" i="26"/>
  <c r="L33" i="26"/>
  <c r="L15" i="29"/>
  <c r="Z33" i="29"/>
  <c r="L15" i="32"/>
  <c r="Z33" i="32"/>
  <c r="N15" i="19"/>
  <c r="L21" i="19"/>
  <c r="L16" i="20"/>
  <c r="L20" i="20"/>
  <c r="N13" i="22"/>
  <c r="N22" i="22"/>
  <c r="N24" i="22"/>
  <c r="L13" i="23"/>
  <c r="N21" i="23"/>
  <c r="L25" i="23"/>
  <c r="L29" i="23"/>
  <c r="L33" i="23"/>
  <c r="L34" i="23"/>
  <c r="Z13" i="25"/>
  <c r="Z16" i="25"/>
  <c r="Z20" i="25"/>
  <c r="X22" i="25"/>
  <c r="X24" i="25"/>
  <c r="J27" i="26"/>
  <c r="J29" i="26"/>
  <c r="J31" i="26"/>
  <c r="J33" i="26"/>
  <c r="N12" i="26"/>
  <c r="J34" i="26"/>
  <c r="J36" i="26"/>
  <c r="J18" i="26"/>
  <c r="J16" i="26"/>
  <c r="J25" i="26"/>
  <c r="J24" i="26"/>
  <c r="J22" i="26"/>
  <c r="J21" i="26"/>
  <c r="J20" i="26"/>
  <c r="H18" i="26"/>
  <c r="J15" i="26"/>
  <c r="X13" i="26"/>
  <c r="Z15" i="26"/>
  <c r="Z20" i="26"/>
  <c r="Z21" i="26"/>
  <c r="Z22" i="26"/>
  <c r="N34" i="26"/>
  <c r="L34" i="29"/>
  <c r="Z15" i="32"/>
  <c r="X22" i="34"/>
  <c r="N16" i="19"/>
  <c r="N20" i="19"/>
  <c r="L22" i="19"/>
  <c r="L24" i="19"/>
  <c r="N15" i="20"/>
  <c r="L21" i="20"/>
  <c r="X15" i="22"/>
  <c r="N25" i="22"/>
  <c r="N29" i="22"/>
  <c r="N33" i="22"/>
  <c r="N34" i="22"/>
  <c r="N13" i="23"/>
  <c r="N22" i="23"/>
  <c r="N24" i="23"/>
  <c r="Z21" i="25"/>
  <c r="X25" i="25"/>
  <c r="X29" i="25"/>
  <c r="X33" i="25"/>
  <c r="X34" i="25"/>
  <c r="Z13" i="26"/>
  <c r="Z16" i="26"/>
  <c r="L29" i="26"/>
  <c r="N33" i="26"/>
  <c r="Z34" i="29"/>
  <c r="Z34" i="32"/>
  <c r="L13" i="19"/>
  <c r="N21" i="19"/>
  <c r="L25" i="19"/>
  <c r="L29" i="19"/>
  <c r="L33" i="19"/>
  <c r="L34" i="19"/>
  <c r="N16" i="20"/>
  <c r="N20" i="20"/>
  <c r="L22" i="20"/>
  <c r="L24" i="20"/>
  <c r="L12" i="22"/>
  <c r="F36" i="22"/>
  <c r="F34" i="22"/>
  <c r="F33" i="22"/>
  <c r="F31" i="22"/>
  <c r="F29" i="22"/>
  <c r="F27" i="22"/>
  <c r="F25" i="22"/>
  <c r="F21" i="22"/>
  <c r="F20" i="22"/>
  <c r="F18" i="22"/>
  <c r="F16" i="22"/>
  <c r="D18" i="22"/>
  <c r="F15" i="22"/>
  <c r="F24" i="22"/>
  <c r="F22" i="22"/>
  <c r="X16" i="22"/>
  <c r="X20" i="22"/>
  <c r="X15" i="23"/>
  <c r="N25" i="23"/>
  <c r="N29" i="23"/>
  <c r="N33" i="23"/>
  <c r="N34" i="23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N13" i="28"/>
  <c r="N22" i="28"/>
  <c r="L25" i="29"/>
  <c r="Z13" i="31"/>
  <c r="X22" i="31"/>
  <c r="N13" i="19"/>
  <c r="N22" i="19"/>
  <c r="N24" i="19"/>
  <c r="L13" i="20"/>
  <c r="N21" i="20"/>
  <c r="L25" i="20"/>
  <c r="L29" i="20"/>
  <c r="L33" i="20"/>
  <c r="L34" i="20"/>
  <c r="N12" i="22"/>
  <c r="J36" i="22"/>
  <c r="J34" i="22"/>
  <c r="J33" i="22"/>
  <c r="J31" i="22"/>
  <c r="J29" i="22"/>
  <c r="J27" i="22"/>
  <c r="J25" i="22"/>
  <c r="J24" i="22"/>
  <c r="J22" i="22"/>
  <c r="J21" i="22"/>
  <c r="H18" i="22"/>
  <c r="J15" i="22"/>
  <c r="J16" i="22"/>
  <c r="J20" i="22"/>
  <c r="J18" i="22"/>
  <c r="X13" i="22"/>
  <c r="Z15" i="22"/>
  <c r="X21" i="22"/>
  <c r="L12" i="23"/>
  <c r="F36" i="23"/>
  <c r="F34" i="23"/>
  <c r="F33" i="23"/>
  <c r="F31" i="23"/>
  <c r="F29" i="23"/>
  <c r="F27" i="23"/>
  <c r="F25" i="23"/>
  <c r="F24" i="23"/>
  <c r="F22" i="23"/>
  <c r="F20" i="23"/>
  <c r="F18" i="23"/>
  <c r="F16" i="23"/>
  <c r="D18" i="23"/>
  <c r="F15" i="23"/>
  <c r="F21" i="23"/>
  <c r="X16" i="23"/>
  <c r="X20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R34" i="26"/>
  <c r="X12" i="26"/>
  <c r="R36" i="26"/>
  <c r="R18" i="26"/>
  <c r="R16" i="26"/>
  <c r="R22" i="26"/>
  <c r="R21" i="26"/>
  <c r="R20" i="26"/>
  <c r="P18" i="26"/>
  <c r="R15" i="26"/>
  <c r="R25" i="26"/>
  <c r="R24" i="26"/>
  <c r="R27" i="26"/>
  <c r="R29" i="26"/>
  <c r="R33" i="26"/>
  <c r="R31" i="26"/>
  <c r="L24" i="26"/>
  <c r="L25" i="26"/>
  <c r="N29" i="26"/>
  <c r="Z25" i="29"/>
  <c r="Z25" i="32"/>
  <c r="X15" i="19"/>
  <c r="N25" i="19"/>
  <c r="N29" i="19"/>
  <c r="N33" i="19"/>
  <c r="N34" i="19"/>
  <c r="N13" i="20"/>
  <c r="N22" i="20"/>
  <c r="N24" i="20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N12" i="23"/>
  <c r="H18" i="23"/>
  <c r="J15" i="23"/>
  <c r="X13" i="23"/>
  <c r="Z15" i="23"/>
  <c r="X21" i="23"/>
  <c r="L16" i="25"/>
  <c r="L20" i="25"/>
  <c r="V36" i="26"/>
  <c r="V34" i="26"/>
  <c r="V33" i="26"/>
  <c r="V31" i="26"/>
  <c r="V29" i="26"/>
  <c r="V27" i="26"/>
  <c r="V25" i="26"/>
  <c r="V18" i="26"/>
  <c r="V16" i="26"/>
  <c r="V22" i="26"/>
  <c r="V21" i="26"/>
  <c r="V20" i="26"/>
  <c r="T18" i="26"/>
  <c r="V15" i="26"/>
  <c r="V24" i="26"/>
  <c r="Z12" i="26"/>
  <c r="L15" i="26"/>
  <c r="L21" i="26"/>
  <c r="L22" i="26"/>
  <c r="X34" i="26"/>
  <c r="N24" i="28"/>
  <c r="X24" i="31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L12" i="19"/>
  <c r="D18" i="19"/>
  <c r="F15" i="19"/>
  <c r="X16" i="19"/>
  <c r="X20" i="19"/>
  <c r="X15" i="20"/>
  <c r="N25" i="20"/>
  <c r="N29" i="20"/>
  <c r="N33" i="20"/>
  <c r="N34" i="20"/>
  <c r="Z21" i="22"/>
  <c r="X25" i="22"/>
  <c r="X29" i="22"/>
  <c r="X33" i="22"/>
  <c r="X34" i="22"/>
  <c r="Z13" i="23"/>
  <c r="Z16" i="23"/>
  <c r="Z20" i="23"/>
  <c r="X22" i="23"/>
  <c r="X24" i="23"/>
  <c r="N15" i="25"/>
  <c r="L21" i="25"/>
  <c r="L16" i="26"/>
  <c r="N24" i="26"/>
  <c r="N25" i="26"/>
  <c r="X33" i="26"/>
  <c r="L16" i="28"/>
  <c r="L16" i="31"/>
  <c r="V21" i="28"/>
  <c r="V20" i="28"/>
  <c r="V18" i="28"/>
  <c r="V16" i="28"/>
  <c r="T18" i="28"/>
  <c r="V15" i="28"/>
  <c r="Z12" i="28"/>
  <c r="V24" i="28"/>
  <c r="V22" i="28"/>
  <c r="V34" i="28"/>
  <c r="V33" i="28"/>
  <c r="V31" i="28"/>
  <c r="V29" i="28"/>
  <c r="V27" i="28"/>
  <c r="V36" i="28"/>
  <c r="V25" i="28"/>
  <c r="L15" i="28"/>
  <c r="Z25" i="28"/>
  <c r="Z29" i="28"/>
  <c r="Z33" i="28"/>
  <c r="Z34" i="28"/>
  <c r="R24" i="29"/>
  <c r="R22" i="29"/>
  <c r="R21" i="29"/>
  <c r="R20" i="29"/>
  <c r="R18" i="29"/>
  <c r="R16" i="29"/>
  <c r="P18" i="29"/>
  <c r="R15" i="29"/>
  <c r="X12" i="29"/>
  <c r="R36" i="29"/>
  <c r="R34" i="29"/>
  <c r="R33" i="29"/>
  <c r="R31" i="29"/>
  <c r="R29" i="29"/>
  <c r="R27" i="29"/>
  <c r="R25" i="29"/>
  <c r="Z22" i="29"/>
  <c r="Z24" i="29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N12" i="31"/>
  <c r="X13" i="31"/>
  <c r="Z15" i="31"/>
  <c r="X21" i="31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L12" i="32"/>
  <c r="X16" i="32"/>
  <c r="X20" i="32"/>
  <c r="N20" i="34"/>
  <c r="X13" i="35"/>
  <c r="N15" i="28"/>
  <c r="L21" i="28"/>
  <c r="L16" i="29"/>
  <c r="L20" i="29"/>
  <c r="Z21" i="31"/>
  <c r="X25" i="31"/>
  <c r="X29" i="31"/>
  <c r="X33" i="31"/>
  <c r="X34" i="31"/>
  <c r="Z13" i="32"/>
  <c r="Z16" i="32"/>
  <c r="Z20" i="32"/>
  <c r="X22" i="32"/>
  <c r="X24" i="32"/>
  <c r="N16" i="34"/>
  <c r="X20" i="34"/>
  <c r="Z22" i="34"/>
  <c r="N15" i="35"/>
  <c r="Z13" i="38"/>
  <c r="N16" i="28"/>
  <c r="N20" i="28"/>
  <c r="L22" i="28"/>
  <c r="L24" i="28"/>
  <c r="N15" i="29"/>
  <c r="L21" i="29"/>
  <c r="P18" i="31"/>
  <c r="R15" i="31"/>
  <c r="R36" i="31"/>
  <c r="R34" i="31"/>
  <c r="R33" i="31"/>
  <c r="R31" i="31"/>
  <c r="R29" i="31"/>
  <c r="R27" i="31"/>
  <c r="R25" i="31"/>
  <c r="R24" i="31"/>
  <c r="R22" i="31"/>
  <c r="R20" i="31"/>
  <c r="R18" i="31"/>
  <c r="R16" i="31"/>
  <c r="X12" i="31"/>
  <c r="R21" i="31"/>
  <c r="Z22" i="31"/>
  <c r="Z24" i="31"/>
  <c r="Z21" i="32"/>
  <c r="X25" i="32"/>
  <c r="X29" i="32"/>
  <c r="X33" i="32"/>
  <c r="X34" i="32"/>
  <c r="X12" i="34"/>
  <c r="R24" i="34"/>
  <c r="R22" i="34"/>
  <c r="R20" i="34"/>
  <c r="R18" i="34"/>
  <c r="R16" i="34"/>
  <c r="R15" i="34"/>
  <c r="R29" i="34"/>
  <c r="P18" i="34"/>
  <c r="R33" i="34"/>
  <c r="R21" i="34"/>
  <c r="R36" i="34"/>
  <c r="R27" i="34"/>
  <c r="R31" i="34"/>
  <c r="R25" i="34"/>
  <c r="R34" i="34"/>
  <c r="Z20" i="34"/>
  <c r="L24" i="34"/>
  <c r="X15" i="35"/>
  <c r="N29" i="35"/>
  <c r="N34" i="35"/>
  <c r="Z21" i="37"/>
  <c r="L34" i="40"/>
  <c r="L13" i="28"/>
  <c r="N21" i="28"/>
  <c r="L25" i="28"/>
  <c r="L29" i="28"/>
  <c r="L33" i="28"/>
  <c r="L34" i="28"/>
  <c r="N16" i="29"/>
  <c r="N20" i="29"/>
  <c r="L22" i="29"/>
  <c r="L24" i="29"/>
  <c r="Z12" i="31"/>
  <c r="V24" i="31"/>
  <c r="V22" i="31"/>
  <c r="V21" i="31"/>
  <c r="V20" i="31"/>
  <c r="V18" i="31"/>
  <c r="V16" i="31"/>
  <c r="V34" i="31"/>
  <c r="V15" i="31"/>
  <c r="V33" i="31"/>
  <c r="V31" i="31"/>
  <c r="V29" i="31"/>
  <c r="V27" i="31"/>
  <c r="T18" i="31"/>
  <c r="V36" i="31"/>
  <c r="V25" i="31"/>
  <c r="L15" i="31"/>
  <c r="Z25" i="31"/>
  <c r="Z29" i="31"/>
  <c r="Z33" i="31"/>
  <c r="Z34" i="31"/>
  <c r="X12" i="32"/>
  <c r="R36" i="32"/>
  <c r="R34" i="32"/>
  <c r="R33" i="32"/>
  <c r="R31" i="32"/>
  <c r="R29" i="32"/>
  <c r="R27" i="32"/>
  <c r="R25" i="32"/>
  <c r="R24" i="32"/>
  <c r="R22" i="32"/>
  <c r="R21" i="32"/>
  <c r="P18" i="32"/>
  <c r="R15" i="32"/>
  <c r="R18" i="32"/>
  <c r="R16" i="32"/>
  <c r="R20" i="32"/>
  <c r="Z22" i="32"/>
  <c r="Z24" i="32"/>
  <c r="X16" i="34"/>
  <c r="Z15" i="35"/>
  <c r="Z16" i="38"/>
  <c r="Z33" i="41"/>
  <c r="L13" i="34"/>
  <c r="Z16" i="34"/>
  <c r="L33" i="34"/>
  <c r="X29" i="35"/>
  <c r="X34" i="35"/>
  <c r="D18" i="41"/>
  <c r="F15" i="41"/>
  <c r="F31" i="41"/>
  <c r="F20" i="41"/>
  <c r="F21" i="41"/>
  <c r="F22" i="41"/>
  <c r="F33" i="41"/>
  <c r="F24" i="41"/>
  <c r="F25" i="41"/>
  <c r="F34" i="41"/>
  <c r="F27" i="41"/>
  <c r="F16" i="41"/>
  <c r="L12" i="41"/>
  <c r="F18" i="41"/>
  <c r="F36" i="41"/>
  <c r="F29" i="41"/>
  <c r="X15" i="28"/>
  <c r="N25" i="28"/>
  <c r="N29" i="28"/>
  <c r="N33" i="28"/>
  <c r="N34" i="28"/>
  <c r="N13" i="29"/>
  <c r="N22" i="29"/>
  <c r="N24" i="29"/>
  <c r="N15" i="31"/>
  <c r="L21" i="31"/>
  <c r="L16" i="32"/>
  <c r="L20" i="32"/>
  <c r="N21" i="34"/>
  <c r="X24" i="34"/>
  <c r="L21" i="35"/>
  <c r="X25" i="37"/>
  <c r="Z20" i="38"/>
  <c r="L20" i="26"/>
  <c r="L12" i="28"/>
  <c r="F24" i="28"/>
  <c r="F22" i="28"/>
  <c r="F21" i="28"/>
  <c r="F20" i="28"/>
  <c r="F18" i="28"/>
  <c r="F16" i="28"/>
  <c r="F34" i="28"/>
  <c r="F15" i="28"/>
  <c r="F33" i="28"/>
  <c r="F31" i="28"/>
  <c r="F29" i="28"/>
  <c r="F27" i="28"/>
  <c r="F36" i="28"/>
  <c r="F25" i="28"/>
  <c r="D18" i="28"/>
  <c r="X16" i="28"/>
  <c r="X20" i="28"/>
  <c r="X15" i="29"/>
  <c r="N25" i="29"/>
  <c r="N29" i="29"/>
  <c r="N33" i="29"/>
  <c r="N34" i="29"/>
  <c r="N16" i="31"/>
  <c r="N20" i="31"/>
  <c r="L22" i="31"/>
  <c r="L24" i="31"/>
  <c r="N15" i="32"/>
  <c r="L21" i="32"/>
  <c r="Z13" i="34"/>
  <c r="Z24" i="34"/>
  <c r="L29" i="34"/>
  <c r="N25" i="35"/>
  <c r="N12" i="28"/>
  <c r="J36" i="28"/>
  <c r="J34" i="28"/>
  <c r="J33" i="28"/>
  <c r="J31" i="28"/>
  <c r="J29" i="28"/>
  <c r="J27" i="28"/>
  <c r="J25" i="28"/>
  <c r="J24" i="28"/>
  <c r="J22" i="28"/>
  <c r="J20" i="28"/>
  <c r="J18" i="28"/>
  <c r="J16" i="28"/>
  <c r="H18" i="28"/>
  <c r="J15" i="28"/>
  <c r="J21" i="28"/>
  <c r="X13" i="28"/>
  <c r="Z15" i="28"/>
  <c r="X21" i="28"/>
  <c r="L12" i="29"/>
  <c r="F36" i="29"/>
  <c r="F34" i="29"/>
  <c r="F33" i="29"/>
  <c r="F31" i="29"/>
  <c r="F29" i="29"/>
  <c r="F27" i="29"/>
  <c r="F25" i="29"/>
  <c r="F21" i="29"/>
  <c r="F20" i="29"/>
  <c r="F18" i="29"/>
  <c r="F16" i="29"/>
  <c r="D18" i="29"/>
  <c r="F15" i="29"/>
  <c r="F24" i="29"/>
  <c r="F22" i="29"/>
  <c r="X16" i="29"/>
  <c r="X20" i="29"/>
  <c r="L13" i="31"/>
  <c r="N21" i="31"/>
  <c r="L25" i="31"/>
  <c r="L29" i="31"/>
  <c r="L33" i="31"/>
  <c r="L34" i="31"/>
  <c r="N16" i="32"/>
  <c r="N20" i="32"/>
  <c r="L22" i="32"/>
  <c r="L24" i="32"/>
  <c r="J20" i="35"/>
  <c r="J18" i="35"/>
  <c r="J16" i="35"/>
  <c r="H18" i="35"/>
  <c r="J15" i="35"/>
  <c r="J36" i="35"/>
  <c r="J34" i="35"/>
  <c r="J33" i="35"/>
  <c r="J31" i="35"/>
  <c r="J29" i="35"/>
  <c r="J27" i="35"/>
  <c r="J25" i="35"/>
  <c r="J21" i="35"/>
  <c r="J22" i="35"/>
  <c r="N12" i="35"/>
  <c r="J24" i="35"/>
  <c r="X21" i="35"/>
  <c r="X29" i="37"/>
  <c r="X22" i="38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1" i="29"/>
  <c r="H18" i="29"/>
  <c r="J15" i="29"/>
  <c r="J18" i="29"/>
  <c r="J16" i="29"/>
  <c r="J20" i="29"/>
  <c r="X13" i="29"/>
  <c r="Z15" i="29"/>
  <c r="X21" i="29"/>
  <c r="N13" i="31"/>
  <c r="N22" i="31"/>
  <c r="N24" i="31"/>
  <c r="L13" i="32"/>
  <c r="N21" i="32"/>
  <c r="L25" i="32"/>
  <c r="L29" i="32"/>
  <c r="L33" i="32"/>
  <c r="L34" i="32"/>
  <c r="L25" i="34"/>
  <c r="Z21" i="35"/>
  <c r="X25" i="35"/>
  <c r="X24" i="38"/>
  <c r="Z21" i="28"/>
  <c r="X25" i="28"/>
  <c r="X29" i="28"/>
  <c r="X33" i="28"/>
  <c r="X34" i="28"/>
  <c r="Z13" i="29"/>
  <c r="Z16" i="29"/>
  <c r="Z20" i="29"/>
  <c r="X22" i="29"/>
  <c r="X24" i="29"/>
  <c r="X15" i="31"/>
  <c r="N25" i="31"/>
  <c r="N29" i="31"/>
  <c r="N33" i="31"/>
  <c r="N34" i="31"/>
  <c r="N13" i="32"/>
  <c r="N22" i="32"/>
  <c r="N24" i="32"/>
  <c r="L22" i="34"/>
  <c r="L34" i="34"/>
  <c r="X33" i="37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X12" i="28"/>
  <c r="Z22" i="28"/>
  <c r="Z24" i="28"/>
  <c r="Z21" i="29"/>
  <c r="X25" i="29"/>
  <c r="X29" i="29"/>
  <c r="X33" i="29"/>
  <c r="X34" i="29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F15" i="31"/>
  <c r="L12" i="31"/>
  <c r="D18" i="31"/>
  <c r="X16" i="31"/>
  <c r="X20" i="31"/>
  <c r="X15" i="32"/>
  <c r="N25" i="32"/>
  <c r="N29" i="32"/>
  <c r="N33" i="32"/>
  <c r="N34" i="32"/>
  <c r="N33" i="35"/>
  <c r="X34" i="37"/>
  <c r="N25" i="40"/>
  <c r="X15" i="34"/>
  <c r="N25" i="34"/>
  <c r="N29" i="34"/>
  <c r="N33" i="34"/>
  <c r="N34" i="34"/>
  <c r="N13" i="35"/>
  <c r="N22" i="35"/>
  <c r="N24" i="35"/>
  <c r="Z13" i="37"/>
  <c r="Z16" i="37"/>
  <c r="Z20" i="37"/>
  <c r="X22" i="37"/>
  <c r="X24" i="37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H18" i="38"/>
  <c r="J15" i="38"/>
  <c r="N12" i="38"/>
  <c r="X13" i="38"/>
  <c r="Z15" i="38"/>
  <c r="X21" i="38"/>
  <c r="T18" i="40"/>
  <c r="V15" i="40"/>
  <c r="Z12" i="40"/>
  <c r="V33" i="40"/>
  <c r="V21" i="40"/>
  <c r="V22" i="40"/>
  <c r="V34" i="40"/>
  <c r="V24" i="40"/>
  <c r="V36" i="40"/>
  <c r="V25" i="40"/>
  <c r="V27" i="40"/>
  <c r="V16" i="40"/>
  <c r="V29" i="40"/>
  <c r="V18" i="40"/>
  <c r="V20" i="40"/>
  <c r="V31" i="40"/>
  <c r="L24" i="40"/>
  <c r="X29" i="40"/>
  <c r="Z13" i="41"/>
  <c r="X22" i="41"/>
  <c r="Z24" i="41"/>
  <c r="L29" i="41"/>
  <c r="J21" i="34"/>
  <c r="N12" i="34"/>
  <c r="J24" i="34"/>
  <c r="J22" i="34"/>
  <c r="J34" i="34"/>
  <c r="J25" i="34"/>
  <c r="J15" i="34"/>
  <c r="J29" i="34"/>
  <c r="J18" i="34"/>
  <c r="H18" i="34"/>
  <c r="J33" i="34"/>
  <c r="J36" i="34"/>
  <c r="J27" i="34"/>
  <c r="J16" i="34"/>
  <c r="J31" i="34"/>
  <c r="J20" i="34"/>
  <c r="X13" i="34"/>
  <c r="Z15" i="34"/>
  <c r="X21" i="34"/>
  <c r="F24" i="35"/>
  <c r="F22" i="35"/>
  <c r="F21" i="35"/>
  <c r="D18" i="35"/>
  <c r="F15" i="35"/>
  <c r="L12" i="35"/>
  <c r="F36" i="35"/>
  <c r="F34" i="35"/>
  <c r="F33" i="35"/>
  <c r="F31" i="35"/>
  <c r="F29" i="35"/>
  <c r="F27" i="35"/>
  <c r="F25" i="35"/>
  <c r="F18" i="35"/>
  <c r="F16" i="35"/>
  <c r="F20" i="35"/>
  <c r="X16" i="35"/>
  <c r="X20" i="35"/>
  <c r="R20" i="37"/>
  <c r="R18" i="37"/>
  <c r="R16" i="37"/>
  <c r="P18" i="37"/>
  <c r="R15" i="37"/>
  <c r="X12" i="37"/>
  <c r="R36" i="37"/>
  <c r="R34" i="37"/>
  <c r="R33" i="37"/>
  <c r="R31" i="37"/>
  <c r="R29" i="37"/>
  <c r="R27" i="37"/>
  <c r="R25" i="37"/>
  <c r="R21" i="37"/>
  <c r="R24" i="37"/>
  <c r="R22" i="37"/>
  <c r="Z22" i="37"/>
  <c r="Z24" i="37"/>
  <c r="Z21" i="38"/>
  <c r="X25" i="38"/>
  <c r="X29" i="38"/>
  <c r="X33" i="38"/>
  <c r="X34" i="38"/>
  <c r="X16" i="40"/>
  <c r="L22" i="40"/>
  <c r="N24" i="40"/>
  <c r="Z29" i="40"/>
  <c r="Z22" i="41"/>
  <c r="N29" i="41"/>
  <c r="Z12" i="37"/>
  <c r="V36" i="37"/>
  <c r="V34" i="37"/>
  <c r="V33" i="37"/>
  <c r="V31" i="37"/>
  <c r="V29" i="37"/>
  <c r="V27" i="37"/>
  <c r="V25" i="37"/>
  <c r="V24" i="37"/>
  <c r="V22" i="37"/>
  <c r="V21" i="37"/>
  <c r="T18" i="37"/>
  <c r="V15" i="37"/>
  <c r="V20" i="37"/>
  <c r="V16" i="37"/>
  <c r="V18" i="37"/>
  <c r="L15" i="37"/>
  <c r="Z25" i="37"/>
  <c r="Z29" i="37"/>
  <c r="Z33" i="37"/>
  <c r="Z34" i="37"/>
  <c r="P18" i="38"/>
  <c r="R15" i="38"/>
  <c r="X12" i="38"/>
  <c r="R36" i="38"/>
  <c r="R34" i="38"/>
  <c r="R33" i="38"/>
  <c r="R31" i="38"/>
  <c r="R29" i="38"/>
  <c r="R27" i="38"/>
  <c r="R25" i="38"/>
  <c r="R24" i="38"/>
  <c r="R22" i="38"/>
  <c r="R20" i="38"/>
  <c r="R18" i="38"/>
  <c r="R16" i="38"/>
  <c r="R21" i="38"/>
  <c r="Z22" i="38"/>
  <c r="Z24" i="38"/>
  <c r="L13" i="40"/>
  <c r="X15" i="40"/>
  <c r="L33" i="40"/>
  <c r="N34" i="40"/>
  <c r="L15" i="41"/>
  <c r="N16" i="41"/>
  <c r="X20" i="41"/>
  <c r="Z21" i="41"/>
  <c r="Z21" i="34"/>
  <c r="X25" i="34"/>
  <c r="X29" i="34"/>
  <c r="X33" i="34"/>
  <c r="X34" i="34"/>
  <c r="Z13" i="35"/>
  <c r="Z16" i="35"/>
  <c r="Z20" i="35"/>
  <c r="X22" i="35"/>
  <c r="X24" i="35"/>
  <c r="L16" i="37"/>
  <c r="L20" i="37"/>
  <c r="Z12" i="38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T18" i="38"/>
  <c r="V15" i="38"/>
  <c r="L15" i="38"/>
  <c r="Z25" i="38"/>
  <c r="Z29" i="38"/>
  <c r="Z33" i="38"/>
  <c r="Z34" i="38"/>
  <c r="N13" i="40"/>
  <c r="N22" i="40"/>
  <c r="X25" i="40"/>
  <c r="R20" i="41"/>
  <c r="R18" i="41"/>
  <c r="R16" i="41"/>
  <c r="X12" i="41"/>
  <c r="R24" i="41"/>
  <c r="R25" i="41"/>
  <c r="R34" i="41"/>
  <c r="R15" i="41"/>
  <c r="R27" i="41"/>
  <c r="R36" i="41"/>
  <c r="R29" i="41"/>
  <c r="P18" i="41"/>
  <c r="R31" i="41"/>
  <c r="R21" i="41"/>
  <c r="R33" i="41"/>
  <c r="R22" i="41"/>
  <c r="N15" i="41"/>
  <c r="Z20" i="41"/>
  <c r="L25" i="41"/>
  <c r="N15" i="37"/>
  <c r="L21" i="37"/>
  <c r="L16" i="38"/>
  <c r="L20" i="38"/>
  <c r="Z15" i="40"/>
  <c r="L20" i="40"/>
  <c r="N21" i="40"/>
  <c r="N33" i="40"/>
  <c r="V36" i="41"/>
  <c r="V34" i="41"/>
  <c r="V33" i="41"/>
  <c r="V31" i="41"/>
  <c r="V29" i="41"/>
  <c r="V27" i="41"/>
  <c r="V25" i="41"/>
  <c r="V15" i="41"/>
  <c r="V16" i="41"/>
  <c r="V18" i="41"/>
  <c r="T18" i="41"/>
  <c r="Z12" i="41"/>
  <c r="V20" i="41"/>
  <c r="V21" i="41"/>
  <c r="V22" i="41"/>
  <c r="V24" i="41"/>
  <c r="L24" i="41"/>
  <c r="X29" i="41"/>
  <c r="N34" i="41"/>
  <c r="Z25" i="44"/>
  <c r="Z12" i="34"/>
  <c r="V36" i="34"/>
  <c r="V34" i="34"/>
  <c r="V33" i="34"/>
  <c r="V31" i="34"/>
  <c r="V29" i="34"/>
  <c r="V27" i="34"/>
  <c r="V25" i="34"/>
  <c r="V24" i="34"/>
  <c r="V22" i="34"/>
  <c r="V20" i="34"/>
  <c r="V18" i="34"/>
  <c r="V16" i="34"/>
  <c r="T18" i="34"/>
  <c r="V21" i="34"/>
  <c r="V15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1" i="35"/>
  <c r="P18" i="35"/>
  <c r="R15" i="35"/>
  <c r="R16" i="35"/>
  <c r="R24" i="35"/>
  <c r="R20" i="35"/>
  <c r="R18" i="35"/>
  <c r="R22" i="35"/>
  <c r="Z22" i="35"/>
  <c r="Z24" i="35"/>
  <c r="N16" i="37"/>
  <c r="N20" i="37"/>
  <c r="L22" i="37"/>
  <c r="L24" i="37"/>
  <c r="N15" i="38"/>
  <c r="L21" i="38"/>
  <c r="N20" i="40"/>
  <c r="Z25" i="40"/>
  <c r="X34" i="40"/>
  <c r="N25" i="41"/>
  <c r="L16" i="43"/>
  <c r="N15" i="47"/>
  <c r="L16" i="34"/>
  <c r="L20" i="34"/>
  <c r="V36" i="35"/>
  <c r="V34" i="35"/>
  <c r="V33" i="35"/>
  <c r="V31" i="35"/>
  <c r="V29" i="35"/>
  <c r="V27" i="35"/>
  <c r="V25" i="35"/>
  <c r="V24" i="35"/>
  <c r="V22" i="35"/>
  <c r="V21" i="35"/>
  <c r="T18" i="35"/>
  <c r="V15" i="35"/>
  <c r="Z12" i="35"/>
  <c r="V16" i="35"/>
  <c r="V20" i="35"/>
  <c r="V18" i="35"/>
  <c r="L15" i="35"/>
  <c r="Z25" i="35"/>
  <c r="Z29" i="35"/>
  <c r="Z33" i="35"/>
  <c r="Z34" i="35"/>
  <c r="L13" i="37"/>
  <c r="N21" i="37"/>
  <c r="L25" i="37"/>
  <c r="L29" i="37"/>
  <c r="L33" i="37"/>
  <c r="L34" i="37"/>
  <c r="N16" i="38"/>
  <c r="N20" i="38"/>
  <c r="L22" i="38"/>
  <c r="L24" i="38"/>
  <c r="X13" i="40"/>
  <c r="Z24" i="40"/>
  <c r="L29" i="40"/>
  <c r="X16" i="41"/>
  <c r="L22" i="41"/>
  <c r="N24" i="41"/>
  <c r="Z29" i="41"/>
  <c r="Z29" i="44"/>
  <c r="N15" i="34"/>
  <c r="L21" i="34"/>
  <c r="L16" i="35"/>
  <c r="L20" i="35"/>
  <c r="N13" i="37"/>
  <c r="N22" i="37"/>
  <c r="N24" i="37"/>
  <c r="L13" i="38"/>
  <c r="N21" i="38"/>
  <c r="L25" i="38"/>
  <c r="L29" i="38"/>
  <c r="L33" i="38"/>
  <c r="L34" i="38"/>
  <c r="L12" i="40"/>
  <c r="F20" i="40"/>
  <c r="F18" i="40"/>
  <c r="F16" i="40"/>
  <c r="F15" i="40"/>
  <c r="F27" i="40"/>
  <c r="F29" i="40"/>
  <c r="D18" i="40"/>
  <c r="F31" i="40"/>
  <c r="F33" i="40"/>
  <c r="F21" i="40"/>
  <c r="F22" i="40"/>
  <c r="F34" i="40"/>
  <c r="F36" i="40"/>
  <c r="F25" i="40"/>
  <c r="F24" i="40"/>
  <c r="X33" i="40"/>
  <c r="Z34" i="40"/>
  <c r="L13" i="41"/>
  <c r="X15" i="41"/>
  <c r="Z16" i="41"/>
  <c r="L21" i="41"/>
  <c r="N33" i="41"/>
  <c r="X34" i="41"/>
  <c r="L20" i="43"/>
  <c r="V20" i="44"/>
  <c r="V18" i="44"/>
  <c r="V16" i="44"/>
  <c r="T18" i="44"/>
  <c r="V15" i="44"/>
  <c r="Z12" i="44"/>
  <c r="V36" i="44"/>
  <c r="V34" i="44"/>
  <c r="V33" i="44"/>
  <c r="V31" i="44"/>
  <c r="V29" i="44"/>
  <c r="V27" i="44"/>
  <c r="V25" i="44"/>
  <c r="V21" i="44"/>
  <c r="V24" i="44"/>
  <c r="V22" i="44"/>
  <c r="L21" i="47"/>
  <c r="X15" i="37"/>
  <c r="N25" i="37"/>
  <c r="N29" i="37"/>
  <c r="N33" i="37"/>
  <c r="N34" i="37"/>
  <c r="N13" i="38"/>
  <c r="N22" i="38"/>
  <c r="N24" i="38"/>
  <c r="J16" i="40"/>
  <c r="J29" i="40"/>
  <c r="N12" i="40"/>
  <c r="J18" i="40"/>
  <c r="J31" i="40"/>
  <c r="H18" i="40"/>
  <c r="J20" i="40"/>
  <c r="J33" i="40"/>
  <c r="J21" i="40"/>
  <c r="J22" i="40"/>
  <c r="J34" i="40"/>
  <c r="J24" i="40"/>
  <c r="J36" i="40"/>
  <c r="J25" i="40"/>
  <c r="J27" i="40"/>
  <c r="J15" i="40"/>
  <c r="L16" i="40"/>
  <c r="X21" i="40"/>
  <c r="Z22" i="40"/>
  <c r="N29" i="40"/>
  <c r="N13" i="41"/>
  <c r="N22" i="41"/>
  <c r="X25" i="41"/>
  <c r="L15" i="44"/>
  <c r="Z33" i="44"/>
  <c r="N16" i="35"/>
  <c r="N20" i="35"/>
  <c r="L22" i="35"/>
  <c r="L24" i="35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6" i="37"/>
  <c r="X20" i="37"/>
  <c r="X15" i="38"/>
  <c r="N25" i="38"/>
  <c r="N29" i="38"/>
  <c r="N33" i="38"/>
  <c r="N34" i="38"/>
  <c r="L15" i="40"/>
  <c r="N16" i="40"/>
  <c r="X20" i="40"/>
  <c r="Z21" i="40"/>
  <c r="Z33" i="40"/>
  <c r="N21" i="41"/>
  <c r="X24" i="41"/>
  <c r="Z34" i="41"/>
  <c r="Z34" i="44"/>
  <c r="X15" i="46"/>
  <c r="X20" i="50"/>
  <c r="N13" i="34"/>
  <c r="N22" i="34"/>
  <c r="N24" i="34"/>
  <c r="L13" i="35"/>
  <c r="N21" i="35"/>
  <c r="L25" i="35"/>
  <c r="L29" i="35"/>
  <c r="L33" i="35"/>
  <c r="L34" i="35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N12" i="37"/>
  <c r="X13" i="37"/>
  <c r="Z15" i="37"/>
  <c r="X21" i="37"/>
  <c r="F36" i="38"/>
  <c r="F34" i="38"/>
  <c r="F33" i="38"/>
  <c r="F31" i="38"/>
  <c r="F29" i="38"/>
  <c r="F27" i="38"/>
  <c r="F25" i="38"/>
  <c r="F24" i="38"/>
  <c r="F22" i="38"/>
  <c r="F21" i="38"/>
  <c r="F20" i="38"/>
  <c r="F18" i="38"/>
  <c r="F16" i="38"/>
  <c r="D18" i="38"/>
  <c r="F15" i="38"/>
  <c r="L12" i="38"/>
  <c r="X16" i="38"/>
  <c r="X20" i="38"/>
  <c r="R21" i="40"/>
  <c r="R31" i="40"/>
  <c r="R20" i="40"/>
  <c r="R33" i="40"/>
  <c r="R22" i="40"/>
  <c r="R34" i="40"/>
  <c r="R24" i="40"/>
  <c r="R36" i="40"/>
  <c r="R25" i="40"/>
  <c r="R15" i="40"/>
  <c r="R27" i="40"/>
  <c r="R16" i="40"/>
  <c r="P18" i="40"/>
  <c r="R18" i="40"/>
  <c r="X12" i="40"/>
  <c r="R29" i="40"/>
  <c r="L25" i="40"/>
  <c r="N20" i="41"/>
  <c r="Z25" i="41"/>
  <c r="X33" i="41"/>
  <c r="N15" i="40"/>
  <c r="L21" i="40"/>
  <c r="L16" i="41"/>
  <c r="L20" i="41"/>
  <c r="V21" i="43"/>
  <c r="V20" i="43"/>
  <c r="V18" i="43"/>
  <c r="V16" i="43"/>
  <c r="T18" i="43"/>
  <c r="V15" i="43"/>
  <c r="Z12" i="43"/>
  <c r="V24" i="43"/>
  <c r="V22" i="43"/>
  <c r="V36" i="43"/>
  <c r="V34" i="43"/>
  <c r="V33" i="43"/>
  <c r="V31" i="43"/>
  <c r="V29" i="43"/>
  <c r="V27" i="43"/>
  <c r="V25" i="43"/>
  <c r="L15" i="43"/>
  <c r="Z25" i="43"/>
  <c r="Z29" i="43"/>
  <c r="Z33" i="43"/>
  <c r="Z34" i="43"/>
  <c r="R24" i="44"/>
  <c r="R22" i="44"/>
  <c r="R21" i="44"/>
  <c r="R20" i="44"/>
  <c r="R18" i="44"/>
  <c r="R16" i="44"/>
  <c r="P18" i="44"/>
  <c r="R15" i="44"/>
  <c r="X12" i="44"/>
  <c r="R36" i="44"/>
  <c r="R34" i="44"/>
  <c r="R33" i="44"/>
  <c r="R31" i="44"/>
  <c r="R29" i="44"/>
  <c r="R27" i="44"/>
  <c r="R25" i="44"/>
  <c r="Z22" i="44"/>
  <c r="Z24" i="44"/>
  <c r="F24" i="46"/>
  <c r="F22" i="46"/>
  <c r="D18" i="46"/>
  <c r="F15" i="46"/>
  <c r="L12" i="46"/>
  <c r="F36" i="46"/>
  <c r="F33" i="46"/>
  <c r="F29" i="46"/>
  <c r="F25" i="46"/>
  <c r="F20" i="46"/>
  <c r="F16" i="46"/>
  <c r="F34" i="46"/>
  <c r="F31" i="46"/>
  <c r="F27" i="46"/>
  <c r="F18" i="46"/>
  <c r="F21" i="46"/>
  <c r="L21" i="46"/>
  <c r="L25" i="49"/>
  <c r="N20" i="50"/>
  <c r="X21" i="52"/>
  <c r="N15" i="43"/>
  <c r="L21" i="43"/>
  <c r="L16" i="44"/>
  <c r="L20" i="44"/>
  <c r="V36" i="46"/>
  <c r="V34" i="46"/>
  <c r="V33" i="46"/>
  <c r="V31" i="46"/>
  <c r="V29" i="46"/>
  <c r="V27" i="46"/>
  <c r="V25" i="46"/>
  <c r="V21" i="46"/>
  <c r="T18" i="46"/>
  <c r="V15" i="46"/>
  <c r="V22" i="46"/>
  <c r="V20" i="46"/>
  <c r="V16" i="46"/>
  <c r="V24" i="46"/>
  <c r="V18" i="46"/>
  <c r="Z12" i="46"/>
  <c r="N24" i="46"/>
  <c r="N21" i="47"/>
  <c r="L34" i="47"/>
  <c r="Z25" i="52"/>
  <c r="L33" i="41"/>
  <c r="L34" i="41"/>
  <c r="N16" i="43"/>
  <c r="N20" i="43"/>
  <c r="L22" i="43"/>
  <c r="L24" i="43"/>
  <c r="N15" i="44"/>
  <c r="L21" i="44"/>
  <c r="X15" i="47"/>
  <c r="N34" i="47"/>
  <c r="D18" i="50"/>
  <c r="F15" i="50"/>
  <c r="L12" i="50"/>
  <c r="F36" i="50"/>
  <c r="F34" i="50"/>
  <c r="F33" i="50"/>
  <c r="F31" i="50"/>
  <c r="F29" i="50"/>
  <c r="F27" i="50"/>
  <c r="F25" i="50"/>
  <c r="F24" i="50"/>
  <c r="F22" i="50"/>
  <c r="F20" i="50"/>
  <c r="F18" i="50"/>
  <c r="F16" i="50"/>
  <c r="F21" i="50"/>
  <c r="X29" i="52"/>
  <c r="L13" i="43"/>
  <c r="N21" i="43"/>
  <c r="L25" i="43"/>
  <c r="L29" i="43"/>
  <c r="L33" i="43"/>
  <c r="L34" i="43"/>
  <c r="N16" i="44"/>
  <c r="N20" i="44"/>
  <c r="L22" i="44"/>
  <c r="L24" i="44"/>
  <c r="Z21" i="46"/>
  <c r="X34" i="46"/>
  <c r="X24" i="47"/>
  <c r="L29" i="49"/>
  <c r="L22" i="50"/>
  <c r="N13" i="43"/>
  <c r="N22" i="43"/>
  <c r="N24" i="43"/>
  <c r="L13" i="44"/>
  <c r="N21" i="44"/>
  <c r="L25" i="44"/>
  <c r="L29" i="44"/>
  <c r="L33" i="44"/>
  <c r="L34" i="44"/>
  <c r="N13" i="46"/>
  <c r="Z34" i="46"/>
  <c r="P18" i="47"/>
  <c r="R15" i="47"/>
  <c r="R36" i="47"/>
  <c r="R24" i="47"/>
  <c r="R22" i="47"/>
  <c r="R20" i="47"/>
  <c r="R18" i="47"/>
  <c r="R16" i="47"/>
  <c r="R33" i="47"/>
  <c r="R29" i="47"/>
  <c r="R25" i="47"/>
  <c r="X12" i="47"/>
  <c r="R34" i="47"/>
  <c r="R31" i="47"/>
  <c r="R27" i="47"/>
  <c r="R21" i="47"/>
  <c r="Z24" i="47"/>
  <c r="X15" i="43"/>
  <c r="N25" i="43"/>
  <c r="N29" i="43"/>
  <c r="N33" i="43"/>
  <c r="N34" i="43"/>
  <c r="N13" i="44"/>
  <c r="N22" i="44"/>
  <c r="N24" i="44"/>
  <c r="N16" i="46"/>
  <c r="L16" i="47"/>
  <c r="L20" i="47"/>
  <c r="N12" i="49"/>
  <c r="J36" i="49"/>
  <c r="J34" i="49"/>
  <c r="J33" i="49"/>
  <c r="J31" i="49"/>
  <c r="J29" i="49"/>
  <c r="J27" i="49"/>
  <c r="J25" i="49"/>
  <c r="J24" i="49"/>
  <c r="J22" i="49"/>
  <c r="J21" i="49"/>
  <c r="H18" i="49"/>
  <c r="J15" i="49"/>
  <c r="J20" i="49"/>
  <c r="J18" i="49"/>
  <c r="J16" i="49"/>
  <c r="N21" i="49"/>
  <c r="L24" i="50"/>
  <c r="Z13" i="40"/>
  <c r="Z16" i="40"/>
  <c r="Z20" i="40"/>
  <c r="X22" i="40"/>
  <c r="X24" i="40"/>
  <c r="J21" i="41"/>
  <c r="J22" i="41"/>
  <c r="J33" i="41"/>
  <c r="J24" i="41"/>
  <c r="J25" i="41"/>
  <c r="J34" i="41"/>
  <c r="J27" i="41"/>
  <c r="J15" i="41"/>
  <c r="J16" i="41"/>
  <c r="J36" i="41"/>
  <c r="J29" i="41"/>
  <c r="N12" i="41"/>
  <c r="J18" i="41"/>
  <c r="J31" i="41"/>
  <c r="J20" i="41"/>
  <c r="H18" i="41"/>
  <c r="X13" i="41"/>
  <c r="Z15" i="41"/>
  <c r="X21" i="41"/>
  <c r="L12" i="43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D18" i="43"/>
  <c r="F15" i="43"/>
  <c r="X16" i="43"/>
  <c r="X20" i="43"/>
  <c r="X15" i="44"/>
  <c r="N25" i="44"/>
  <c r="N29" i="44"/>
  <c r="N33" i="44"/>
  <c r="N34" i="44"/>
  <c r="N20" i="46"/>
  <c r="L22" i="46"/>
  <c r="X12" i="49"/>
  <c r="R36" i="49"/>
  <c r="R34" i="49"/>
  <c r="R33" i="49"/>
  <c r="R31" i="49"/>
  <c r="R29" i="49"/>
  <c r="R27" i="49"/>
  <c r="R25" i="49"/>
  <c r="R24" i="49"/>
  <c r="R22" i="49"/>
  <c r="R21" i="49"/>
  <c r="P18" i="49"/>
  <c r="R15" i="49"/>
  <c r="R20" i="49"/>
  <c r="R18" i="49"/>
  <c r="R16" i="49"/>
  <c r="X21" i="49"/>
  <c r="N12" i="43"/>
  <c r="J36" i="43"/>
  <c r="J34" i="43"/>
  <c r="J33" i="43"/>
  <c r="J31" i="43"/>
  <c r="J29" i="43"/>
  <c r="J27" i="43"/>
  <c r="J25" i="43"/>
  <c r="J24" i="43"/>
  <c r="J22" i="43"/>
  <c r="J21" i="43"/>
  <c r="J20" i="43"/>
  <c r="J18" i="43"/>
  <c r="J16" i="43"/>
  <c r="H18" i="43"/>
  <c r="J15" i="43"/>
  <c r="X13" i="43"/>
  <c r="Z15" i="43"/>
  <c r="X21" i="43"/>
  <c r="L12" i="44"/>
  <c r="F36" i="44"/>
  <c r="F34" i="44"/>
  <c r="F33" i="44"/>
  <c r="F31" i="44"/>
  <c r="F29" i="44"/>
  <c r="F27" i="44"/>
  <c r="F25" i="44"/>
  <c r="F24" i="44"/>
  <c r="F22" i="44"/>
  <c r="F21" i="44"/>
  <c r="F20" i="44"/>
  <c r="F18" i="44"/>
  <c r="F16" i="44"/>
  <c r="D18" i="44"/>
  <c r="F15" i="44"/>
  <c r="X16" i="44"/>
  <c r="X20" i="44"/>
  <c r="N22" i="46"/>
  <c r="L13" i="47"/>
  <c r="L25" i="47"/>
  <c r="L29" i="47"/>
  <c r="L33" i="47"/>
  <c r="L13" i="49"/>
  <c r="L33" i="49"/>
  <c r="N16" i="50"/>
  <c r="J24" i="52"/>
  <c r="J22" i="52"/>
  <c r="J36" i="52"/>
  <c r="J34" i="52"/>
  <c r="J33" i="52"/>
  <c r="J31" i="52"/>
  <c r="J29" i="52"/>
  <c r="J27" i="52"/>
  <c r="J25" i="52"/>
  <c r="J21" i="52"/>
  <c r="J16" i="52"/>
  <c r="J18" i="52"/>
  <c r="H18" i="52"/>
  <c r="J20" i="52"/>
  <c r="N12" i="52"/>
  <c r="J15" i="52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24" i="44"/>
  <c r="J22" i="44"/>
  <c r="J21" i="44"/>
  <c r="J20" i="44"/>
  <c r="J18" i="44"/>
  <c r="J16" i="44"/>
  <c r="H18" i="44"/>
  <c r="J15" i="44"/>
  <c r="X13" i="44"/>
  <c r="Z15" i="44"/>
  <c r="X21" i="44"/>
  <c r="L15" i="46"/>
  <c r="X16" i="46"/>
  <c r="X20" i="46"/>
  <c r="N25" i="47"/>
  <c r="N29" i="47"/>
  <c r="N33" i="47"/>
  <c r="X13" i="49"/>
  <c r="X16" i="50"/>
  <c r="Z21" i="43"/>
  <c r="X25" i="43"/>
  <c r="X29" i="43"/>
  <c r="X33" i="43"/>
  <c r="X34" i="43"/>
  <c r="Z13" i="44"/>
  <c r="Z16" i="44"/>
  <c r="Z20" i="44"/>
  <c r="X22" i="44"/>
  <c r="X24" i="44"/>
  <c r="N15" i="46"/>
  <c r="X25" i="46"/>
  <c r="X29" i="46"/>
  <c r="X33" i="46"/>
  <c r="Z13" i="47"/>
  <c r="Z16" i="47"/>
  <c r="Z20" i="47"/>
  <c r="X22" i="47"/>
  <c r="L34" i="49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X12" i="43"/>
  <c r="Z22" i="43"/>
  <c r="Z24" i="43"/>
  <c r="Z21" i="44"/>
  <c r="X25" i="44"/>
  <c r="X29" i="44"/>
  <c r="X33" i="44"/>
  <c r="X34" i="44"/>
  <c r="Z25" i="46"/>
  <c r="Z29" i="46"/>
  <c r="Z33" i="46"/>
  <c r="Z22" i="47"/>
  <c r="Z15" i="49"/>
  <c r="N20" i="52"/>
  <c r="Z13" i="46"/>
  <c r="Z16" i="46"/>
  <c r="Z20" i="46"/>
  <c r="X22" i="46"/>
  <c r="X24" i="46"/>
  <c r="J36" i="47"/>
  <c r="J34" i="47"/>
  <c r="J33" i="47"/>
  <c r="J31" i="47"/>
  <c r="J29" i="47"/>
  <c r="J27" i="47"/>
  <c r="J25" i="47"/>
  <c r="J21" i="47"/>
  <c r="H18" i="47"/>
  <c r="J15" i="47"/>
  <c r="N12" i="47"/>
  <c r="J22" i="47"/>
  <c r="J20" i="47"/>
  <c r="J16" i="47"/>
  <c r="J24" i="47"/>
  <c r="J18" i="47"/>
  <c r="X13" i="47"/>
  <c r="Z15" i="47"/>
  <c r="X21" i="47"/>
  <c r="N16" i="49"/>
  <c r="N20" i="49"/>
  <c r="L22" i="49"/>
  <c r="L24" i="49"/>
  <c r="N15" i="50"/>
  <c r="L21" i="50"/>
  <c r="L15" i="52"/>
  <c r="L24" i="52"/>
  <c r="L33" i="52"/>
  <c r="Z34" i="52"/>
  <c r="N21" i="53"/>
  <c r="L34" i="53"/>
  <c r="R20" i="46"/>
  <c r="R18" i="46"/>
  <c r="R16" i="46"/>
  <c r="X12" i="46"/>
  <c r="R36" i="46"/>
  <c r="R34" i="46"/>
  <c r="R33" i="46"/>
  <c r="R31" i="46"/>
  <c r="R29" i="46"/>
  <c r="R27" i="46"/>
  <c r="R25" i="46"/>
  <c r="R21" i="46"/>
  <c r="R22" i="46"/>
  <c r="R24" i="46"/>
  <c r="P18" i="46"/>
  <c r="R15" i="46"/>
  <c r="Z22" i="46"/>
  <c r="Z24" i="46"/>
  <c r="Z21" i="47"/>
  <c r="X25" i="47"/>
  <c r="X29" i="47"/>
  <c r="X33" i="47"/>
  <c r="X34" i="47"/>
  <c r="N13" i="49"/>
  <c r="N22" i="49"/>
  <c r="N24" i="49"/>
  <c r="L13" i="50"/>
  <c r="N21" i="50"/>
  <c r="L25" i="50"/>
  <c r="L29" i="50"/>
  <c r="L33" i="50"/>
  <c r="L34" i="50"/>
  <c r="Z21" i="52"/>
  <c r="N24" i="52"/>
  <c r="X12" i="53"/>
  <c r="R20" i="53"/>
  <c r="R18" i="53"/>
  <c r="R16" i="53"/>
  <c r="R36" i="53"/>
  <c r="R33" i="53"/>
  <c r="R29" i="53"/>
  <c r="R25" i="53"/>
  <c r="R22" i="53"/>
  <c r="R34" i="53"/>
  <c r="R31" i="53"/>
  <c r="R27" i="53"/>
  <c r="R24" i="53"/>
  <c r="R21" i="53"/>
  <c r="P18" i="53"/>
  <c r="R15" i="53"/>
  <c r="X24" i="53"/>
  <c r="X15" i="49"/>
  <c r="N25" i="49"/>
  <c r="N29" i="49"/>
  <c r="N33" i="49"/>
  <c r="N34" i="49"/>
  <c r="N13" i="50"/>
  <c r="N22" i="50"/>
  <c r="N24" i="50"/>
  <c r="X12" i="52"/>
  <c r="R21" i="52"/>
  <c r="P18" i="52"/>
  <c r="R15" i="52"/>
  <c r="R34" i="52"/>
  <c r="R31" i="52"/>
  <c r="R22" i="52"/>
  <c r="R18" i="52"/>
  <c r="R27" i="52"/>
  <c r="R36" i="52"/>
  <c r="R20" i="52"/>
  <c r="R33" i="52"/>
  <c r="R24" i="52"/>
  <c r="R29" i="52"/>
  <c r="R25" i="52"/>
  <c r="R16" i="52"/>
  <c r="Z29" i="52"/>
  <c r="X33" i="52"/>
  <c r="Z21" i="53"/>
  <c r="X34" i="53"/>
  <c r="L16" i="46"/>
  <c r="L20" i="46"/>
  <c r="V24" i="47"/>
  <c r="V22" i="47"/>
  <c r="V20" i="47"/>
  <c r="V18" i="47"/>
  <c r="V16" i="47"/>
  <c r="V36" i="47"/>
  <c r="Z12" i="47"/>
  <c r="V34" i="47"/>
  <c r="V31" i="47"/>
  <c r="V27" i="47"/>
  <c r="V21" i="47"/>
  <c r="T18" i="47"/>
  <c r="V15" i="47"/>
  <c r="V33" i="47"/>
  <c r="V29" i="47"/>
  <c r="V25" i="47"/>
  <c r="L15" i="47"/>
  <c r="Z25" i="47"/>
  <c r="Z29" i="47"/>
  <c r="Z33" i="47"/>
  <c r="Z34" i="47"/>
  <c r="F20" i="49"/>
  <c r="F18" i="49"/>
  <c r="F16" i="49"/>
  <c r="D18" i="49"/>
  <c r="F15" i="49"/>
  <c r="L12" i="49"/>
  <c r="F36" i="49"/>
  <c r="F34" i="49"/>
  <c r="F33" i="49"/>
  <c r="F31" i="49"/>
  <c r="F29" i="49"/>
  <c r="F27" i="49"/>
  <c r="F25" i="49"/>
  <c r="F21" i="49"/>
  <c r="F24" i="49"/>
  <c r="F22" i="49"/>
  <c r="X16" i="49"/>
  <c r="X20" i="49"/>
  <c r="X15" i="50"/>
  <c r="N25" i="50"/>
  <c r="N29" i="50"/>
  <c r="N33" i="50"/>
  <c r="N34" i="50"/>
  <c r="Z12" i="52"/>
  <c r="V36" i="52"/>
  <c r="V34" i="52"/>
  <c r="V33" i="52"/>
  <c r="V31" i="52"/>
  <c r="V29" i="52"/>
  <c r="V27" i="52"/>
  <c r="V25" i="52"/>
  <c r="T18" i="52"/>
  <c r="V15" i="52"/>
  <c r="V22" i="52"/>
  <c r="V18" i="52"/>
  <c r="V24" i="52"/>
  <c r="V20" i="52"/>
  <c r="V21" i="52"/>
  <c r="V16" i="52"/>
  <c r="X15" i="52"/>
  <c r="Z24" i="53"/>
  <c r="Z15" i="52"/>
  <c r="L22" i="52"/>
  <c r="Z24" i="52"/>
  <c r="Z33" i="52"/>
  <c r="L13" i="53"/>
  <c r="N16" i="53"/>
  <c r="N20" i="53"/>
  <c r="L22" i="53"/>
  <c r="Z13" i="49"/>
  <c r="Z16" i="49"/>
  <c r="Z20" i="49"/>
  <c r="X22" i="49"/>
  <c r="X24" i="49"/>
  <c r="N12" i="50"/>
  <c r="J24" i="50"/>
  <c r="J22" i="50"/>
  <c r="J21" i="50"/>
  <c r="J20" i="50"/>
  <c r="J18" i="50"/>
  <c r="J16" i="50"/>
  <c r="J27" i="50"/>
  <c r="H18" i="50"/>
  <c r="J36" i="50"/>
  <c r="J25" i="50"/>
  <c r="J34" i="50"/>
  <c r="J15" i="50"/>
  <c r="J33" i="50"/>
  <c r="J31" i="50"/>
  <c r="J29" i="50"/>
  <c r="X13" i="50"/>
  <c r="Z15" i="50"/>
  <c r="X21" i="50"/>
  <c r="L13" i="52"/>
  <c r="L25" i="53"/>
  <c r="L29" i="53"/>
  <c r="L33" i="53"/>
  <c r="L13" i="46"/>
  <c r="N21" i="46"/>
  <c r="L25" i="46"/>
  <c r="L29" i="46"/>
  <c r="L33" i="46"/>
  <c r="L34" i="46"/>
  <c r="N16" i="47"/>
  <c r="N20" i="47"/>
  <c r="L22" i="47"/>
  <c r="L24" i="47"/>
  <c r="Z21" i="49"/>
  <c r="X25" i="49"/>
  <c r="X29" i="49"/>
  <c r="X33" i="49"/>
  <c r="X34" i="49"/>
  <c r="Z13" i="50"/>
  <c r="Z16" i="50"/>
  <c r="Z20" i="50"/>
  <c r="X22" i="50"/>
  <c r="X24" i="50"/>
  <c r="N13" i="52"/>
  <c r="N22" i="52"/>
  <c r="L34" i="52"/>
  <c r="Z13" i="53"/>
  <c r="X16" i="53"/>
  <c r="X20" i="53"/>
  <c r="Z22" i="49"/>
  <c r="Z24" i="49"/>
  <c r="Z21" i="50"/>
  <c r="X25" i="50"/>
  <c r="X29" i="50"/>
  <c r="X33" i="50"/>
  <c r="X34" i="50"/>
  <c r="L25" i="52"/>
  <c r="Z16" i="53"/>
  <c r="Z20" i="53"/>
  <c r="X22" i="53"/>
  <c r="N25" i="46"/>
  <c r="N29" i="46"/>
  <c r="N33" i="46"/>
  <c r="N34" i="46"/>
  <c r="N13" i="47"/>
  <c r="N22" i="47"/>
  <c r="N24" i="47"/>
  <c r="Z12" i="49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T18" i="49"/>
  <c r="V15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4" i="50"/>
  <c r="R22" i="50"/>
  <c r="R21" i="50"/>
  <c r="R20" i="50"/>
  <c r="R18" i="50"/>
  <c r="R16" i="50"/>
  <c r="P18" i="50"/>
  <c r="R15" i="50"/>
  <c r="Z22" i="50"/>
  <c r="Z24" i="50"/>
  <c r="X13" i="52"/>
  <c r="N16" i="52"/>
  <c r="X25" i="53"/>
  <c r="X29" i="53"/>
  <c r="X33" i="53"/>
  <c r="L16" i="49"/>
  <c r="L20" i="49"/>
  <c r="V36" i="50"/>
  <c r="V34" i="50"/>
  <c r="V33" i="50"/>
  <c r="V31" i="50"/>
  <c r="V29" i="50"/>
  <c r="V27" i="50"/>
  <c r="V25" i="50"/>
  <c r="V24" i="50"/>
  <c r="V22" i="50"/>
  <c r="V21" i="50"/>
  <c r="V20" i="50"/>
  <c r="V18" i="50"/>
  <c r="V16" i="50"/>
  <c r="T18" i="50"/>
  <c r="V15" i="50"/>
  <c r="Z12" i="50"/>
  <c r="L15" i="50"/>
  <c r="Z25" i="50"/>
  <c r="Z29" i="50"/>
  <c r="Z33" i="50"/>
  <c r="Z34" i="50"/>
  <c r="N21" i="52"/>
  <c r="Z22" i="52"/>
  <c r="L29" i="52"/>
  <c r="X34" i="52"/>
  <c r="N15" i="53"/>
  <c r="Z22" i="53"/>
  <c r="J24" i="46"/>
  <c r="J22" i="46"/>
  <c r="J20" i="46"/>
  <c r="J18" i="46"/>
  <c r="J16" i="46"/>
  <c r="J15" i="46"/>
  <c r="J36" i="46"/>
  <c r="J33" i="46"/>
  <c r="J29" i="46"/>
  <c r="J25" i="46"/>
  <c r="J34" i="46"/>
  <c r="J31" i="46"/>
  <c r="J27" i="46"/>
  <c r="J21" i="46"/>
  <c r="H18" i="46"/>
  <c r="N12" i="46"/>
  <c r="X13" i="46"/>
  <c r="Z15" i="46"/>
  <c r="X21" i="46"/>
  <c r="F36" i="47"/>
  <c r="F34" i="47"/>
  <c r="F33" i="47"/>
  <c r="F31" i="47"/>
  <c r="F29" i="47"/>
  <c r="F27" i="47"/>
  <c r="F25" i="47"/>
  <c r="F21" i="47"/>
  <c r="F22" i="47"/>
  <c r="F20" i="47"/>
  <c r="F16" i="47"/>
  <c r="L12" i="47"/>
  <c r="F24" i="47"/>
  <c r="D18" i="47"/>
  <c r="F15" i="47"/>
  <c r="F18" i="47"/>
  <c r="X16" i="47"/>
  <c r="X20" i="47"/>
  <c r="N15" i="49"/>
  <c r="L21" i="49"/>
  <c r="L16" i="50"/>
  <c r="L20" i="50"/>
  <c r="X25" i="52"/>
  <c r="F36" i="53"/>
  <c r="F34" i="53"/>
  <c r="F33" i="53"/>
  <c r="F31" i="53"/>
  <c r="F29" i="53"/>
  <c r="F27" i="53"/>
  <c r="F25" i="53"/>
  <c r="F20" i="53"/>
  <c r="F18" i="53"/>
  <c r="F16" i="53"/>
  <c r="D18" i="53"/>
  <c r="F15" i="53"/>
  <c r="F21" i="53"/>
  <c r="F22" i="53"/>
  <c r="F24" i="53"/>
  <c r="L12" i="53"/>
  <c r="L24" i="53"/>
  <c r="F20" i="52"/>
  <c r="F18" i="52"/>
  <c r="F16" i="52"/>
  <c r="D18" i="52"/>
  <c r="F15" i="52"/>
  <c r="L12" i="52"/>
  <c r="F29" i="52"/>
  <c r="F25" i="52"/>
  <c r="F21" i="52"/>
  <c r="F34" i="52"/>
  <c r="F31" i="52"/>
  <c r="F22" i="52"/>
  <c r="F27" i="52"/>
  <c r="F36" i="52"/>
  <c r="F33" i="52"/>
  <c r="F24" i="52"/>
  <c r="X16" i="52"/>
  <c r="X20" i="52"/>
  <c r="X15" i="53"/>
  <c r="N25" i="53"/>
  <c r="N29" i="53"/>
  <c r="N33" i="53"/>
  <c r="N34" i="53"/>
  <c r="Z13" i="52"/>
  <c r="Z16" i="52"/>
  <c r="Z20" i="52"/>
  <c r="X22" i="52"/>
  <c r="X24" i="52"/>
  <c r="J21" i="53"/>
  <c r="J24" i="53"/>
  <c r="J22" i="53"/>
  <c r="H18" i="53"/>
  <c r="J15" i="53"/>
  <c r="J36" i="53"/>
  <c r="J33" i="53"/>
  <c r="J29" i="53"/>
  <c r="J25" i="53"/>
  <c r="J20" i="53"/>
  <c r="J16" i="53"/>
  <c r="J18" i="53"/>
  <c r="J27" i="53"/>
  <c r="N12" i="53"/>
  <c r="J31" i="53"/>
  <c r="J34" i="53"/>
  <c r="X13" i="53"/>
  <c r="Z15" i="53"/>
  <c r="X21" i="53"/>
  <c r="L16" i="52"/>
  <c r="L20" i="52"/>
  <c r="V36" i="53"/>
  <c r="V34" i="53"/>
  <c r="V33" i="53"/>
  <c r="V31" i="53"/>
  <c r="V29" i="53"/>
  <c r="V27" i="53"/>
  <c r="V25" i="53"/>
  <c r="V24" i="53"/>
  <c r="V22" i="53"/>
  <c r="V20" i="53"/>
  <c r="V16" i="53"/>
  <c r="V21" i="53"/>
  <c r="V18" i="53"/>
  <c r="Z12" i="53"/>
  <c r="T18" i="53"/>
  <c r="V15" i="53"/>
  <c r="L15" i="53"/>
  <c r="Z25" i="53"/>
  <c r="Z29" i="53"/>
  <c r="Z33" i="53"/>
  <c r="Z34" i="53"/>
  <c r="N15" i="52"/>
  <c r="L21" i="52"/>
  <c r="L16" i="53"/>
  <c r="L20" i="53"/>
  <c r="L21" i="53"/>
  <c r="N25" i="52"/>
  <c r="N29" i="52"/>
  <c r="N33" i="52"/>
  <c r="N34" i="52"/>
  <c r="N13" i="53"/>
  <c r="N22" i="53"/>
  <c r="N24" i="53"/>
  <c r="R21" i="111"/>
  <c r="R20" i="111"/>
  <c r="R18" i="111"/>
  <c r="R16" i="111"/>
  <c r="P18" i="111"/>
  <c r="R15" i="111"/>
  <c r="R36" i="111"/>
  <c r="R29" i="111"/>
  <c r="R22" i="111"/>
  <c r="R34" i="111"/>
  <c r="R27" i="111"/>
  <c r="R33" i="111"/>
  <c r="R25" i="111"/>
  <c r="X12" i="111"/>
  <c r="R24" i="111"/>
  <c r="R31" i="111"/>
  <c r="Z24" i="111"/>
  <c r="X24" i="112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L20" i="111"/>
  <c r="P18" i="112"/>
  <c r="R15" i="112"/>
  <c r="X12" i="112"/>
  <c r="R24" i="112"/>
  <c r="R22" i="112"/>
  <c r="R36" i="112"/>
  <c r="R29" i="112"/>
  <c r="R16" i="112"/>
  <c r="R34" i="112"/>
  <c r="R27" i="112"/>
  <c r="R21" i="112"/>
  <c r="R33" i="112"/>
  <c r="R25" i="112"/>
  <c r="R20" i="112"/>
  <c r="R31" i="112"/>
  <c r="R18" i="112"/>
  <c r="Z24" i="112"/>
  <c r="X24" i="113"/>
  <c r="X25" i="111"/>
  <c r="X33" i="111"/>
  <c r="X13" i="112"/>
  <c r="N25" i="113"/>
  <c r="N33" i="113"/>
  <c r="Z13" i="112"/>
  <c r="Z20" i="112"/>
  <c r="X20" i="113"/>
  <c r="Z13" i="113"/>
  <c r="Z20" i="113"/>
  <c r="Z21" i="111"/>
  <c r="X34" i="111"/>
  <c r="Z15" i="112"/>
  <c r="X21" i="112"/>
  <c r="X15" i="113"/>
  <c r="N34" i="113"/>
  <c r="L16" i="111"/>
  <c r="X29" i="111"/>
  <c r="N29" i="113"/>
  <c r="Z22" i="111"/>
  <c r="Z16" i="112"/>
  <c r="X22" i="112"/>
  <c r="X16" i="113"/>
  <c r="Z22" i="112"/>
  <c r="Z16" i="113"/>
  <c r="X22" i="113"/>
  <c r="T18" i="111"/>
  <c r="V15" i="111"/>
  <c r="Z12" i="111"/>
  <c r="V24" i="111"/>
  <c r="V22" i="111"/>
  <c r="V36" i="111"/>
  <c r="V29" i="111"/>
  <c r="V16" i="111"/>
  <c r="V34" i="111"/>
  <c r="V27" i="111"/>
  <c r="V21" i="111"/>
  <c r="V33" i="111"/>
  <c r="V25" i="111"/>
  <c r="V20" i="111"/>
  <c r="V31" i="111"/>
  <c r="V18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N12" i="113"/>
  <c r="J36" i="113"/>
  <c r="J29" i="113"/>
  <c r="J22" i="113"/>
  <c r="J34" i="113"/>
  <c r="J27" i="113"/>
  <c r="J33" i="113"/>
  <c r="J25" i="113"/>
  <c r="J24" i="113"/>
  <c r="J31" i="113"/>
  <c r="X13" i="113"/>
  <c r="Z15" i="113"/>
  <c r="X21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0" i="112"/>
  <c r="V18" i="112"/>
  <c r="V16" i="112"/>
  <c r="V21" i="112"/>
  <c r="V15" i="112"/>
  <c r="T18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0" i="113"/>
  <c r="R18" i="113"/>
  <c r="R16" i="113"/>
  <c r="R21" i="113"/>
  <c r="R15" i="113"/>
  <c r="P18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V15" i="113"/>
  <c r="T18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N27" i="3"/>
  <c r="Z40" i="3"/>
  <c r="Z106" i="3"/>
  <c r="Z55" i="3"/>
  <c r="Z68" i="3"/>
  <c r="N79" i="3"/>
  <c r="Z83" i="3"/>
  <c r="N92" i="3"/>
  <c r="N140" i="3"/>
  <c r="N19" i="3"/>
  <c r="N43" i="3"/>
  <c r="Z66" i="3"/>
  <c r="Z92" i="3"/>
  <c r="N120" i="3"/>
  <c r="Z140" i="3"/>
  <c r="N56" i="3"/>
  <c r="Z60" i="3"/>
  <c r="N84" i="3"/>
  <c r="Z88" i="3"/>
  <c r="Z128" i="3"/>
  <c r="Z19" i="3"/>
  <c r="Z43" i="3"/>
  <c r="N52" i="3"/>
  <c r="Z107" i="3"/>
  <c r="N116" i="3"/>
  <c r="Z120" i="3"/>
  <c r="Z124" i="3"/>
  <c r="Z98" i="3"/>
  <c r="Z52" i="3"/>
  <c r="N76" i="3"/>
  <c r="N212" i="3"/>
  <c r="N232" i="3"/>
  <c r="Z130" i="3"/>
  <c r="N48" i="3"/>
  <c r="Z99" i="3"/>
  <c r="N112" i="3"/>
  <c r="Z116" i="3"/>
  <c r="N20" i="3"/>
  <c r="Z24" i="3"/>
  <c r="N44" i="3"/>
  <c r="Z80" i="3"/>
  <c r="N108" i="3"/>
  <c r="Z95" i="3"/>
  <c r="Z114" i="3"/>
  <c r="N127" i="3"/>
  <c r="N131" i="3"/>
  <c r="N143" i="3"/>
  <c r="Z16" i="3"/>
  <c r="Z20" i="3"/>
  <c r="N40" i="3"/>
  <c r="Z44" i="3"/>
  <c r="Z91" i="3"/>
  <c r="Z108" i="3"/>
  <c r="N119" i="3"/>
  <c r="Z135" i="3"/>
  <c r="N31" i="3"/>
  <c r="Z46" i="3"/>
  <c r="N83" i="3"/>
  <c r="Z87" i="3"/>
  <c r="Z131" i="3"/>
  <c r="N36" i="3"/>
  <c r="Z100" i="3"/>
  <c r="N277" i="3"/>
  <c r="R170" i="3"/>
  <c r="R194" i="3"/>
  <c r="R258" i="3"/>
  <c r="P93" i="9"/>
  <c r="F65" i="9"/>
  <c r="F74" i="9"/>
  <c r="X275" i="12"/>
  <c r="Z275" i="12" s="1"/>
  <c r="H12" i="3"/>
  <c r="L12" i="3" s="1"/>
  <c r="Z26" i="3"/>
  <c r="Z38" i="3"/>
  <c r="F149" i="3"/>
  <c r="F153" i="3"/>
  <c r="F157" i="3"/>
  <c r="F161" i="3"/>
  <c r="F165" i="3"/>
  <c r="F169" i="3"/>
  <c r="F173" i="3"/>
  <c r="F177" i="3"/>
  <c r="F181" i="3"/>
  <c r="F185" i="3"/>
  <c r="F189" i="3"/>
  <c r="F193" i="3"/>
  <c r="F197" i="3"/>
  <c r="F201" i="3"/>
  <c r="F205" i="3"/>
  <c r="Z222" i="3"/>
  <c r="R225" i="3"/>
  <c r="R229" i="3"/>
  <c r="R230" i="3"/>
  <c r="Z241" i="3"/>
  <c r="F243" i="3"/>
  <c r="R250" i="3"/>
  <c r="F256" i="3"/>
  <c r="X258" i="3"/>
  <c r="Z258" i="3" s="1"/>
  <c r="F262" i="3"/>
  <c r="Z266" i="3"/>
  <c r="R276" i="3"/>
  <c r="F282" i="3"/>
  <c r="F287" i="3"/>
  <c r="N299" i="3"/>
  <c r="F302" i="3"/>
  <c r="F310" i="3"/>
  <c r="F319" i="3"/>
  <c r="R320" i="3"/>
  <c r="Z48" i="9"/>
  <c r="X58" i="9"/>
  <c r="Z58" i="9" s="1"/>
  <c r="R62" i="9"/>
  <c r="Z82" i="9"/>
  <c r="N14" i="12"/>
  <c r="Z109" i="12"/>
  <c r="X200" i="12"/>
  <c r="Z200" i="12" s="1"/>
  <c r="N210" i="12"/>
  <c r="N92" i="15"/>
  <c r="Z265" i="15"/>
  <c r="X265" i="15"/>
  <c r="N222" i="18"/>
  <c r="L222" i="18"/>
  <c r="R158" i="3"/>
  <c r="R178" i="3"/>
  <c r="L15" i="3"/>
  <c r="N15" i="3" s="1"/>
  <c r="L19" i="3"/>
  <c r="L31" i="3"/>
  <c r="L43" i="3"/>
  <c r="L59" i="3"/>
  <c r="N59" i="3" s="1"/>
  <c r="L63" i="3"/>
  <c r="N63" i="3" s="1"/>
  <c r="L67" i="3"/>
  <c r="N67" i="3" s="1"/>
  <c r="L71" i="3"/>
  <c r="N71" i="3" s="1"/>
  <c r="L75" i="3"/>
  <c r="N75" i="3" s="1"/>
  <c r="L79" i="3"/>
  <c r="L83" i="3"/>
  <c r="L87" i="3"/>
  <c r="L91" i="3"/>
  <c r="N91" i="3" s="1"/>
  <c r="L95" i="3"/>
  <c r="N95" i="3" s="1"/>
  <c r="L99" i="3"/>
  <c r="N99" i="3" s="1"/>
  <c r="L103" i="3"/>
  <c r="L107" i="3"/>
  <c r="N107" i="3" s="1"/>
  <c r="L111" i="3"/>
  <c r="L115" i="3"/>
  <c r="L119" i="3"/>
  <c r="L123" i="3"/>
  <c r="N123" i="3" s="1"/>
  <c r="L127" i="3"/>
  <c r="L131" i="3"/>
  <c r="L135" i="3"/>
  <c r="N135" i="3" s="1"/>
  <c r="L139" i="3"/>
  <c r="N139" i="3" s="1"/>
  <c r="L143" i="3"/>
  <c r="D209" i="3"/>
  <c r="R215" i="3"/>
  <c r="R219" i="3"/>
  <c r="F222" i="3"/>
  <c r="F223" i="3"/>
  <c r="F227" i="3"/>
  <c r="R244" i="3"/>
  <c r="R249" i="3"/>
  <c r="R253" i="3"/>
  <c r="L256" i="3"/>
  <c r="N256" i="3" s="1"/>
  <c r="F261" i="3"/>
  <c r="R263" i="3"/>
  <c r="F286" i="3"/>
  <c r="R290" i="3"/>
  <c r="F295" i="3"/>
  <c r="Z311" i="3"/>
  <c r="F318" i="3"/>
  <c r="F31" i="6"/>
  <c r="F29" i="6"/>
  <c r="F28" i="6"/>
  <c r="F26" i="6"/>
  <c r="L12" i="6"/>
  <c r="F24" i="6"/>
  <c r="D16" i="6"/>
  <c r="T16" i="9"/>
  <c r="Z50" i="9"/>
  <c r="X50" i="9"/>
  <c r="N76" i="9"/>
  <c r="L76" i="9"/>
  <c r="Z14" i="12"/>
  <c r="N54" i="12"/>
  <c r="N102" i="12"/>
  <c r="N106" i="12"/>
  <c r="X32" i="15"/>
  <c r="Z32" i="15" s="1"/>
  <c r="T12" i="15"/>
  <c r="R330" i="3"/>
  <c r="R329" i="3"/>
  <c r="R317" i="3"/>
  <c r="R315" i="3"/>
  <c r="R314" i="3"/>
  <c r="R303" i="3"/>
  <c r="R296" i="3"/>
  <c r="R295" i="3"/>
  <c r="R291" i="3"/>
  <c r="R287" i="3"/>
  <c r="R275" i="3"/>
  <c r="R260" i="3"/>
  <c r="R259" i="3"/>
  <c r="R251" i="3"/>
  <c r="R311" i="3"/>
  <c r="R305" i="3"/>
  <c r="R304" i="3"/>
  <c r="R321" i="3"/>
  <c r="R309" i="3"/>
  <c r="R306" i="3"/>
  <c r="R299" i="3"/>
  <c r="R298" i="3"/>
  <c r="R319" i="3"/>
  <c r="R301" i="3"/>
  <c r="R300" i="3"/>
  <c r="R284" i="3"/>
  <c r="R273" i="3"/>
  <c r="R272" i="3"/>
  <c r="R154" i="3"/>
  <c r="R269" i="3"/>
  <c r="L23" i="3"/>
  <c r="L27" i="3"/>
  <c r="L39" i="3"/>
  <c r="N39" i="3" s="1"/>
  <c r="L51" i="3"/>
  <c r="N51" i="3" s="1"/>
  <c r="L55" i="3"/>
  <c r="N55" i="3" s="1"/>
  <c r="N35" i="3"/>
  <c r="N47" i="3"/>
  <c r="F147" i="3"/>
  <c r="F148" i="3"/>
  <c r="F152" i="3"/>
  <c r="F156" i="3"/>
  <c r="F160" i="3"/>
  <c r="F164" i="3"/>
  <c r="F168" i="3"/>
  <c r="F172" i="3"/>
  <c r="F176" i="3"/>
  <c r="F180" i="3"/>
  <c r="F184" i="3"/>
  <c r="F188" i="3"/>
  <c r="F192" i="3"/>
  <c r="F196" i="3"/>
  <c r="F200" i="3"/>
  <c r="F204" i="3"/>
  <c r="F209" i="3"/>
  <c r="F211" i="3"/>
  <c r="R224" i="3"/>
  <c r="R228" i="3"/>
  <c r="X230" i="3"/>
  <c r="Z230" i="3" s="1"/>
  <c r="R243" i="3"/>
  <c r="Z244" i="3"/>
  <c r="R257" i="3"/>
  <c r="F260" i="3"/>
  <c r="R268" i="3"/>
  <c r="F278" i="3"/>
  <c r="R279" i="3"/>
  <c r="F281" i="3"/>
  <c r="R283" i="3"/>
  <c r="N286" i="3"/>
  <c r="F289" i="3"/>
  <c r="F298" i="3"/>
  <c r="R302" i="3"/>
  <c r="L12" i="9"/>
  <c r="N261" i="12"/>
  <c r="R162" i="3"/>
  <c r="R236" i="3"/>
  <c r="Z73" i="12"/>
  <c r="J38" i="100"/>
  <c r="J28" i="100"/>
  <c r="J24" i="100"/>
  <c r="J14" i="100"/>
  <c r="J39" i="100"/>
  <c r="J29" i="100"/>
  <c r="J15" i="100"/>
  <c r="J40" i="100"/>
  <c r="J30" i="100"/>
  <c r="J20" i="100"/>
  <c r="J41" i="100"/>
  <c r="J25" i="100"/>
  <c r="J21" i="100"/>
  <c r="J19" i="100"/>
  <c r="J17" i="100"/>
  <c r="J46" i="100"/>
  <c r="J44" i="100"/>
  <c r="H17" i="100"/>
  <c r="J43" i="100"/>
  <c r="J31" i="100"/>
  <c r="J48" i="100"/>
  <c r="J32" i="100"/>
  <c r="J26" i="100"/>
  <c r="J22" i="100"/>
  <c r="J33" i="100"/>
  <c r="J53" i="100"/>
  <c r="J50" i="100"/>
  <c r="J34" i="100"/>
  <c r="N12" i="100"/>
  <c r="J35" i="100"/>
  <c r="J27" i="100"/>
  <c r="J23" i="100"/>
  <c r="L12" i="100"/>
  <c r="J36" i="100"/>
  <c r="J37" i="100"/>
  <c r="T12" i="3"/>
  <c r="X12" i="3" s="1"/>
  <c r="R149" i="3"/>
  <c r="R153" i="3"/>
  <c r="R157" i="3"/>
  <c r="R161" i="3"/>
  <c r="R165" i="3"/>
  <c r="R169" i="3"/>
  <c r="R173" i="3"/>
  <c r="R177" i="3"/>
  <c r="R181" i="3"/>
  <c r="R185" i="3"/>
  <c r="R189" i="3"/>
  <c r="R193" i="3"/>
  <c r="R197" i="3"/>
  <c r="R201" i="3"/>
  <c r="R205" i="3"/>
  <c r="F212" i="3"/>
  <c r="F213" i="3"/>
  <c r="F217" i="3"/>
  <c r="F221" i="3"/>
  <c r="F232" i="3"/>
  <c r="F233" i="3"/>
  <c r="R235" i="3"/>
  <c r="F238" i="3"/>
  <c r="R239" i="3"/>
  <c r="F242" i="3"/>
  <c r="R248" i="3"/>
  <c r="R252" i="3"/>
  <c r="X264" i="3"/>
  <c r="Z264" i="3" s="1"/>
  <c r="R271" i="3"/>
  <c r="R282" i="3"/>
  <c r="F301" i="3"/>
  <c r="H308" i="3"/>
  <c r="N309" i="3"/>
  <c r="Z315" i="3"/>
  <c r="Z319" i="3"/>
  <c r="N329" i="3"/>
  <c r="F22" i="6"/>
  <c r="R100" i="9"/>
  <c r="R97" i="9"/>
  <c r="R85" i="9"/>
  <c r="R84" i="9"/>
  <c r="R73" i="9"/>
  <c r="R72" i="9"/>
  <c r="R41" i="9"/>
  <c r="R40" i="9"/>
  <c r="R79" i="9"/>
  <c r="R67" i="9"/>
  <c r="R52" i="9"/>
  <c r="R51" i="9"/>
  <c r="R35" i="9"/>
  <c r="R87" i="9"/>
  <c r="R86" i="9"/>
  <c r="R74" i="9"/>
  <c r="R54" i="9"/>
  <c r="R53" i="9"/>
  <c r="R88" i="9"/>
  <c r="R80" i="9"/>
  <c r="R68" i="9"/>
  <c r="R45" i="9"/>
  <c r="R44" i="9"/>
  <c r="R36" i="9"/>
  <c r="R32" i="9"/>
  <c r="X12" i="9"/>
  <c r="R76" i="9"/>
  <c r="R75" i="9"/>
  <c r="R63" i="9"/>
  <c r="R56" i="9"/>
  <c r="R55" i="9"/>
  <c r="R27" i="9"/>
  <c r="R23" i="9"/>
  <c r="R89" i="9"/>
  <c r="R82" i="9"/>
  <c r="R81" i="9"/>
  <c r="R77" i="9"/>
  <c r="R70" i="9"/>
  <c r="R69" i="9"/>
  <c r="R58" i="9"/>
  <c r="R57" i="9"/>
  <c r="R37" i="9"/>
  <c r="R33" i="9"/>
  <c r="R18" i="9"/>
  <c r="R16" i="9"/>
  <c r="R14" i="9"/>
  <c r="R93" i="9"/>
  <c r="R91" i="9"/>
  <c r="R65" i="9"/>
  <c r="R64" i="9"/>
  <c r="R83" i="9"/>
  <c r="R71" i="9"/>
  <c r="R60" i="9"/>
  <c r="R59" i="9"/>
  <c r="R48" i="9"/>
  <c r="R47" i="9"/>
  <c r="R95" i="9"/>
  <c r="R61" i="9"/>
  <c r="R50" i="9"/>
  <c r="R49" i="9"/>
  <c r="R29" i="9"/>
  <c r="R25" i="9"/>
  <c r="R21" i="9"/>
  <c r="N18" i="9"/>
  <c r="F38" i="9"/>
  <c r="Z54" i="12"/>
  <c r="N66" i="12"/>
  <c r="N74" i="12"/>
  <c r="N78" i="12"/>
  <c r="Z102" i="12"/>
  <c r="Z106" i="12"/>
  <c r="Z208" i="12"/>
  <c r="X208" i="12"/>
  <c r="N134" i="18"/>
  <c r="L134" i="18"/>
  <c r="R234" i="3"/>
  <c r="F251" i="3"/>
  <c r="R256" i="3"/>
  <c r="R267" i="3"/>
  <c r="F270" i="3"/>
  <c r="F274" i="3"/>
  <c r="F277" i="3"/>
  <c r="F285" i="3"/>
  <c r="R310" i="3"/>
  <c r="P22" i="6"/>
  <c r="F22" i="9"/>
  <c r="F26" i="9"/>
  <c r="F30" i="9"/>
  <c r="F42" i="9"/>
  <c r="F86" i="9"/>
  <c r="R214" i="3"/>
  <c r="X19" i="3"/>
  <c r="X27" i="3"/>
  <c r="Z27" i="3" s="1"/>
  <c r="X31" i="3"/>
  <c r="Z31" i="3" s="1"/>
  <c r="X39" i="3"/>
  <c r="Z39" i="3" s="1"/>
  <c r="X47" i="3"/>
  <c r="Z47" i="3" s="1"/>
  <c r="X59" i="3"/>
  <c r="Z59" i="3" s="1"/>
  <c r="X67" i="3"/>
  <c r="Z67" i="3" s="1"/>
  <c r="X83" i="3"/>
  <c r="X111" i="3"/>
  <c r="Z111" i="3" s="1"/>
  <c r="X119" i="3"/>
  <c r="Z119" i="3" s="1"/>
  <c r="X127" i="3"/>
  <c r="Z127" i="3" s="1"/>
  <c r="F151" i="3"/>
  <c r="F183" i="3"/>
  <c r="F195" i="3"/>
  <c r="F199" i="3"/>
  <c r="F203" i="3"/>
  <c r="F207" i="3"/>
  <c r="R223" i="3"/>
  <c r="R227" i="3"/>
  <c r="F230" i="3"/>
  <c r="F231" i="3"/>
  <c r="F237" i="3"/>
  <c r="R247" i="3"/>
  <c r="F259" i="3"/>
  <c r="R261" i="3"/>
  <c r="R262" i="3"/>
  <c r="F265" i="3"/>
  <c r="F273" i="3"/>
  <c r="R289" i="3"/>
  <c r="R292" i="3"/>
  <c r="F294" i="3"/>
  <c r="P308" i="3"/>
  <c r="F312" i="3"/>
  <c r="R318" i="3"/>
  <c r="F36" i="9"/>
  <c r="F97" i="9"/>
  <c r="D12" i="12"/>
  <c r="Z66" i="12"/>
  <c r="Z74" i="12"/>
  <c r="Z78" i="12"/>
  <c r="Z82" i="12"/>
  <c r="Z86" i="12"/>
  <c r="X247" i="15"/>
  <c r="Z247" i="15" s="1"/>
  <c r="R150" i="3"/>
  <c r="R182" i="3"/>
  <c r="R202" i="3"/>
  <c r="R206" i="3"/>
  <c r="R264" i="3"/>
  <c r="R316" i="3"/>
  <c r="Z330" i="3"/>
  <c r="F45" i="9"/>
  <c r="X54" i="9"/>
  <c r="Z54" i="9"/>
  <c r="R218" i="3"/>
  <c r="X15" i="3"/>
  <c r="Z15" i="3" s="1"/>
  <c r="X23" i="3"/>
  <c r="Z23" i="3" s="1"/>
  <c r="X35" i="3"/>
  <c r="Z35" i="3" s="1"/>
  <c r="X43" i="3"/>
  <c r="X51" i="3"/>
  <c r="Z51" i="3" s="1"/>
  <c r="X55" i="3"/>
  <c r="X63" i="3"/>
  <c r="Z63" i="3" s="1"/>
  <c r="X71" i="3"/>
  <c r="Z71" i="3" s="1"/>
  <c r="X75" i="3"/>
  <c r="Z75" i="3" s="1"/>
  <c r="X79" i="3"/>
  <c r="Z79" i="3" s="1"/>
  <c r="X87" i="3"/>
  <c r="X91" i="3"/>
  <c r="X95" i="3"/>
  <c r="X99" i="3"/>
  <c r="X103" i="3"/>
  <c r="Z103" i="3" s="1"/>
  <c r="X107" i="3"/>
  <c r="X115" i="3"/>
  <c r="Z115" i="3" s="1"/>
  <c r="X123" i="3"/>
  <c r="Z123" i="3" s="1"/>
  <c r="X131" i="3"/>
  <c r="X135" i="3"/>
  <c r="X139" i="3"/>
  <c r="Z139" i="3" s="1"/>
  <c r="X143" i="3"/>
  <c r="Z143" i="3" s="1"/>
  <c r="F155" i="3"/>
  <c r="F159" i="3"/>
  <c r="F163" i="3"/>
  <c r="F167" i="3"/>
  <c r="F171" i="3"/>
  <c r="F175" i="3"/>
  <c r="F179" i="3"/>
  <c r="F187" i="3"/>
  <c r="F191" i="3"/>
  <c r="R148" i="3"/>
  <c r="R152" i="3"/>
  <c r="R156" i="3"/>
  <c r="R160" i="3"/>
  <c r="R164" i="3"/>
  <c r="R168" i="3"/>
  <c r="R172" i="3"/>
  <c r="R176" i="3"/>
  <c r="R180" i="3"/>
  <c r="R184" i="3"/>
  <c r="R188" i="3"/>
  <c r="R192" i="3"/>
  <c r="R196" i="3"/>
  <c r="R200" i="3"/>
  <c r="R204" i="3"/>
  <c r="F216" i="3"/>
  <c r="F220" i="3"/>
  <c r="F245" i="3"/>
  <c r="F250" i="3"/>
  <c r="F254" i="3"/>
  <c r="R255" i="3"/>
  <c r="L264" i="3"/>
  <c r="N264" i="3" s="1"/>
  <c r="R278" i="3"/>
  <c r="F280" i="3"/>
  <c r="R281" i="3"/>
  <c r="R286" i="3"/>
  <c r="F291" i="3"/>
  <c r="T308" i="3"/>
  <c r="R313" i="3"/>
  <c r="N317" i="3"/>
  <c r="L321" i="3"/>
  <c r="N321" i="3" s="1"/>
  <c r="R325" i="3"/>
  <c r="Z329" i="3"/>
  <c r="H93" i="9"/>
  <c r="N16" i="9"/>
  <c r="Z18" i="9"/>
  <c r="R20" i="9"/>
  <c r="R24" i="9"/>
  <c r="R28" i="9"/>
  <c r="X70" i="9"/>
  <c r="H12" i="12"/>
  <c r="N13" i="12"/>
  <c r="L13" i="12"/>
  <c r="Z114" i="12"/>
  <c r="Z176" i="12"/>
  <c r="L214" i="12"/>
  <c r="N214" i="12" s="1"/>
  <c r="N221" i="12"/>
  <c r="N48" i="15"/>
  <c r="L48" i="15"/>
  <c r="N196" i="18"/>
  <c r="R186" i="3"/>
  <c r="R198" i="3"/>
  <c r="F64" i="9"/>
  <c r="F28" i="9"/>
  <c r="F24" i="9"/>
  <c r="F20" i="9"/>
  <c r="F19" i="9"/>
  <c r="F83" i="9"/>
  <c r="F82" i="9"/>
  <c r="F71" i="9"/>
  <c r="F70" i="9"/>
  <c r="F59" i="9"/>
  <c r="F58" i="9"/>
  <c r="F47" i="9"/>
  <c r="F18" i="9"/>
  <c r="F16" i="9"/>
  <c r="F14" i="9"/>
  <c r="F93" i="9"/>
  <c r="F91" i="9"/>
  <c r="F78" i="9"/>
  <c r="F95" i="9"/>
  <c r="F61" i="9"/>
  <c r="F60" i="9"/>
  <c r="F49" i="9"/>
  <c r="F48" i="9"/>
  <c r="F29" i="9"/>
  <c r="F25" i="9"/>
  <c r="F21" i="9"/>
  <c r="F84" i="9"/>
  <c r="F72" i="9"/>
  <c r="F40" i="9"/>
  <c r="F39" i="9"/>
  <c r="F79" i="9"/>
  <c r="F67" i="9"/>
  <c r="F51" i="9"/>
  <c r="F50" i="9"/>
  <c r="F35" i="9"/>
  <c r="F53" i="9"/>
  <c r="F52" i="9"/>
  <c r="F88" i="9"/>
  <c r="F87" i="9"/>
  <c r="F80" i="9"/>
  <c r="F68" i="9"/>
  <c r="F44" i="9"/>
  <c r="F43" i="9"/>
  <c r="F75" i="9"/>
  <c r="F63" i="9"/>
  <c r="F55" i="9"/>
  <c r="F54" i="9"/>
  <c r="F27" i="9"/>
  <c r="F23" i="9"/>
  <c r="F89" i="9"/>
  <c r="F81" i="9"/>
  <c r="F77" i="9"/>
  <c r="F76" i="9"/>
  <c r="F69" i="9"/>
  <c r="F57" i="9"/>
  <c r="F56" i="9"/>
  <c r="F37" i="9"/>
  <c r="F33" i="9"/>
  <c r="P209" i="3"/>
  <c r="R209" i="3" s="1"/>
  <c r="R213" i="3"/>
  <c r="R217" i="3"/>
  <c r="R221" i="3"/>
  <c r="R222" i="3"/>
  <c r="F225" i="3"/>
  <c r="F229" i="3"/>
  <c r="R233" i="3"/>
  <c r="R238" i="3"/>
  <c r="F240" i="3"/>
  <c r="R242" i="3"/>
  <c r="N250" i="3"/>
  <c r="F258" i="3"/>
  <c r="F264" i="3"/>
  <c r="R266" i="3"/>
  <c r="R274" i="3"/>
  <c r="F297" i="3"/>
  <c r="F303" i="3"/>
  <c r="X309" i="3"/>
  <c r="Z309" i="3" s="1"/>
  <c r="F34" i="9"/>
  <c r="F62" i="9"/>
  <c r="Z70" i="9"/>
  <c r="F100" i="9"/>
  <c r="P12" i="12"/>
  <c r="N17" i="12"/>
  <c r="L17" i="12"/>
  <c r="L21" i="12"/>
  <c r="N21" i="12" s="1"/>
  <c r="L25" i="12"/>
  <c r="N25" i="12" s="1"/>
  <c r="L29" i="12"/>
  <c r="N29" i="12" s="1"/>
  <c r="L33" i="12"/>
  <c r="N33" i="12" s="1"/>
  <c r="L37" i="12"/>
  <c r="N37" i="12" s="1"/>
  <c r="N41" i="12"/>
  <c r="L41" i="12"/>
  <c r="L45" i="12"/>
  <c r="N45" i="12" s="1"/>
  <c r="L49" i="12"/>
  <c r="N49" i="12" s="1"/>
  <c r="J268" i="15"/>
  <c r="J224" i="15"/>
  <c r="J214" i="15"/>
  <c r="J204" i="15"/>
  <c r="J196" i="15"/>
  <c r="J188" i="15"/>
  <c r="J184" i="15"/>
  <c r="J267" i="15"/>
  <c r="J235" i="15"/>
  <c r="J215" i="15"/>
  <c r="J205" i="15"/>
  <c r="J197" i="15"/>
  <c r="J179" i="15"/>
  <c r="J175" i="15"/>
  <c r="J272" i="15"/>
  <c r="J266" i="15"/>
  <c r="J254" i="15"/>
  <c r="J246" i="15"/>
  <c r="J242" i="15"/>
  <c r="J236" i="15"/>
  <c r="J230" i="15"/>
  <c r="J216" i="15"/>
  <c r="J206" i="15"/>
  <c r="J198" i="15"/>
  <c r="J166" i="15"/>
  <c r="J162" i="15"/>
  <c r="J158" i="15"/>
  <c r="J154" i="15"/>
  <c r="J150" i="15"/>
  <c r="J146" i="15"/>
  <c r="J142" i="15"/>
  <c r="J138" i="15"/>
  <c r="J134" i="15"/>
  <c r="J130" i="15"/>
  <c r="J126" i="15"/>
  <c r="J122" i="15"/>
  <c r="J118" i="15"/>
  <c r="J265" i="15"/>
  <c r="J247" i="15"/>
  <c r="J237" i="15"/>
  <c r="J231" i="15"/>
  <c r="J225" i="15"/>
  <c r="J217" i="15"/>
  <c r="J207" i="15"/>
  <c r="J189" i="15"/>
  <c r="J185" i="15"/>
  <c r="J264" i="15"/>
  <c r="J248" i="15"/>
  <c r="J232" i="15"/>
  <c r="J218" i="15"/>
  <c r="J208" i="15"/>
  <c r="J190" i="15"/>
  <c r="J180" i="15"/>
  <c r="J176" i="15"/>
  <c r="J263" i="15"/>
  <c r="J255" i="15"/>
  <c r="J243" i="15"/>
  <c r="J219" i="15"/>
  <c r="J209" i="15"/>
  <c r="J199" i="15"/>
  <c r="J191" i="15"/>
  <c r="J167" i="15"/>
  <c r="J163" i="15"/>
  <c r="J159" i="15"/>
  <c r="J155" i="15"/>
  <c r="J151" i="15"/>
  <c r="J147" i="15"/>
  <c r="J143" i="15"/>
  <c r="J139" i="15"/>
  <c r="J135" i="15"/>
  <c r="J131" i="15"/>
  <c r="J127" i="15"/>
  <c r="J123" i="15"/>
  <c r="J119" i="15"/>
  <c r="J262" i="15"/>
  <c r="J256" i="15"/>
  <c r="J238" i="15"/>
  <c r="J226" i="15"/>
  <c r="J220" i="15"/>
  <c r="J210" i="15"/>
  <c r="J261" i="15"/>
  <c r="J257" i="15"/>
  <c r="J249" i="15"/>
  <c r="J239" i="15"/>
  <c r="J233" i="15"/>
  <c r="J227" i="15"/>
  <c r="J221" i="15"/>
  <c r="J201" i="15"/>
  <c r="J193" i="15"/>
  <c r="J181" i="15"/>
  <c r="J177" i="15"/>
  <c r="J173" i="15"/>
  <c r="J171" i="15"/>
  <c r="J169" i="15"/>
  <c r="J260" i="15"/>
  <c r="J250" i="15"/>
  <c r="J244" i="15"/>
  <c r="J240" i="15"/>
  <c r="J228" i="15"/>
  <c r="J222" i="15"/>
  <c r="J182" i="15"/>
  <c r="H169" i="15"/>
  <c r="J164" i="15"/>
  <c r="J160" i="15"/>
  <c r="J156" i="15"/>
  <c r="J152" i="15"/>
  <c r="J148" i="15"/>
  <c r="J144" i="15"/>
  <c r="J140" i="15"/>
  <c r="J136" i="15"/>
  <c r="J132" i="15"/>
  <c r="J128" i="15"/>
  <c r="J124" i="15"/>
  <c r="J120" i="15"/>
  <c r="J259" i="15"/>
  <c r="J251" i="15"/>
  <c r="J223" i="15"/>
  <c r="J211" i="15"/>
  <c r="J187" i="15"/>
  <c r="J183" i="15"/>
  <c r="J253" i="15"/>
  <c r="J245" i="15"/>
  <c r="J241" i="15"/>
  <c r="J229" i="15"/>
  <c r="J213" i="15"/>
  <c r="J203" i="15"/>
  <c r="J195" i="15"/>
  <c r="J165" i="15"/>
  <c r="J161" i="15"/>
  <c r="J157" i="15"/>
  <c r="J153" i="15"/>
  <c r="J149" i="15"/>
  <c r="J145" i="15"/>
  <c r="J141" i="15"/>
  <c r="J137" i="15"/>
  <c r="J133" i="15"/>
  <c r="J129" i="15"/>
  <c r="J125" i="15"/>
  <c r="J121" i="15"/>
  <c r="J117" i="15"/>
  <c r="J234" i="15"/>
  <c r="J202" i="15"/>
  <c r="J172" i="15"/>
  <c r="J174" i="15"/>
  <c r="J186" i="15"/>
  <c r="J116" i="15"/>
  <c r="J212" i="15"/>
  <c r="J192" i="15"/>
  <c r="J200" i="15"/>
  <c r="J178" i="15"/>
  <c r="J252" i="15"/>
  <c r="F311" i="3"/>
  <c r="F306" i="3"/>
  <c r="F305" i="3"/>
  <c r="F321" i="3"/>
  <c r="F309" i="3"/>
  <c r="F300" i="3"/>
  <c r="F299" i="3"/>
  <c r="F325" i="3"/>
  <c r="F320" i="3"/>
  <c r="F308" i="3"/>
  <c r="F279" i="3"/>
  <c r="F267" i="3"/>
  <c r="F266" i="3"/>
  <c r="F255" i="3"/>
  <c r="F247" i="3"/>
  <c r="F246" i="3"/>
  <c r="F239" i="3"/>
  <c r="F330" i="3"/>
  <c r="F329" i="3"/>
  <c r="F317" i="3"/>
  <c r="F315" i="3"/>
  <c r="F313" i="3"/>
  <c r="F304" i="3"/>
  <c r="F292" i="3"/>
  <c r="F288" i="3"/>
  <c r="F276" i="3"/>
  <c r="F252" i="3"/>
  <c r="F236" i="3"/>
  <c r="F235" i="3"/>
  <c r="X14" i="3"/>
  <c r="Z14" i="3" s="1"/>
  <c r="X18" i="3"/>
  <c r="Z18" i="3" s="1"/>
  <c r="X22" i="3"/>
  <c r="Z22" i="3" s="1"/>
  <c r="X30" i="3"/>
  <c r="Z30" i="3" s="1"/>
  <c r="X34" i="3"/>
  <c r="Z34" i="3" s="1"/>
  <c r="X42" i="3"/>
  <c r="Z42" i="3" s="1"/>
  <c r="X46" i="3"/>
  <c r="X50" i="3"/>
  <c r="Z50" i="3" s="1"/>
  <c r="X54" i="3"/>
  <c r="Z54" i="3" s="1"/>
  <c r="X58" i="3"/>
  <c r="Z58" i="3" s="1"/>
  <c r="X62" i="3"/>
  <c r="Z62" i="3" s="1"/>
  <c r="X66" i="3"/>
  <c r="X70" i="3"/>
  <c r="Z70" i="3" s="1"/>
  <c r="X74" i="3"/>
  <c r="Z74" i="3" s="1"/>
  <c r="X78" i="3"/>
  <c r="X82" i="3"/>
  <c r="Z82" i="3" s="1"/>
  <c r="X86" i="3"/>
  <c r="Z86" i="3" s="1"/>
  <c r="X90" i="3"/>
  <c r="Z90" i="3" s="1"/>
  <c r="X94" i="3"/>
  <c r="Z94" i="3" s="1"/>
  <c r="X98" i="3"/>
  <c r="X102" i="3"/>
  <c r="Z102" i="3" s="1"/>
  <c r="X106" i="3"/>
  <c r="X110" i="3"/>
  <c r="Z110" i="3" s="1"/>
  <c r="X114" i="3"/>
  <c r="X118" i="3"/>
  <c r="Z118" i="3" s="1"/>
  <c r="X122" i="3"/>
  <c r="Z122" i="3" s="1"/>
  <c r="X126" i="3"/>
  <c r="Z126" i="3" s="1"/>
  <c r="X130" i="3"/>
  <c r="X134" i="3"/>
  <c r="Z134" i="3" s="1"/>
  <c r="X138" i="3"/>
  <c r="Z138" i="3" s="1"/>
  <c r="X142" i="3"/>
  <c r="R147" i="3"/>
  <c r="F150" i="3"/>
  <c r="F154" i="3"/>
  <c r="F158" i="3"/>
  <c r="F162" i="3"/>
  <c r="F166" i="3"/>
  <c r="F170" i="3"/>
  <c r="F174" i="3"/>
  <c r="F178" i="3"/>
  <c r="F182" i="3"/>
  <c r="F186" i="3"/>
  <c r="F190" i="3"/>
  <c r="F194" i="3"/>
  <c r="F198" i="3"/>
  <c r="F202" i="3"/>
  <c r="F206" i="3"/>
  <c r="R211" i="3"/>
  <c r="R226" i="3"/>
  <c r="F244" i="3"/>
  <c r="R246" i="3"/>
  <c r="F253" i="3"/>
  <c r="R265" i="3"/>
  <c r="F269" i="3"/>
  <c r="R270" i="3"/>
  <c r="F272" i="3"/>
  <c r="F284" i="3"/>
  <c r="R285" i="3"/>
  <c r="R294" i="3"/>
  <c r="F296" i="3"/>
  <c r="Z301" i="3"/>
  <c r="L305" i="3"/>
  <c r="N305" i="3" s="1"/>
  <c r="L330" i="3"/>
  <c r="N330" i="3" s="1"/>
  <c r="F14" i="6"/>
  <c r="X14" i="9"/>
  <c r="F46" i="9"/>
  <c r="L52" i="9"/>
  <c r="L60" i="9"/>
  <c r="N60" i="9" s="1"/>
  <c r="F66" i="9"/>
  <c r="N82" i="9"/>
  <c r="N53" i="12"/>
  <c r="L53" i="12"/>
  <c r="Z187" i="12"/>
  <c r="N212" i="12"/>
  <c r="Z227" i="12"/>
  <c r="R151" i="3"/>
  <c r="R155" i="3"/>
  <c r="R159" i="3"/>
  <c r="R163" i="3"/>
  <c r="R167" i="3"/>
  <c r="R171" i="3"/>
  <c r="R175" i="3"/>
  <c r="R179" i="3"/>
  <c r="R183" i="3"/>
  <c r="R187" i="3"/>
  <c r="R191" i="3"/>
  <c r="R195" i="3"/>
  <c r="R199" i="3"/>
  <c r="R203" i="3"/>
  <c r="R207" i="3"/>
  <c r="R212" i="3"/>
  <c r="F215" i="3"/>
  <c r="F219" i="3"/>
  <c r="R231" i="3"/>
  <c r="R232" i="3"/>
  <c r="R245" i="3"/>
  <c r="F249" i="3"/>
  <c r="F268" i="3"/>
  <c r="R277" i="3"/>
  <c r="R280" i="3"/>
  <c r="F283" i="3"/>
  <c r="F293" i="3"/>
  <c r="R297" i="3"/>
  <c r="Z317" i="3"/>
  <c r="F32" i="9"/>
  <c r="F41" i="9"/>
  <c r="L48" i="9"/>
  <c r="N48" i="9" s="1"/>
  <c r="N52" i="9"/>
  <c r="N54" i="9"/>
  <c r="L56" i="9"/>
  <c r="N56" i="9" s="1"/>
  <c r="N58" i="9"/>
  <c r="Z25" i="12"/>
  <c r="Z29" i="12"/>
  <c r="Z45" i="12"/>
  <c r="N57" i="12"/>
  <c r="L57" i="12"/>
  <c r="N61" i="12"/>
  <c r="L61" i="12"/>
  <c r="N97" i="12"/>
  <c r="N109" i="12"/>
  <c r="R166" i="3"/>
  <c r="R174" i="3"/>
  <c r="R190" i="3"/>
  <c r="R216" i="3"/>
  <c r="R220" i="3"/>
  <c r="F224" i="3"/>
  <c r="F228" i="3"/>
  <c r="R237" i="3"/>
  <c r="R240" i="3"/>
  <c r="R241" i="3"/>
  <c r="F248" i="3"/>
  <c r="X250" i="3"/>
  <c r="Z250" i="3" s="1"/>
  <c r="R254" i="3"/>
  <c r="F257" i="3"/>
  <c r="L258" i="3"/>
  <c r="N258" i="3" s="1"/>
  <c r="F263" i="3"/>
  <c r="N283" i="3"/>
  <c r="R288" i="3"/>
  <c r="F290" i="3"/>
  <c r="Z305" i="3"/>
  <c r="R308" i="3"/>
  <c r="R312" i="3"/>
  <c r="F18" i="6"/>
  <c r="Z29" i="6"/>
  <c r="D16" i="9"/>
  <c r="R46" i="9"/>
  <c r="Z60" i="9"/>
  <c r="R66" i="9"/>
  <c r="F85" i="9"/>
  <c r="N65" i="12"/>
  <c r="L65" i="12"/>
  <c r="L69" i="12"/>
  <c r="N69" i="12" s="1"/>
  <c r="N73" i="12"/>
  <c r="L73" i="12"/>
  <c r="N77" i="12"/>
  <c r="L77" i="12"/>
  <c r="N81" i="12"/>
  <c r="L81" i="12"/>
  <c r="Z238" i="12"/>
  <c r="X238" i="12"/>
  <c r="L273" i="12"/>
  <c r="N273" i="12" s="1"/>
  <c r="Z231" i="15"/>
  <c r="X231" i="15"/>
  <c r="X12" i="6"/>
  <c r="J14" i="9"/>
  <c r="J16" i="9"/>
  <c r="J18" i="9"/>
  <c r="J20" i="9"/>
  <c r="J24" i="9"/>
  <c r="J28" i="9"/>
  <c r="V40" i="9"/>
  <c r="V52" i="9"/>
  <c r="J58" i="9"/>
  <c r="J64" i="9"/>
  <c r="J70" i="9"/>
  <c r="V72" i="9"/>
  <c r="J82" i="9"/>
  <c r="V84" i="9"/>
  <c r="T12" i="12"/>
  <c r="Z212" i="12"/>
  <c r="N269" i="12"/>
  <c r="H268" i="12"/>
  <c r="X270" i="12"/>
  <c r="Z270" i="12" s="1"/>
  <c r="Z276" i="12"/>
  <c r="Z28" i="15"/>
  <c r="X28" i="15"/>
  <c r="N36" i="15"/>
  <c r="L36" i="15"/>
  <c r="N40" i="15"/>
  <c r="L40" i="15"/>
  <c r="L44" i="15"/>
  <c r="N44" i="15" s="1"/>
  <c r="N112" i="15"/>
  <c r="Z195" i="15"/>
  <c r="N216" i="15"/>
  <c r="Z239" i="15"/>
  <c r="N29" i="18"/>
  <c r="Z37" i="18"/>
  <c r="Z62" i="18"/>
  <c r="N101" i="18"/>
  <c r="N109" i="18"/>
  <c r="N121" i="18"/>
  <c r="J269" i="18"/>
  <c r="N14" i="9"/>
  <c r="V34" i="9"/>
  <c r="V38" i="9"/>
  <c r="J46" i="9"/>
  <c r="V50" i="9"/>
  <c r="J56" i="9"/>
  <c r="V66" i="9"/>
  <c r="J76" i="9"/>
  <c r="V78" i="9"/>
  <c r="N259" i="12"/>
  <c r="Z21" i="15"/>
  <c r="Z36" i="15"/>
  <c r="X36" i="15"/>
  <c r="X40" i="15"/>
  <c r="Z40" i="15" s="1"/>
  <c r="X44" i="15"/>
  <c r="Z44" i="15" s="1"/>
  <c r="L52" i="15"/>
  <c r="N52" i="15" s="1"/>
  <c r="Z100" i="15"/>
  <c r="X100" i="15"/>
  <c r="Z104" i="15"/>
  <c r="X104" i="15"/>
  <c r="Z108" i="15"/>
  <c r="X108" i="15"/>
  <c r="Z112" i="15"/>
  <c r="X112" i="15"/>
  <c r="Z182" i="15"/>
  <c r="D12" i="18"/>
  <c r="N42" i="18"/>
  <c r="Z54" i="18"/>
  <c r="N89" i="18"/>
  <c r="N93" i="18"/>
  <c r="Z121" i="18"/>
  <c r="N125" i="18"/>
  <c r="Z127" i="18"/>
  <c r="N39" i="24"/>
  <c r="L39" i="24"/>
  <c r="V59" i="9"/>
  <c r="V71" i="9"/>
  <c r="V83" i="9"/>
  <c r="N256" i="12"/>
  <c r="L265" i="12"/>
  <c r="N265" i="12" s="1"/>
  <c r="X269" i="12"/>
  <c r="P268" i="12"/>
  <c r="Z48" i="15"/>
  <c r="X48" i="15"/>
  <c r="N56" i="15"/>
  <c r="L56" i="15"/>
  <c r="N60" i="15"/>
  <c r="L60" i="15"/>
  <c r="X76" i="15"/>
  <c r="Z76" i="15" s="1"/>
  <c r="X80" i="15"/>
  <c r="Z80" i="15" s="1"/>
  <c r="X88" i="15"/>
  <c r="Z88" i="15" s="1"/>
  <c r="X92" i="15"/>
  <c r="Z92" i="15" s="1"/>
  <c r="Z96" i="15"/>
  <c r="X96" i="15"/>
  <c r="N171" i="15"/>
  <c r="J291" i="18"/>
  <c r="J279" i="18"/>
  <c r="J271" i="18"/>
  <c r="J267" i="18"/>
  <c r="J261" i="18"/>
  <c r="J290" i="18"/>
  <c r="J272" i="18"/>
  <c r="J262" i="18"/>
  <c r="J256" i="18"/>
  <c r="J250" i="18"/>
  <c r="J242" i="18"/>
  <c r="J232" i="18"/>
  <c r="J214" i="18"/>
  <c r="J210" i="18"/>
  <c r="J289" i="18"/>
  <c r="J273" i="18"/>
  <c r="J257" i="18"/>
  <c r="J288" i="18"/>
  <c r="J280" i="18"/>
  <c r="J287" i="18"/>
  <c r="J281" i="18"/>
  <c r="J263" i="18"/>
  <c r="J251" i="18"/>
  <c r="J245" i="18"/>
  <c r="J235" i="18"/>
  <c r="J225" i="18"/>
  <c r="J217" i="18"/>
  <c r="J211" i="18"/>
  <c r="J197" i="18"/>
  <c r="J286" i="18"/>
  <c r="J282" i="18"/>
  <c r="J274" i="18"/>
  <c r="J264" i="18"/>
  <c r="J258" i="18"/>
  <c r="J252" i="18"/>
  <c r="J246" i="18"/>
  <c r="J226" i="18"/>
  <c r="J218" i="18"/>
  <c r="J296" i="18"/>
  <c r="J276" i="18"/>
  <c r="J248" i="18"/>
  <c r="J236" i="18"/>
  <c r="J212" i="18"/>
  <c r="J208" i="18"/>
  <c r="J295" i="18"/>
  <c r="J277" i="18"/>
  <c r="J259" i="18"/>
  <c r="J237" i="18"/>
  <c r="J227" i="18"/>
  <c r="J300" i="18"/>
  <c r="J294" i="18"/>
  <c r="J278" i="18"/>
  <c r="J270" i="18"/>
  <c r="J266" i="18"/>
  <c r="J292" i="18"/>
  <c r="J260" i="18"/>
  <c r="J240" i="18"/>
  <c r="J230" i="18"/>
  <c r="J222" i="18"/>
  <c r="J204" i="18"/>
  <c r="J200" i="18"/>
  <c r="J233" i="18"/>
  <c r="J228" i="18"/>
  <c r="J220" i="18"/>
  <c r="J175" i="18"/>
  <c r="J165" i="18"/>
  <c r="J149" i="18"/>
  <c r="J142" i="18"/>
  <c r="J293" i="18"/>
  <c r="J241" i="18"/>
  <c r="J199" i="18"/>
  <c r="J192" i="18"/>
  <c r="J185" i="18"/>
  <c r="J172" i="18"/>
  <c r="J162" i="18"/>
  <c r="J159" i="18"/>
  <c r="J139" i="18"/>
  <c r="J268" i="18"/>
  <c r="J238" i="18"/>
  <c r="J202" i="18"/>
  <c r="J182" i="18"/>
  <c r="J179" i="18"/>
  <c r="J156" i="18"/>
  <c r="J146" i="18"/>
  <c r="J223" i="18"/>
  <c r="J205" i="18"/>
  <c r="J189" i="18"/>
  <c r="J169" i="18"/>
  <c r="J153" i="18"/>
  <c r="J143" i="18"/>
  <c r="J136" i="18"/>
  <c r="J247" i="18"/>
  <c r="J244" i="18"/>
  <c r="J234" i="18"/>
  <c r="J186" i="18"/>
  <c r="J176" i="18"/>
  <c r="J166" i="18"/>
  <c r="J163" i="18"/>
  <c r="J150" i="18"/>
  <c r="J255" i="18"/>
  <c r="J239" i="18"/>
  <c r="J231" i="18"/>
  <c r="J221" i="18"/>
  <c r="J215" i="18"/>
  <c r="H194" i="18"/>
  <c r="J194" i="18" s="1"/>
  <c r="J183" i="18"/>
  <c r="J173" i="18"/>
  <c r="J160" i="18"/>
  <c r="J147" i="18"/>
  <c r="J140" i="18"/>
  <c r="J253" i="18"/>
  <c r="J249" i="18"/>
  <c r="J229" i="18"/>
  <c r="J203" i="18"/>
  <c r="J196" i="18"/>
  <c r="J190" i="18"/>
  <c r="J180" i="18"/>
  <c r="J170" i="18"/>
  <c r="J157" i="18"/>
  <c r="J137" i="18"/>
  <c r="J265" i="18"/>
  <c r="J224" i="18"/>
  <c r="J213" i="18"/>
  <c r="J206" i="18"/>
  <c r="J187" i="18"/>
  <c r="J167" i="18"/>
  <c r="J154" i="18"/>
  <c r="J151" i="18"/>
  <c r="J144" i="18"/>
  <c r="J285" i="18"/>
  <c r="J275" i="18"/>
  <c r="J219" i="18"/>
  <c r="J209" i="18"/>
  <c r="J177" i="18"/>
  <c r="J164" i="18"/>
  <c r="J141" i="18"/>
  <c r="J216" i="18"/>
  <c r="J198" i="18"/>
  <c r="J191" i="18"/>
  <c r="J184" i="18"/>
  <c r="J174" i="18"/>
  <c r="J171" i="18"/>
  <c r="J161" i="18"/>
  <c r="J148" i="18"/>
  <c r="J134" i="18"/>
  <c r="J254" i="18"/>
  <c r="J243" i="18"/>
  <c r="J188" i="18"/>
  <c r="J178" i="18"/>
  <c r="J168" i="18"/>
  <c r="J152" i="18"/>
  <c r="J135" i="18"/>
  <c r="Z25" i="18"/>
  <c r="N77" i="18"/>
  <c r="Z97" i="18"/>
  <c r="J201" i="18"/>
  <c r="H16" i="6"/>
  <c r="N12" i="9"/>
  <c r="V20" i="9"/>
  <c r="V24" i="9"/>
  <c r="V28" i="9"/>
  <c r="J32" i="9"/>
  <c r="J36" i="9"/>
  <c r="J44" i="9"/>
  <c r="V48" i="9"/>
  <c r="J54" i="9"/>
  <c r="V60" i="9"/>
  <c r="V64" i="9"/>
  <c r="J68" i="9"/>
  <c r="J80" i="9"/>
  <c r="J88" i="9"/>
  <c r="Z234" i="12"/>
  <c r="T268" i="12"/>
  <c r="Z269" i="12"/>
  <c r="Z25" i="15"/>
  <c r="Z52" i="15"/>
  <c r="X52" i="15"/>
  <c r="X68" i="15"/>
  <c r="Z68" i="15" s="1"/>
  <c r="Z72" i="15"/>
  <c r="X72" i="15"/>
  <c r="X84" i="15"/>
  <c r="Z84" i="15" s="1"/>
  <c r="D259" i="15"/>
  <c r="L259" i="15" s="1"/>
  <c r="N259" i="15" s="1"/>
  <c r="P12" i="18"/>
  <c r="N34" i="18"/>
  <c r="Z42" i="18"/>
  <c r="Z85" i="18"/>
  <c r="N106" i="18"/>
  <c r="N114" i="18"/>
  <c r="N118" i="18"/>
  <c r="J158" i="18"/>
  <c r="J181" i="18"/>
  <c r="N215" i="18"/>
  <c r="N16" i="15"/>
  <c r="L16" i="15"/>
  <c r="Z56" i="15"/>
  <c r="X56" i="15"/>
  <c r="Z60" i="15"/>
  <c r="X60" i="15"/>
  <c r="X64" i="15"/>
  <c r="Z64" i="15" s="1"/>
  <c r="Z207" i="15"/>
  <c r="X207" i="15"/>
  <c r="N61" i="18"/>
  <c r="J155" i="18"/>
  <c r="V14" i="9"/>
  <c r="V16" i="9"/>
  <c r="V18" i="9"/>
  <c r="V46" i="9"/>
  <c r="V58" i="9"/>
  <c r="V70" i="9"/>
  <c r="V82" i="9"/>
  <c r="L85" i="12"/>
  <c r="L89" i="12"/>
  <c r="N89" i="12" s="1"/>
  <c r="L93" i="12"/>
  <c r="N93" i="12" s="1"/>
  <c r="L97" i="12"/>
  <c r="L101" i="12"/>
  <c r="L105" i="12"/>
  <c r="L109" i="12"/>
  <c r="L113" i="12"/>
  <c r="N113" i="12" s="1"/>
  <c r="L117" i="12"/>
  <c r="Z259" i="12"/>
  <c r="L261" i="12"/>
  <c r="X273" i="12"/>
  <c r="Z273" i="12" s="1"/>
  <c r="Z33" i="15"/>
  <c r="Z171" i="15"/>
  <c r="N26" i="18"/>
  <c r="Z34" i="18"/>
  <c r="N57" i="18"/>
  <c r="V24" i="6"/>
  <c r="V26" i="6"/>
  <c r="V28" i="6"/>
  <c r="V29" i="6"/>
  <c r="V31" i="6"/>
  <c r="V19" i="9"/>
  <c r="V23" i="9"/>
  <c r="V27" i="9"/>
  <c r="J35" i="9"/>
  <c r="J41" i="9"/>
  <c r="J51" i="9"/>
  <c r="V55" i="9"/>
  <c r="V63" i="9"/>
  <c r="J67" i="9"/>
  <c r="J73" i="9"/>
  <c r="V75" i="9"/>
  <c r="J79" i="9"/>
  <c r="J85" i="9"/>
  <c r="J97" i="9"/>
  <c r="J100" i="9"/>
  <c r="N271" i="12"/>
  <c r="D12" i="15"/>
  <c r="L13" i="15"/>
  <c r="X16" i="15"/>
  <c r="Z16" i="15" s="1"/>
  <c r="N20" i="15"/>
  <c r="L20" i="15"/>
  <c r="Z31" i="15"/>
  <c r="Z37" i="15"/>
  <c r="Z41" i="15"/>
  <c r="Z205" i="15"/>
  <c r="Z227" i="15"/>
  <c r="N22" i="18"/>
  <c r="Z30" i="18"/>
  <c r="N86" i="18"/>
  <c r="N94" i="18"/>
  <c r="N126" i="18"/>
  <c r="V100" i="21"/>
  <c r="V76" i="21"/>
  <c r="V68" i="21"/>
  <c r="V56" i="21"/>
  <c r="V48" i="21"/>
  <c r="V103" i="21"/>
  <c r="V83" i="21"/>
  <c r="V67" i="21"/>
  <c r="V59" i="21"/>
  <c r="V47" i="21"/>
  <c r="V43" i="21"/>
  <c r="V102" i="21"/>
  <c r="V94" i="21"/>
  <c r="V90" i="21"/>
  <c r="V78" i="21"/>
  <c r="V70" i="21"/>
  <c r="V58" i="21"/>
  <c r="V50" i="21"/>
  <c r="V38" i="21"/>
  <c r="V34" i="21"/>
  <c r="V85" i="21"/>
  <c r="V77" i="21"/>
  <c r="V69" i="21"/>
  <c r="V61" i="21"/>
  <c r="V49" i="21"/>
  <c r="V25" i="21"/>
  <c r="V106" i="21"/>
  <c r="V104" i="21"/>
  <c r="V84" i="21"/>
  <c r="V80" i="21"/>
  <c r="V72" i="21"/>
  <c r="V60" i="21"/>
  <c r="V52" i="21"/>
  <c r="V44" i="21"/>
  <c r="V95" i="21"/>
  <c r="V91" i="21"/>
  <c r="V79" i="21"/>
  <c r="V71" i="21"/>
  <c r="V63" i="21"/>
  <c r="V51" i="21"/>
  <c r="V39" i="21"/>
  <c r="V35" i="21"/>
  <c r="V97" i="21"/>
  <c r="V81" i="21"/>
  <c r="V73" i="21"/>
  <c r="V53" i="21"/>
  <c r="V45" i="21"/>
  <c r="V41" i="21"/>
  <c r="V110" i="21"/>
  <c r="V96" i="21"/>
  <c r="V92" i="21"/>
  <c r="V88" i="21"/>
  <c r="V64" i="21"/>
  <c r="V40" i="21"/>
  <c r="V36" i="21"/>
  <c r="V32" i="21"/>
  <c r="V99" i="21"/>
  <c r="V87" i="21"/>
  <c r="V75" i="21"/>
  <c r="V55" i="21"/>
  <c r="V31" i="21"/>
  <c r="V29" i="21"/>
  <c r="V27" i="21"/>
  <c r="V101" i="21"/>
  <c r="V93" i="21"/>
  <c r="V89" i="21"/>
  <c r="V65" i="21"/>
  <c r="V57" i="21"/>
  <c r="V37" i="21"/>
  <c r="V33" i="21"/>
  <c r="V54" i="21"/>
  <c r="V46" i="21"/>
  <c r="V26" i="21"/>
  <c r="V98" i="21"/>
  <c r="V82" i="21"/>
  <c r="T29" i="21"/>
  <c r="V86" i="21"/>
  <c r="V42" i="21"/>
  <c r="J110" i="21"/>
  <c r="J96" i="21"/>
  <c r="J92" i="21"/>
  <c r="J74" i="21"/>
  <c r="J64" i="21"/>
  <c r="J54" i="21"/>
  <c r="J40" i="21"/>
  <c r="J36" i="21"/>
  <c r="J97" i="21"/>
  <c r="J87" i="21"/>
  <c r="J75" i="21"/>
  <c r="J55" i="21"/>
  <c r="J41" i="21"/>
  <c r="J27" i="21"/>
  <c r="J98" i="21"/>
  <c r="J88" i="21"/>
  <c r="J82" i="21"/>
  <c r="J46" i="21"/>
  <c r="J42" i="21"/>
  <c r="J32" i="21"/>
  <c r="J99" i="21"/>
  <c r="J93" i="21"/>
  <c r="J89" i="21"/>
  <c r="J65" i="21"/>
  <c r="J37" i="21"/>
  <c r="J33" i="21"/>
  <c r="J31" i="21"/>
  <c r="J100" i="21"/>
  <c r="J76" i="21"/>
  <c r="J66" i="21"/>
  <c r="J56" i="21"/>
  <c r="H29" i="21"/>
  <c r="J101" i="21"/>
  <c r="J83" i="21"/>
  <c r="J67" i="21"/>
  <c r="J57" i="21"/>
  <c r="J47" i="21"/>
  <c r="J43" i="21"/>
  <c r="J103" i="21"/>
  <c r="J77" i="21"/>
  <c r="J69" i="21"/>
  <c r="J59" i="21"/>
  <c r="J49" i="21"/>
  <c r="J104" i="21"/>
  <c r="J84" i="21"/>
  <c r="J78" i="21"/>
  <c r="J70" i="21"/>
  <c r="J60" i="21"/>
  <c r="J50" i="21"/>
  <c r="J44" i="21"/>
  <c r="J95" i="21"/>
  <c r="J91" i="21"/>
  <c r="J85" i="21"/>
  <c r="J79" i="21"/>
  <c r="J71" i="21"/>
  <c r="J61" i="21"/>
  <c r="J51" i="21"/>
  <c r="J39" i="21"/>
  <c r="J35" i="21"/>
  <c r="J25" i="21"/>
  <c r="J81" i="21"/>
  <c r="J73" i="21"/>
  <c r="J63" i="21"/>
  <c r="J53" i="21"/>
  <c r="J45" i="21"/>
  <c r="J90" i="21"/>
  <c r="J68" i="21"/>
  <c r="J62" i="21"/>
  <c r="J72" i="21"/>
  <c r="J34" i="21"/>
  <c r="J80" i="21"/>
  <c r="J48" i="21"/>
  <c r="J26" i="21"/>
  <c r="J52" i="21"/>
  <c r="J94" i="21"/>
  <c r="J102" i="21"/>
  <c r="J38" i="21"/>
  <c r="J58" i="21"/>
  <c r="J86" i="21"/>
  <c r="J106" i="21"/>
  <c r="N88" i="21"/>
  <c r="Z12" i="9"/>
  <c r="V32" i="9"/>
  <c r="V36" i="9"/>
  <c r="J40" i="9"/>
  <c r="V44" i="9"/>
  <c r="J50" i="9"/>
  <c r="V56" i="9"/>
  <c r="V68" i="9"/>
  <c r="J72" i="9"/>
  <c r="V76" i="9"/>
  <c r="V80" i="9"/>
  <c r="J84" i="9"/>
  <c r="V88" i="9"/>
  <c r="L234" i="12"/>
  <c r="N234" i="12" s="1"/>
  <c r="Z277" i="12"/>
  <c r="Z35" i="15"/>
  <c r="Z39" i="15"/>
  <c r="Z43" i="15"/>
  <c r="Z99" i="15"/>
  <c r="Z103" i="15"/>
  <c r="N49" i="18"/>
  <c r="Z57" i="18"/>
  <c r="Z20" i="15"/>
  <c r="X20" i="15"/>
  <c r="N24" i="15"/>
  <c r="L24" i="15"/>
  <c r="J145" i="18"/>
  <c r="J207" i="18"/>
  <c r="T16" i="6"/>
  <c r="X16" i="6" s="1"/>
  <c r="V22" i="9"/>
  <c r="V26" i="9"/>
  <c r="V30" i="9"/>
  <c r="J34" i="9"/>
  <c r="J38" i="9"/>
  <c r="V42" i="9"/>
  <c r="J48" i="9"/>
  <c r="V54" i="9"/>
  <c r="J60" i="9"/>
  <c r="V62" i="9"/>
  <c r="J66" i="9"/>
  <c r="V74" i="9"/>
  <c r="J78" i="9"/>
  <c r="V86" i="9"/>
  <c r="X13" i="12"/>
  <c r="X17" i="12"/>
  <c r="Z17" i="12" s="1"/>
  <c r="X21" i="12"/>
  <c r="Z21" i="12" s="1"/>
  <c r="X25" i="12"/>
  <c r="X29" i="12"/>
  <c r="X33" i="12"/>
  <c r="Z33" i="12" s="1"/>
  <c r="X37" i="12"/>
  <c r="Z37" i="12" s="1"/>
  <c r="X41" i="12"/>
  <c r="Z41" i="12" s="1"/>
  <c r="X45" i="12"/>
  <c r="X49" i="12"/>
  <c r="Z49" i="12" s="1"/>
  <c r="X53" i="12"/>
  <c r="Z53" i="12" s="1"/>
  <c r="X57" i="12"/>
  <c r="Z57" i="12" s="1"/>
  <c r="X61" i="12"/>
  <c r="Z61" i="12" s="1"/>
  <c r="X65" i="12"/>
  <c r="Z65" i="12" s="1"/>
  <c r="X69" i="12"/>
  <c r="Z69" i="12" s="1"/>
  <c r="X73" i="12"/>
  <c r="X77" i="12"/>
  <c r="Z77" i="12" s="1"/>
  <c r="X81" i="12"/>
  <c r="Z81" i="12" s="1"/>
  <c r="X85" i="12"/>
  <c r="Z85" i="12" s="1"/>
  <c r="X89" i="12"/>
  <c r="Z89" i="12" s="1"/>
  <c r="X93" i="12"/>
  <c r="Z93" i="12" s="1"/>
  <c r="X97" i="12"/>
  <c r="Z97" i="12" s="1"/>
  <c r="X101" i="12"/>
  <c r="Z101" i="12" s="1"/>
  <c r="X105" i="12"/>
  <c r="Z105" i="12" s="1"/>
  <c r="X109" i="12"/>
  <c r="X113" i="12"/>
  <c r="Z113" i="12" s="1"/>
  <c r="X117" i="12"/>
  <c r="X247" i="12"/>
  <c r="Z247" i="12" s="1"/>
  <c r="X13" i="15"/>
  <c r="P12" i="15"/>
  <c r="N28" i="15"/>
  <c r="L28" i="15"/>
  <c r="Z57" i="15"/>
  <c r="Z61" i="15"/>
  <c r="Z65" i="15"/>
  <c r="Z197" i="15"/>
  <c r="Z49" i="18"/>
  <c r="V103" i="27"/>
  <c r="V87" i="27"/>
  <c r="V79" i="27"/>
  <c r="V75" i="27"/>
  <c r="T62" i="27"/>
  <c r="V112" i="27"/>
  <c r="V111" i="27"/>
  <c r="V99" i="27"/>
  <c r="V91" i="27"/>
  <c r="V83" i="27"/>
  <c r="V71" i="27"/>
  <c r="V67" i="27"/>
  <c r="V120" i="27"/>
  <c r="V114" i="27"/>
  <c r="V106" i="27"/>
  <c r="V82" i="27"/>
  <c r="V118" i="27"/>
  <c r="V100" i="27"/>
  <c r="V115" i="27"/>
  <c r="V107" i="27"/>
  <c r="V124" i="27"/>
  <c r="V102" i="27"/>
  <c r="V94" i="27"/>
  <c r="V86" i="27"/>
  <c r="V78" i="27"/>
  <c r="V108" i="27"/>
  <c r="V104" i="27"/>
  <c r="V96" i="27"/>
  <c r="V88" i="27"/>
  <c r="V64" i="27"/>
  <c r="V62" i="27"/>
  <c r="V60" i="27"/>
  <c r="V56" i="27"/>
  <c r="V52" i="27"/>
  <c r="V48" i="27"/>
  <c r="V44" i="27"/>
  <c r="V98" i="27"/>
  <c r="V90" i="27"/>
  <c r="V55" i="27"/>
  <c r="V45" i="27"/>
  <c r="V92" i="27"/>
  <c r="V84" i="27"/>
  <c r="V73" i="27"/>
  <c r="V58" i="27"/>
  <c r="V113" i="27"/>
  <c r="V105" i="27"/>
  <c r="V76" i="27"/>
  <c r="V93" i="27"/>
  <c r="V49" i="27"/>
  <c r="V46" i="27"/>
  <c r="V101" i="27"/>
  <c r="V69" i="27"/>
  <c r="V110" i="27"/>
  <c r="V74" i="27"/>
  <c r="V59" i="27"/>
  <c r="V77" i="27"/>
  <c r="V53" i="27"/>
  <c r="V50" i="27"/>
  <c r="V47" i="27"/>
  <c r="V97" i="27"/>
  <c r="V85" i="27"/>
  <c r="V72" i="27"/>
  <c r="V65" i="27"/>
  <c r="V70" i="27"/>
  <c r="V57" i="27"/>
  <c r="V54" i="27"/>
  <c r="V51" i="27"/>
  <c r="V109" i="27"/>
  <c r="V95" i="27"/>
  <c r="V81" i="27"/>
  <c r="V80" i="27"/>
  <c r="V66" i="27"/>
  <c r="V119" i="27"/>
  <c r="V68" i="27"/>
  <c r="V89" i="27"/>
  <c r="V14" i="6"/>
  <c r="V16" i="6"/>
  <c r="V18" i="6"/>
  <c r="V20" i="6"/>
  <c r="V31" i="9"/>
  <c r="V35" i="9"/>
  <c r="V43" i="9"/>
  <c r="J47" i="9"/>
  <c r="V51" i="9"/>
  <c r="J59" i="9"/>
  <c r="J65" i="9"/>
  <c r="V67" i="9"/>
  <c r="J71" i="9"/>
  <c r="V79" i="9"/>
  <c r="J83" i="9"/>
  <c r="J91" i="9"/>
  <c r="D268" i="12"/>
  <c r="N270" i="12"/>
  <c r="N274" i="12"/>
  <c r="Z24" i="15"/>
  <c r="X24" i="15"/>
  <c r="L32" i="15"/>
  <c r="N32" i="15" s="1"/>
  <c r="N263" i="15"/>
  <c r="X267" i="15"/>
  <c r="Z267" i="15" s="1"/>
  <c r="P259" i="15"/>
  <c r="X259" i="15" s="1"/>
  <c r="N33" i="18"/>
  <c r="Z41" i="18"/>
  <c r="Z66" i="18"/>
  <c r="Z74" i="18"/>
  <c r="N105" i="18"/>
  <c r="Z132" i="18"/>
  <c r="L237" i="18"/>
  <c r="N237" i="18" s="1"/>
  <c r="X252" i="18"/>
  <c r="Z252" i="18" s="1"/>
  <c r="T12" i="18"/>
  <c r="N207" i="18"/>
  <c r="Z215" i="18"/>
  <c r="Z15" i="21"/>
  <c r="Z41" i="21"/>
  <c r="F51" i="21"/>
  <c r="Z74" i="21"/>
  <c r="F79" i="21"/>
  <c r="F83" i="21"/>
  <c r="N43" i="24"/>
  <c r="L43" i="24"/>
  <c r="N51" i="24"/>
  <c r="L51" i="24"/>
  <c r="N55" i="24"/>
  <c r="L55" i="24"/>
  <c r="Z85" i="24"/>
  <c r="N106" i="24"/>
  <c r="Z17" i="27"/>
  <c r="L196" i="18"/>
  <c r="X230" i="18"/>
  <c r="Z230" i="18" s="1"/>
  <c r="N275" i="18"/>
  <c r="N285" i="18"/>
  <c r="X288" i="18"/>
  <c r="Z288" i="18" s="1"/>
  <c r="F47" i="21"/>
  <c r="F71" i="21"/>
  <c r="N31" i="24"/>
  <c r="L31" i="24"/>
  <c r="L35" i="24"/>
  <c r="N35" i="24" s="1"/>
  <c r="Z43" i="24"/>
  <c r="F94" i="24"/>
  <c r="N23" i="27"/>
  <c r="L23" i="27"/>
  <c r="V144" i="30"/>
  <c r="V136" i="30"/>
  <c r="V132" i="30"/>
  <c r="V108" i="30"/>
  <c r="V100" i="30"/>
  <c r="V80" i="30"/>
  <c r="V76" i="30"/>
  <c r="V149" i="30"/>
  <c r="V119" i="30"/>
  <c r="V111" i="30"/>
  <c r="V99" i="30"/>
  <c r="V91" i="30"/>
  <c r="V67" i="30"/>
  <c r="V63" i="30"/>
  <c r="V59" i="30"/>
  <c r="V55" i="30"/>
  <c r="V51" i="30"/>
  <c r="V47" i="30"/>
  <c r="V146" i="30"/>
  <c r="V138" i="30"/>
  <c r="V126" i="30"/>
  <c r="V110" i="30"/>
  <c r="V102" i="30"/>
  <c r="V90" i="30"/>
  <c r="V86" i="30"/>
  <c r="V137" i="30"/>
  <c r="V133" i="30"/>
  <c r="V121" i="30"/>
  <c r="V113" i="30"/>
  <c r="V101" i="30"/>
  <c r="V93" i="30"/>
  <c r="V81" i="30"/>
  <c r="V77" i="30"/>
  <c r="V140" i="30"/>
  <c r="V128" i="30"/>
  <c r="V120" i="30"/>
  <c r="V112" i="30"/>
  <c r="V104" i="30"/>
  <c r="V92" i="30"/>
  <c r="V68" i="30"/>
  <c r="V64" i="30"/>
  <c r="V60" i="30"/>
  <c r="V56" i="30"/>
  <c r="V52" i="30"/>
  <c r="V48" i="30"/>
  <c r="V153" i="30"/>
  <c r="V139" i="30"/>
  <c r="V127" i="30"/>
  <c r="V115" i="30"/>
  <c r="V103" i="30"/>
  <c r="V95" i="30"/>
  <c r="V87" i="30"/>
  <c r="V141" i="30"/>
  <c r="V129" i="30"/>
  <c r="V117" i="30"/>
  <c r="V105" i="30"/>
  <c r="V97" i="30"/>
  <c r="V69" i="30"/>
  <c r="V65" i="30"/>
  <c r="V61" i="30"/>
  <c r="V57" i="30"/>
  <c r="V53" i="30"/>
  <c r="V49" i="30"/>
  <c r="V124" i="30"/>
  <c r="V116" i="30"/>
  <c r="V96" i="30"/>
  <c r="V88" i="30"/>
  <c r="V84" i="30"/>
  <c r="V143" i="30"/>
  <c r="V135" i="30"/>
  <c r="V131" i="30"/>
  <c r="V123" i="30"/>
  <c r="V107" i="30"/>
  <c r="V83" i="30"/>
  <c r="V79" i="30"/>
  <c r="V75" i="30"/>
  <c r="V145" i="30"/>
  <c r="V125" i="30"/>
  <c r="V109" i="30"/>
  <c r="V89" i="30"/>
  <c r="V85" i="30"/>
  <c r="T72" i="30"/>
  <c r="V134" i="30"/>
  <c r="V118" i="30"/>
  <c r="V78" i="30"/>
  <c r="V66" i="30"/>
  <c r="V58" i="30"/>
  <c r="V50" i="30"/>
  <c r="V122" i="30"/>
  <c r="V94" i="30"/>
  <c r="V106" i="30"/>
  <c r="V82" i="30"/>
  <c r="V46" i="30"/>
  <c r="V130" i="30"/>
  <c r="V98" i="30"/>
  <c r="V74" i="30"/>
  <c r="V70" i="30"/>
  <c r="V62" i="30"/>
  <c r="V54" i="30"/>
  <c r="V142" i="30"/>
  <c r="V114" i="30"/>
  <c r="L24" i="33"/>
  <c r="N24" i="33" s="1"/>
  <c r="H12" i="33"/>
  <c r="N16" i="21"/>
  <c r="L16" i="21"/>
  <c r="Z23" i="21"/>
  <c r="H12" i="24"/>
  <c r="L12" i="24" s="1"/>
  <c r="N15" i="24"/>
  <c r="L15" i="24"/>
  <c r="L19" i="24"/>
  <c r="N19" i="24" s="1"/>
  <c r="N23" i="24"/>
  <c r="L23" i="24"/>
  <c r="N27" i="24"/>
  <c r="L27" i="24"/>
  <c r="Z39" i="24"/>
  <c r="X27" i="27"/>
  <c r="Z27" i="27" s="1"/>
  <c r="Z16" i="33"/>
  <c r="T12" i="33"/>
  <c r="L260" i="15"/>
  <c r="N260" i="15" s="1"/>
  <c r="L215" i="18"/>
  <c r="X222" i="18"/>
  <c r="Z222" i="18" s="1"/>
  <c r="L232" i="18"/>
  <c r="N232" i="18" s="1"/>
  <c r="X277" i="18"/>
  <c r="P284" i="18"/>
  <c r="X284" i="18" s="1"/>
  <c r="Z290" i="18"/>
  <c r="L25" i="21"/>
  <c r="N25" i="21" s="1"/>
  <c r="F67" i="21"/>
  <c r="Z97" i="21"/>
  <c r="Z99" i="21"/>
  <c r="N48" i="24"/>
  <c r="F134" i="24"/>
  <c r="Z25" i="27"/>
  <c r="Z277" i="18"/>
  <c r="X16" i="21"/>
  <c r="Z16" i="21" s="1"/>
  <c r="L20" i="21"/>
  <c r="N20" i="21" s="1"/>
  <c r="D108" i="21"/>
  <c r="L29" i="21"/>
  <c r="Z23" i="24"/>
  <c r="P12" i="27"/>
  <c r="X14" i="27"/>
  <c r="Z14" i="27" s="1"/>
  <c r="N39" i="27"/>
  <c r="L39" i="27"/>
  <c r="L13" i="18"/>
  <c r="L17" i="18"/>
  <c r="L21" i="18"/>
  <c r="N21" i="18" s="1"/>
  <c r="L25" i="18"/>
  <c r="N25" i="18" s="1"/>
  <c r="L29" i="18"/>
  <c r="L33" i="18"/>
  <c r="L37" i="18"/>
  <c r="N37" i="18" s="1"/>
  <c r="L41" i="18"/>
  <c r="N41" i="18" s="1"/>
  <c r="L45" i="18"/>
  <c r="N45" i="18" s="1"/>
  <c r="L49" i="18"/>
  <c r="L53" i="18"/>
  <c r="N53" i="18" s="1"/>
  <c r="L57" i="18"/>
  <c r="L61" i="18"/>
  <c r="L65" i="18"/>
  <c r="N65" i="18" s="1"/>
  <c r="L69" i="18"/>
  <c r="N69" i="18" s="1"/>
  <c r="L73" i="18"/>
  <c r="N73" i="18" s="1"/>
  <c r="L77" i="18"/>
  <c r="L81" i="18"/>
  <c r="N81" i="18" s="1"/>
  <c r="L85" i="18"/>
  <c r="N85" i="18" s="1"/>
  <c r="N247" i="18"/>
  <c r="Z292" i="18"/>
  <c r="N296" i="18"/>
  <c r="F108" i="21"/>
  <c r="F106" i="21"/>
  <c r="F81" i="21"/>
  <c r="F80" i="21"/>
  <c r="F73" i="21"/>
  <c r="F72" i="21"/>
  <c r="F53" i="21"/>
  <c r="F52" i="21"/>
  <c r="F45" i="21"/>
  <c r="F110" i="21"/>
  <c r="F96" i="21"/>
  <c r="F92" i="21"/>
  <c r="F64" i="21"/>
  <c r="F63" i="21"/>
  <c r="F40" i="21"/>
  <c r="F36" i="21"/>
  <c r="F87" i="21"/>
  <c r="F75" i="21"/>
  <c r="F74" i="21"/>
  <c r="F55" i="21"/>
  <c r="F54" i="21"/>
  <c r="F27" i="21"/>
  <c r="F98" i="21"/>
  <c r="F97" i="21"/>
  <c r="F82" i="21"/>
  <c r="F46" i="21"/>
  <c r="F42" i="21"/>
  <c r="F41" i="21"/>
  <c r="F93" i="21"/>
  <c r="F89" i="21"/>
  <c r="F88" i="21"/>
  <c r="F65" i="21"/>
  <c r="F37" i="21"/>
  <c r="F33" i="21"/>
  <c r="F32" i="21"/>
  <c r="F100" i="21"/>
  <c r="F99" i="21"/>
  <c r="F76" i="21"/>
  <c r="F56" i="21"/>
  <c r="F31" i="21"/>
  <c r="F29" i="21"/>
  <c r="F102" i="21"/>
  <c r="F101" i="21"/>
  <c r="F94" i="21"/>
  <c r="F90" i="21"/>
  <c r="F58" i="21"/>
  <c r="F57" i="21"/>
  <c r="F38" i="21"/>
  <c r="F34" i="21"/>
  <c r="F77" i="21"/>
  <c r="F69" i="21"/>
  <c r="F68" i="21"/>
  <c r="F49" i="21"/>
  <c r="F48" i="21"/>
  <c r="F104" i="21"/>
  <c r="F103" i="21"/>
  <c r="F84" i="21"/>
  <c r="F60" i="21"/>
  <c r="F59" i="21"/>
  <c r="F44" i="21"/>
  <c r="L12" i="21"/>
  <c r="N12" i="21" s="1"/>
  <c r="F86" i="21"/>
  <c r="F85" i="21"/>
  <c r="F62" i="21"/>
  <c r="F61" i="21"/>
  <c r="F26" i="21"/>
  <c r="F25" i="21"/>
  <c r="F50" i="21"/>
  <c r="F78" i="21"/>
  <c r="Z48" i="24"/>
  <c r="Z86" i="24"/>
  <c r="Z129" i="24"/>
  <c r="T259" i="15"/>
  <c r="N13" i="18"/>
  <c r="Z232" i="18"/>
  <c r="Z256" i="18"/>
  <c r="L296" i="18"/>
  <c r="X20" i="21"/>
  <c r="Z20" i="21" s="1"/>
  <c r="L61" i="21"/>
  <c r="N61" i="21" s="1"/>
  <c r="X63" i="21"/>
  <c r="Z63" i="21" s="1"/>
  <c r="Z44" i="24"/>
  <c r="Z52" i="24"/>
  <c r="Z57" i="24"/>
  <c r="N26" i="27"/>
  <c r="L26" i="27"/>
  <c r="Z75" i="27"/>
  <c r="X132" i="18"/>
  <c r="F66" i="21"/>
  <c r="F70" i="21"/>
  <c r="F136" i="24"/>
  <c r="F135" i="24"/>
  <c r="F128" i="24"/>
  <c r="F127" i="24"/>
  <c r="F120" i="24"/>
  <c r="F119" i="24"/>
  <c r="F108" i="24"/>
  <c r="F100" i="24"/>
  <c r="F95" i="24"/>
  <c r="F91" i="24"/>
  <c r="F87" i="24"/>
  <c r="F86" i="24"/>
  <c r="F138" i="24"/>
  <c r="F137" i="24"/>
  <c r="F130" i="24"/>
  <c r="F129" i="24"/>
  <c r="F122" i="24"/>
  <c r="F121" i="24"/>
  <c r="F110" i="24"/>
  <c r="F109" i="24"/>
  <c r="F85" i="24"/>
  <c r="F83" i="24"/>
  <c r="F78" i="24"/>
  <c r="F74" i="24"/>
  <c r="F70" i="24"/>
  <c r="F66" i="24"/>
  <c r="F62" i="24"/>
  <c r="F58" i="24"/>
  <c r="F57" i="24"/>
  <c r="F101" i="24"/>
  <c r="F97" i="24"/>
  <c r="F96" i="24"/>
  <c r="D83" i="24"/>
  <c r="F141" i="24"/>
  <c r="F112" i="24"/>
  <c r="F111" i="24"/>
  <c r="F92" i="24"/>
  <c r="F88" i="24"/>
  <c r="F145" i="24"/>
  <c r="F140" i="24"/>
  <c r="F131" i="24"/>
  <c r="F123" i="24"/>
  <c r="F103" i="24"/>
  <c r="F102" i="24"/>
  <c r="F79" i="24"/>
  <c r="F75" i="24"/>
  <c r="F71" i="24"/>
  <c r="F67" i="24"/>
  <c r="F63" i="24"/>
  <c r="F59" i="24"/>
  <c r="F114" i="24"/>
  <c r="F113" i="24"/>
  <c r="F98" i="24"/>
  <c r="F125" i="24"/>
  <c r="F124" i="24"/>
  <c r="F105" i="24"/>
  <c r="F104" i="24"/>
  <c r="F93" i="24"/>
  <c r="F89" i="24"/>
  <c r="F132" i="24"/>
  <c r="F116" i="24"/>
  <c r="F115" i="24"/>
  <c r="F80" i="24"/>
  <c r="F76" i="24"/>
  <c r="F72" i="24"/>
  <c r="F68" i="24"/>
  <c r="F64" i="24"/>
  <c r="F60" i="24"/>
  <c r="F107" i="24"/>
  <c r="F106" i="24"/>
  <c r="F99" i="24"/>
  <c r="F81" i="24"/>
  <c r="F77" i="24"/>
  <c r="F73" i="24"/>
  <c r="F69" i="24"/>
  <c r="F65" i="24"/>
  <c r="F61" i="24"/>
  <c r="F90" i="24"/>
  <c r="X102" i="24"/>
  <c r="Z102" i="24" s="1"/>
  <c r="L228" i="18"/>
  <c r="N228" i="18" s="1"/>
  <c r="X234" i="18"/>
  <c r="L252" i="18"/>
  <c r="N252" i="18" s="1"/>
  <c r="L264" i="18"/>
  <c r="N264" i="18" s="1"/>
  <c r="N286" i="18"/>
  <c r="H284" i="18"/>
  <c r="J284" i="18" s="1"/>
  <c r="P12" i="21"/>
  <c r="X13" i="21"/>
  <c r="X31" i="21"/>
  <c r="Z31" i="21" s="1"/>
  <c r="L57" i="21"/>
  <c r="N59" i="21"/>
  <c r="L85" i="21"/>
  <c r="Z42" i="24"/>
  <c r="F126" i="24"/>
  <c r="L140" i="24"/>
  <c r="Z28" i="27"/>
  <c r="N64" i="27"/>
  <c r="L64" i="15"/>
  <c r="N64" i="15" s="1"/>
  <c r="L68" i="15"/>
  <c r="N68" i="15" s="1"/>
  <c r="L72" i="15"/>
  <c r="N72" i="15" s="1"/>
  <c r="L76" i="15"/>
  <c r="N76" i="15" s="1"/>
  <c r="L80" i="15"/>
  <c r="N80" i="15" s="1"/>
  <c r="L84" i="15"/>
  <c r="N84" i="15" s="1"/>
  <c r="L88" i="15"/>
  <c r="L92" i="15"/>
  <c r="L96" i="15"/>
  <c r="N96" i="15" s="1"/>
  <c r="L100" i="15"/>
  <c r="N100" i="15" s="1"/>
  <c r="L104" i="15"/>
  <c r="L108" i="15"/>
  <c r="L112" i="15"/>
  <c r="X13" i="18"/>
  <c r="X17" i="18"/>
  <c r="Z17" i="18" s="1"/>
  <c r="X21" i="18"/>
  <c r="Z21" i="18" s="1"/>
  <c r="X25" i="18"/>
  <c r="X29" i="18"/>
  <c r="Z29" i="18" s="1"/>
  <c r="X33" i="18"/>
  <c r="Z33" i="18" s="1"/>
  <c r="X37" i="18"/>
  <c r="X41" i="18"/>
  <c r="X45" i="18"/>
  <c r="Z45" i="18" s="1"/>
  <c r="X49" i="18"/>
  <c r="X53" i="18"/>
  <c r="Z53" i="18" s="1"/>
  <c r="X57" i="18"/>
  <c r="X61" i="18"/>
  <c r="Z61" i="18" s="1"/>
  <c r="X65" i="18"/>
  <c r="Z65" i="18" s="1"/>
  <c r="X69" i="18"/>
  <c r="Z69" i="18" s="1"/>
  <c r="X73" i="18"/>
  <c r="Z73" i="18" s="1"/>
  <c r="X77" i="18"/>
  <c r="Z77" i="18" s="1"/>
  <c r="X81" i="18"/>
  <c r="Z81" i="18" s="1"/>
  <c r="X85" i="18"/>
  <c r="X89" i="18"/>
  <c r="Z89" i="18" s="1"/>
  <c r="X93" i="18"/>
  <c r="Z93" i="18" s="1"/>
  <c r="X97" i="18"/>
  <c r="X101" i="18"/>
  <c r="Z101" i="18" s="1"/>
  <c r="X105" i="18"/>
  <c r="Z105" i="18" s="1"/>
  <c r="X109" i="18"/>
  <c r="Z109" i="18" s="1"/>
  <c r="X113" i="18"/>
  <c r="Z113" i="18" s="1"/>
  <c r="X117" i="18"/>
  <c r="Z117" i="18" s="1"/>
  <c r="X121" i="18"/>
  <c r="X125" i="18"/>
  <c r="Z125" i="18" s="1"/>
  <c r="L131" i="18"/>
  <c r="N131" i="18" s="1"/>
  <c r="N220" i="18"/>
  <c r="Z234" i="18"/>
  <c r="Z13" i="21"/>
  <c r="F39" i="21"/>
  <c r="N57" i="21"/>
  <c r="N85" i="21"/>
  <c r="Z24" i="24"/>
  <c r="Z38" i="24"/>
  <c r="L13" i="27"/>
  <c r="N13" i="27" s="1"/>
  <c r="D12" i="27"/>
  <c r="N45" i="33"/>
  <c r="N127" i="18"/>
  <c r="Z272" i="18"/>
  <c r="T284" i="18"/>
  <c r="Z291" i="18"/>
  <c r="Z17" i="21"/>
  <c r="P12" i="24"/>
  <c r="Z16" i="24"/>
  <c r="Z20" i="24"/>
  <c r="Z30" i="24"/>
  <c r="L47" i="24"/>
  <c r="N47" i="24" s="1"/>
  <c r="F133" i="24"/>
  <c r="Z140" i="24"/>
  <c r="X140" i="24"/>
  <c r="H12" i="27"/>
  <c r="Z24" i="27"/>
  <c r="N42" i="27"/>
  <c r="L42" i="27"/>
  <c r="X285" i="18"/>
  <c r="Z285" i="18" s="1"/>
  <c r="N41" i="21"/>
  <c r="Z59" i="21"/>
  <c r="N24" i="24"/>
  <c r="N28" i="24"/>
  <c r="N32" i="24"/>
  <c r="N36" i="24"/>
  <c r="N96" i="24"/>
  <c r="Z106" i="24"/>
  <c r="N14" i="27"/>
  <c r="Z15" i="27"/>
  <c r="X24" i="27"/>
  <c r="N30" i="27"/>
  <c r="Z31" i="27"/>
  <c r="X40" i="27"/>
  <c r="Z40" i="27" s="1"/>
  <c r="L88" i="27"/>
  <c r="N88" i="27" s="1"/>
  <c r="L101" i="27"/>
  <c r="N101" i="27" s="1"/>
  <c r="Z23" i="30"/>
  <c r="Z25" i="30"/>
  <c r="Z43" i="30"/>
  <c r="Z95" i="30"/>
  <c r="X107" i="30"/>
  <c r="Z107" i="30" s="1"/>
  <c r="L121" i="30"/>
  <c r="N121" i="30" s="1"/>
  <c r="X16" i="33"/>
  <c r="L20" i="33"/>
  <c r="N20" i="33" s="1"/>
  <c r="Z286" i="18"/>
  <c r="T12" i="24"/>
  <c r="L112" i="27"/>
  <c r="N112" i="27" s="1"/>
  <c r="Z27" i="30"/>
  <c r="Z29" i="30"/>
  <c r="X36" i="30"/>
  <c r="Z36" i="30" s="1"/>
  <c r="N145" i="30"/>
  <c r="Z20" i="33"/>
  <c r="X24" i="33"/>
  <c r="N28" i="33"/>
  <c r="L28" i="33"/>
  <c r="V89" i="45"/>
  <c r="V80" i="45"/>
  <c r="V76" i="45"/>
  <c r="V60" i="45"/>
  <c r="V48" i="45"/>
  <c r="V36" i="45"/>
  <c r="V32" i="45"/>
  <c r="V28" i="45"/>
  <c r="V71" i="45"/>
  <c r="V63" i="45"/>
  <c r="V51" i="45"/>
  <c r="V90" i="45"/>
  <c r="V87" i="45"/>
  <c r="V70" i="45"/>
  <c r="V62" i="45"/>
  <c r="V50" i="45"/>
  <c r="V42" i="45"/>
  <c r="V38" i="45"/>
  <c r="V88" i="45"/>
  <c r="V81" i="45"/>
  <c r="V77" i="45"/>
  <c r="V65" i="45"/>
  <c r="V53" i="45"/>
  <c r="V33" i="45"/>
  <c r="V29" i="45"/>
  <c r="V72" i="45"/>
  <c r="V64" i="45"/>
  <c r="V52" i="45"/>
  <c r="V20" i="45"/>
  <c r="V96" i="45"/>
  <c r="V92" i="45"/>
  <c r="V67" i="45"/>
  <c r="V55" i="45"/>
  <c r="V43" i="45"/>
  <c r="V39" i="45"/>
  <c r="V82" i="45"/>
  <c r="V78" i="45"/>
  <c r="V66" i="45"/>
  <c r="V54" i="45"/>
  <c r="V34" i="45"/>
  <c r="V30" i="45"/>
  <c r="V73" i="45"/>
  <c r="V57" i="45"/>
  <c r="V45" i="45"/>
  <c r="V21" i="45"/>
  <c r="V84" i="45"/>
  <c r="V68" i="45"/>
  <c r="V56" i="45"/>
  <c r="V44" i="45"/>
  <c r="V40" i="45"/>
  <c r="V83" i="45"/>
  <c r="V79" i="45"/>
  <c r="V75" i="45"/>
  <c r="V59" i="45"/>
  <c r="V47" i="45"/>
  <c r="V35" i="45"/>
  <c r="V31" i="45"/>
  <c r="V27" i="45"/>
  <c r="V85" i="45"/>
  <c r="V69" i="45"/>
  <c r="V61" i="45"/>
  <c r="V49" i="45"/>
  <c r="V41" i="45"/>
  <c r="V37" i="45"/>
  <c r="T24" i="45"/>
  <c r="V58" i="45"/>
  <c r="V26" i="45"/>
  <c r="V74" i="45"/>
  <c r="V86" i="45"/>
  <c r="V24" i="45"/>
  <c r="V22" i="45"/>
  <c r="V46" i="45"/>
  <c r="D12" i="30"/>
  <c r="L13" i="30"/>
  <c r="Z24" i="33"/>
  <c r="N19" i="27"/>
  <c r="L25" i="27"/>
  <c r="N25" i="27" s="1"/>
  <c r="L41" i="27"/>
  <c r="X114" i="27"/>
  <c r="Z114" i="27" s="1"/>
  <c r="X16" i="30"/>
  <c r="Z16" i="30" s="1"/>
  <c r="Z31" i="30"/>
  <c r="X40" i="30"/>
  <c r="Z40" i="30" s="1"/>
  <c r="L149" i="30"/>
  <c r="N149" i="30" s="1"/>
  <c r="P12" i="33"/>
  <c r="X13" i="33"/>
  <c r="N15" i="33"/>
  <c r="N17" i="33"/>
  <c r="Z28" i="33"/>
  <c r="N54" i="33"/>
  <c r="N74" i="33"/>
  <c r="N90" i="27"/>
  <c r="N113" i="30"/>
  <c r="L113" i="30"/>
  <c r="Z13" i="33"/>
  <c r="X15" i="24"/>
  <c r="Z15" i="24" s="1"/>
  <c r="X19" i="24"/>
  <c r="Z19" i="24" s="1"/>
  <c r="X23" i="24"/>
  <c r="X27" i="24"/>
  <c r="Z27" i="24" s="1"/>
  <c r="X31" i="24"/>
  <c r="Z31" i="24" s="1"/>
  <c r="X35" i="24"/>
  <c r="Z35" i="24" s="1"/>
  <c r="X39" i="24"/>
  <c r="X43" i="24"/>
  <c r="X47" i="24"/>
  <c r="Z47" i="24" s="1"/>
  <c r="X51" i="24"/>
  <c r="Z51" i="24" s="1"/>
  <c r="X55" i="24"/>
  <c r="X13" i="27"/>
  <c r="X29" i="27"/>
  <c r="Z29" i="27" s="1"/>
  <c r="N95" i="27"/>
  <c r="Z101" i="27"/>
  <c r="X118" i="27"/>
  <c r="Z118" i="27" s="1"/>
  <c r="X20" i="30"/>
  <c r="Z20" i="30" s="1"/>
  <c r="N111" i="30"/>
  <c r="Z17" i="33"/>
  <c r="N25" i="33"/>
  <c r="H140" i="24"/>
  <c r="N140" i="24" s="1"/>
  <c r="Z13" i="27"/>
  <c r="L21" i="27"/>
  <c r="N21" i="27" s="1"/>
  <c r="L37" i="27"/>
  <c r="N37" i="27" s="1"/>
  <c r="Z93" i="27"/>
  <c r="Z120" i="27"/>
  <c r="Z24" i="30"/>
  <c r="X24" i="30"/>
  <c r="Z35" i="30"/>
  <c r="Z37" i="30"/>
  <c r="Z44" i="30"/>
  <c r="X44" i="30"/>
  <c r="L109" i="30"/>
  <c r="Z115" i="30"/>
  <c r="Z21" i="33"/>
  <c r="X81" i="36"/>
  <c r="Z81" i="36" s="1"/>
  <c r="L44" i="27"/>
  <c r="N44" i="27" s="1"/>
  <c r="N109" i="30"/>
  <c r="L65" i="33"/>
  <c r="N65" i="33" s="1"/>
  <c r="X15" i="21"/>
  <c r="X19" i="21"/>
  <c r="Z19" i="21" s="1"/>
  <c r="X23" i="21"/>
  <c r="X14" i="24"/>
  <c r="Z14" i="24" s="1"/>
  <c r="X18" i="24"/>
  <c r="Z18" i="24" s="1"/>
  <c r="X22" i="24"/>
  <c r="Z22" i="24" s="1"/>
  <c r="X26" i="24"/>
  <c r="X30" i="24"/>
  <c r="X34" i="24"/>
  <c r="Z34" i="24" s="1"/>
  <c r="X38" i="24"/>
  <c r="X42" i="24"/>
  <c r="X46" i="24"/>
  <c r="Z46" i="24" s="1"/>
  <c r="X50" i="24"/>
  <c r="Z50" i="24" s="1"/>
  <c r="X54" i="24"/>
  <c r="X25" i="27"/>
  <c r="X28" i="27"/>
  <c r="L104" i="27"/>
  <c r="N104" i="27" s="1"/>
  <c r="N117" i="27"/>
  <c r="Z15" i="30"/>
  <c r="X28" i="30"/>
  <c r="Z28" i="30" s="1"/>
  <c r="Z39" i="30"/>
  <c r="X75" i="30"/>
  <c r="Z75" i="30" s="1"/>
  <c r="Z131" i="30"/>
  <c r="X131" i="30"/>
  <c r="X29" i="33"/>
  <c r="Z29" i="33" s="1"/>
  <c r="N98" i="33"/>
  <c r="L289" i="18"/>
  <c r="X50" i="21"/>
  <c r="Z50" i="21" s="1"/>
  <c r="X70" i="21"/>
  <c r="Z70" i="21" s="1"/>
  <c r="X78" i="21"/>
  <c r="Z78" i="21" s="1"/>
  <c r="L88" i="21"/>
  <c r="L111" i="24"/>
  <c r="X117" i="24"/>
  <c r="Z117" i="24" s="1"/>
  <c r="X133" i="24"/>
  <c r="Z133" i="24" s="1"/>
  <c r="L141" i="24"/>
  <c r="X90" i="27"/>
  <c r="Z90" i="27"/>
  <c r="L93" i="30"/>
  <c r="N93" i="30" s="1"/>
  <c r="Z97" i="30"/>
  <c r="L27" i="27"/>
  <c r="N27" i="27" s="1"/>
  <c r="L64" i="27"/>
  <c r="N75" i="27"/>
  <c r="Z81" i="27"/>
  <c r="Z21" i="30"/>
  <c r="Z32" i="30"/>
  <c r="X32" i="30"/>
  <c r="N91" i="30"/>
  <c r="Z142" i="30"/>
  <c r="N16" i="33"/>
  <c r="L16" i="33"/>
  <c r="N61" i="33"/>
  <c r="L12" i="39"/>
  <c r="N118" i="27"/>
  <c r="L119" i="27"/>
  <c r="P12" i="30"/>
  <c r="J49" i="30"/>
  <c r="J53" i="30"/>
  <c r="J57" i="30"/>
  <c r="J61" i="30"/>
  <c r="J65" i="30"/>
  <c r="J69" i="30"/>
  <c r="Z91" i="30"/>
  <c r="J95" i="30"/>
  <c r="N97" i="30"/>
  <c r="J105" i="30"/>
  <c r="Z111" i="30"/>
  <c r="J115" i="30"/>
  <c r="N117" i="30"/>
  <c r="J129" i="30"/>
  <c r="J141" i="30"/>
  <c r="Z149" i="30"/>
  <c r="D12" i="33"/>
  <c r="Z79" i="33"/>
  <c r="X96" i="33"/>
  <c r="Z96" i="33" s="1"/>
  <c r="L98" i="33"/>
  <c r="H12" i="36"/>
  <c r="N14" i="36"/>
  <c r="L14" i="36"/>
  <c r="T12" i="39"/>
  <c r="X13" i="39"/>
  <c r="Z13" i="39" s="1"/>
  <c r="N22" i="39"/>
  <c r="Z105" i="39"/>
  <c r="Z120" i="39"/>
  <c r="T117" i="27"/>
  <c r="V117" i="27" s="1"/>
  <c r="J87" i="30"/>
  <c r="J93" i="30"/>
  <c r="J103" i="30"/>
  <c r="J113" i="30"/>
  <c r="J121" i="30"/>
  <c r="J127" i="30"/>
  <c r="J139" i="30"/>
  <c r="H148" i="30"/>
  <c r="J148" i="30" s="1"/>
  <c r="J153" i="30"/>
  <c r="Z45" i="33"/>
  <c r="Z92" i="33"/>
  <c r="Z23" i="36"/>
  <c r="L75" i="36"/>
  <c r="N75" i="36" s="1"/>
  <c r="N102" i="36"/>
  <c r="Z22" i="39"/>
  <c r="F71" i="39"/>
  <c r="F91" i="39"/>
  <c r="Z118" i="39"/>
  <c r="N17" i="42"/>
  <c r="L17" i="42"/>
  <c r="J48" i="30"/>
  <c r="J52" i="30"/>
  <c r="J56" i="30"/>
  <c r="J60" i="30"/>
  <c r="J64" i="30"/>
  <c r="J68" i="30"/>
  <c r="J92" i="30"/>
  <c r="J102" i="30"/>
  <c r="J112" i="30"/>
  <c r="J120" i="30"/>
  <c r="J138" i="30"/>
  <c r="H92" i="33"/>
  <c r="N94" i="33"/>
  <c r="L18" i="36"/>
  <c r="N18" i="36" s="1"/>
  <c r="Z19" i="42"/>
  <c r="J77" i="30"/>
  <c r="J81" i="30"/>
  <c r="J91" i="30"/>
  <c r="J101" i="30"/>
  <c r="J111" i="30"/>
  <c r="J133" i="30"/>
  <c r="J137" i="30"/>
  <c r="J149" i="30"/>
  <c r="X45" i="33"/>
  <c r="L94" i="33"/>
  <c r="Z98" i="33"/>
  <c r="L24" i="36"/>
  <c r="N24" i="36" s="1"/>
  <c r="Z77" i="36"/>
  <c r="H123" i="36"/>
  <c r="L125" i="36"/>
  <c r="N125" i="36" s="1"/>
  <c r="D38" i="39"/>
  <c r="F52" i="39"/>
  <c r="Z15" i="42"/>
  <c r="N22" i="36"/>
  <c r="L22" i="36"/>
  <c r="N33" i="36"/>
  <c r="J47" i="30"/>
  <c r="J51" i="30"/>
  <c r="J55" i="30"/>
  <c r="J59" i="30"/>
  <c r="J63" i="30"/>
  <c r="J67" i="30"/>
  <c r="H72" i="30"/>
  <c r="J72" i="30" s="1"/>
  <c r="J99" i="30"/>
  <c r="J109" i="30"/>
  <c r="J119" i="30"/>
  <c r="J145" i="30"/>
  <c r="Z18" i="36"/>
  <c r="N85" i="36"/>
  <c r="Z34" i="39"/>
  <c r="N40" i="39"/>
  <c r="N99" i="39"/>
  <c r="L99" i="39"/>
  <c r="J46" i="30"/>
  <c r="J74" i="30"/>
  <c r="J76" i="30"/>
  <c r="J80" i="30"/>
  <c r="J108" i="30"/>
  <c r="J132" i="30"/>
  <c r="J136" i="30"/>
  <c r="J144" i="30"/>
  <c r="L45" i="33"/>
  <c r="L72" i="33"/>
  <c r="N72" i="33" s="1"/>
  <c r="X87" i="33"/>
  <c r="Z87" i="33" s="1"/>
  <c r="X97" i="33"/>
  <c r="Z97" i="33" s="1"/>
  <c r="P12" i="36"/>
  <c r="L22" i="42"/>
  <c r="N22" i="42" s="1"/>
  <c r="J75" i="30"/>
  <c r="J85" i="30"/>
  <c r="J89" i="30"/>
  <c r="J107" i="30"/>
  <c r="J125" i="30"/>
  <c r="J131" i="30"/>
  <c r="T148" i="30"/>
  <c r="T12" i="36"/>
  <c r="L27" i="36"/>
  <c r="N27" i="36" s="1"/>
  <c r="N25" i="39"/>
  <c r="Z29" i="39"/>
  <c r="X29" i="39"/>
  <c r="J50" i="30"/>
  <c r="J54" i="30"/>
  <c r="J58" i="30"/>
  <c r="J62" i="30"/>
  <c r="J66" i="30"/>
  <c r="J70" i="30"/>
  <c r="J84" i="30"/>
  <c r="J98" i="30"/>
  <c r="J106" i="30"/>
  <c r="J118" i="30"/>
  <c r="J124" i="30"/>
  <c r="J130" i="30"/>
  <c r="N96" i="33"/>
  <c r="N83" i="36"/>
  <c r="F136" i="39"/>
  <c r="F131" i="39"/>
  <c r="F114" i="39"/>
  <c r="F110" i="39"/>
  <c r="F98" i="39"/>
  <c r="F107" i="39"/>
  <c r="F95" i="39"/>
  <c r="F123" i="39"/>
  <c r="F117" i="39"/>
  <c r="F103" i="39"/>
  <c r="F100" i="39"/>
  <c r="F82" i="39"/>
  <c r="F74" i="39"/>
  <c r="F73" i="39"/>
  <c r="F66" i="39"/>
  <c r="F65" i="39"/>
  <c r="F57" i="39"/>
  <c r="F53" i="39"/>
  <c r="F129" i="39"/>
  <c r="F118" i="39"/>
  <c r="F96" i="39"/>
  <c r="F93" i="39"/>
  <c r="F84" i="39"/>
  <c r="F83" i="39"/>
  <c r="F76" i="39"/>
  <c r="F75" i="39"/>
  <c r="F48" i="39"/>
  <c r="F44" i="39"/>
  <c r="F132" i="39"/>
  <c r="F130" i="39"/>
  <c r="F119" i="39"/>
  <c r="F111" i="39"/>
  <c r="F67" i="39"/>
  <c r="F35" i="39"/>
  <c r="F34" i="39"/>
  <c r="F124" i="39"/>
  <c r="F104" i="39"/>
  <c r="F101" i="39"/>
  <c r="F97" i="39"/>
  <c r="F86" i="39"/>
  <c r="F85" i="39"/>
  <c r="F78" i="39"/>
  <c r="F77" i="39"/>
  <c r="F58" i="39"/>
  <c r="F54" i="39"/>
  <c r="F108" i="39"/>
  <c r="F49" i="39"/>
  <c r="F45" i="39"/>
  <c r="F120" i="39"/>
  <c r="F115" i="39"/>
  <c r="F94" i="39"/>
  <c r="F88" i="39"/>
  <c r="F87" i="39"/>
  <c r="F68" i="39"/>
  <c r="F60" i="39"/>
  <c r="F59" i="39"/>
  <c r="F36" i="39"/>
  <c r="F125" i="39"/>
  <c r="F121" i="39"/>
  <c r="F112" i="39"/>
  <c r="F109" i="39"/>
  <c r="F105" i="39"/>
  <c r="F79" i="39"/>
  <c r="F55" i="39"/>
  <c r="F102" i="39"/>
  <c r="F90" i="39"/>
  <c r="F89" i="39"/>
  <c r="F70" i="39"/>
  <c r="F69" i="39"/>
  <c r="F62" i="39"/>
  <c r="F61" i="39"/>
  <c r="F50" i="39"/>
  <c r="F46" i="39"/>
  <c r="F42" i="39"/>
  <c r="F41" i="39"/>
  <c r="F126" i="39"/>
  <c r="F116" i="39"/>
  <c r="F106" i="39"/>
  <c r="F81" i="39"/>
  <c r="F80" i="39"/>
  <c r="F40" i="39"/>
  <c r="F38" i="39"/>
  <c r="F99" i="39"/>
  <c r="F92" i="39"/>
  <c r="F47" i="39"/>
  <c r="F43" i="39"/>
  <c r="Z21" i="39"/>
  <c r="X21" i="39"/>
  <c r="F56" i="39"/>
  <c r="F63" i="39"/>
  <c r="F72" i="39"/>
  <c r="F113" i="39"/>
  <c r="F122" i="39"/>
  <c r="J79" i="30"/>
  <c r="J83" i="30"/>
  <c r="L84" i="30"/>
  <c r="N84" i="30" s="1"/>
  <c r="J97" i="30"/>
  <c r="X102" i="30"/>
  <c r="Z102" i="30" s="1"/>
  <c r="J117" i="30"/>
  <c r="J123" i="30"/>
  <c r="L124" i="30"/>
  <c r="N124" i="30" s="1"/>
  <c r="J135" i="30"/>
  <c r="X138" i="30"/>
  <c r="Z138" i="30" s="1"/>
  <c r="J143" i="30"/>
  <c r="Z74" i="33"/>
  <c r="D92" i="33"/>
  <c r="L92" i="33" s="1"/>
  <c r="Z27" i="36"/>
  <c r="N13" i="39"/>
  <c r="X17" i="39"/>
  <c r="Z17" i="39" s="1"/>
  <c r="Z25" i="39"/>
  <c r="X25" i="39"/>
  <c r="F51" i="39"/>
  <c r="F127" i="39"/>
  <c r="J88" i="30"/>
  <c r="J96" i="30"/>
  <c r="J116" i="30"/>
  <c r="L44" i="33"/>
  <c r="N44" i="33" s="1"/>
  <c r="Z69" i="33"/>
  <c r="D12" i="36"/>
  <c r="Z19" i="36"/>
  <c r="Z93" i="36"/>
  <c r="Z33" i="36"/>
  <c r="N79" i="36"/>
  <c r="Z85" i="36"/>
  <c r="N99" i="36"/>
  <c r="H12" i="39"/>
  <c r="N34" i="39"/>
  <c r="R35" i="39"/>
  <c r="Z40" i="39"/>
  <c r="R67" i="39"/>
  <c r="Z80" i="39"/>
  <c r="R93" i="39"/>
  <c r="L122" i="39"/>
  <c r="N122" i="39" s="1"/>
  <c r="D12" i="42"/>
  <c r="X15" i="42"/>
  <c r="Z18" i="42"/>
  <c r="Z57" i="42"/>
  <c r="X57" i="42"/>
  <c r="N67" i="42"/>
  <c r="N90" i="42"/>
  <c r="R101" i="42"/>
  <c r="X113" i="42"/>
  <c r="Z113" i="42" s="1"/>
  <c r="N16" i="45"/>
  <c r="R34" i="39"/>
  <c r="R53" i="39"/>
  <c r="R57" i="39"/>
  <c r="R96" i="39"/>
  <c r="R118" i="39"/>
  <c r="R123" i="39"/>
  <c r="R129" i="39"/>
  <c r="L19" i="42"/>
  <c r="N19" i="42" s="1"/>
  <c r="Z32" i="42"/>
  <c r="N51" i="42"/>
  <c r="X53" i="42"/>
  <c r="Z53" i="42" s="1"/>
  <c r="R90" i="42"/>
  <c r="N99" i="42"/>
  <c r="L99" i="42"/>
  <c r="X109" i="42"/>
  <c r="Z122" i="42"/>
  <c r="X16" i="45"/>
  <c r="Z16" i="45" s="1"/>
  <c r="P123" i="36"/>
  <c r="X123" i="36" s="1"/>
  <c r="Z123" i="36" s="1"/>
  <c r="R106" i="39"/>
  <c r="R94" i="39"/>
  <c r="R130" i="39"/>
  <c r="R127" i="39"/>
  <c r="R120" i="39"/>
  <c r="R119" i="39"/>
  <c r="R103" i="39"/>
  <c r="R66" i="39"/>
  <c r="R74" i="39"/>
  <c r="R75" i="39"/>
  <c r="R82" i="39"/>
  <c r="R83" i="39"/>
  <c r="R100" i="39"/>
  <c r="R117" i="39"/>
  <c r="N126" i="39"/>
  <c r="R96" i="42"/>
  <c r="R95" i="42"/>
  <c r="R91" i="42"/>
  <c r="R76" i="42"/>
  <c r="R75" i="42"/>
  <c r="R39" i="42"/>
  <c r="R35" i="42"/>
  <c r="R114" i="42"/>
  <c r="R106" i="42"/>
  <c r="R102" i="42"/>
  <c r="R67" i="42"/>
  <c r="R66" i="42"/>
  <c r="R58" i="42"/>
  <c r="R97" i="42"/>
  <c r="R85" i="42"/>
  <c r="R78" i="42"/>
  <c r="R77" i="42"/>
  <c r="R49" i="42"/>
  <c r="R45" i="42"/>
  <c r="R92" i="42"/>
  <c r="R69" i="42"/>
  <c r="R68" i="42"/>
  <c r="R40" i="42"/>
  <c r="R115" i="42"/>
  <c r="R107" i="42"/>
  <c r="R103" i="42"/>
  <c r="R80" i="42"/>
  <c r="R79" i="42"/>
  <c r="R59" i="42"/>
  <c r="R27" i="42"/>
  <c r="R99" i="42"/>
  <c r="R98" i="42"/>
  <c r="R87" i="42"/>
  <c r="R86" i="42"/>
  <c r="R71" i="42"/>
  <c r="R70" i="42"/>
  <c r="R51" i="42"/>
  <c r="R50" i="42"/>
  <c r="R46" i="42"/>
  <c r="R123" i="42"/>
  <c r="R117" i="42"/>
  <c r="R116" i="42"/>
  <c r="R109" i="42"/>
  <c r="R108" i="42"/>
  <c r="R104" i="42"/>
  <c r="R100" i="42"/>
  <c r="R88" i="42"/>
  <c r="R72" i="42"/>
  <c r="R61" i="42"/>
  <c r="R60" i="42"/>
  <c r="R53" i="42"/>
  <c r="R52" i="42"/>
  <c r="R33" i="42"/>
  <c r="R122" i="42"/>
  <c r="R83" i="42"/>
  <c r="R47" i="42"/>
  <c r="R32" i="42"/>
  <c r="R121" i="42"/>
  <c r="R118" i="42"/>
  <c r="R111" i="42"/>
  <c r="R110" i="42"/>
  <c r="R94" i="42"/>
  <c r="R63" i="42"/>
  <c r="R62" i="42"/>
  <c r="R55" i="42"/>
  <c r="R54" i="42"/>
  <c r="R43" i="42"/>
  <c r="R42" i="42"/>
  <c r="R38" i="42"/>
  <c r="R34" i="42"/>
  <c r="R113" i="42"/>
  <c r="R112" i="42"/>
  <c r="R84" i="42"/>
  <c r="R65" i="42"/>
  <c r="R64" i="42"/>
  <c r="R57" i="42"/>
  <c r="R56" i="42"/>
  <c r="R48" i="42"/>
  <c r="R44" i="42"/>
  <c r="R41" i="42"/>
  <c r="R74" i="42"/>
  <c r="Z109" i="42"/>
  <c r="F89" i="45"/>
  <c r="F88" i="45"/>
  <c r="F90" i="45"/>
  <c r="F96" i="45"/>
  <c r="F73" i="45"/>
  <c r="F21" i="45"/>
  <c r="F20" i="45"/>
  <c r="F68" i="45"/>
  <c r="F67" i="45"/>
  <c r="F56" i="45"/>
  <c r="F55" i="45"/>
  <c r="F44" i="45"/>
  <c r="F40" i="45"/>
  <c r="L12" i="45"/>
  <c r="N12" i="45" s="1"/>
  <c r="F83" i="45"/>
  <c r="F79" i="45"/>
  <c r="F35" i="45"/>
  <c r="F31" i="45"/>
  <c r="F74" i="45"/>
  <c r="F58" i="45"/>
  <c r="F57" i="45"/>
  <c r="F46" i="45"/>
  <c r="F45" i="45"/>
  <c r="F22" i="45"/>
  <c r="F85" i="45"/>
  <c r="F84" i="45"/>
  <c r="F69" i="45"/>
  <c r="F41" i="45"/>
  <c r="F80" i="45"/>
  <c r="F76" i="45"/>
  <c r="F75" i="45"/>
  <c r="F60" i="45"/>
  <c r="F59" i="45"/>
  <c r="F48" i="45"/>
  <c r="F47" i="45"/>
  <c r="F36" i="45"/>
  <c r="F32" i="45"/>
  <c r="F28" i="45"/>
  <c r="F27" i="45"/>
  <c r="F86" i="45"/>
  <c r="F26" i="45"/>
  <c r="F24" i="45"/>
  <c r="F87" i="45"/>
  <c r="F70" i="45"/>
  <c r="F62" i="45"/>
  <c r="F61" i="45"/>
  <c r="F50" i="45"/>
  <c r="F49" i="45"/>
  <c r="F42" i="45"/>
  <c r="F38" i="45"/>
  <c r="F37" i="45"/>
  <c r="D24" i="45"/>
  <c r="F81" i="45"/>
  <c r="F77" i="45"/>
  <c r="F33" i="45"/>
  <c r="F29" i="45"/>
  <c r="F72" i="45"/>
  <c r="F71" i="45"/>
  <c r="F64" i="45"/>
  <c r="F63" i="45"/>
  <c r="F52" i="45"/>
  <c r="F51" i="45"/>
  <c r="F92" i="45"/>
  <c r="F82" i="45"/>
  <c r="F78" i="45"/>
  <c r="F66" i="45"/>
  <c r="F65" i="45"/>
  <c r="F54" i="45"/>
  <c r="F53" i="45"/>
  <c r="F34" i="45"/>
  <c r="F30" i="45"/>
  <c r="Z75" i="45"/>
  <c r="X75" i="45"/>
  <c r="R43" i="39"/>
  <c r="R47" i="39"/>
  <c r="R92" i="39"/>
  <c r="R95" i="39"/>
  <c r="R110" i="39"/>
  <c r="N14" i="42"/>
  <c r="X19" i="42"/>
  <c r="Z22" i="42"/>
  <c r="X65" i="42"/>
  <c r="Z65" i="42" s="1"/>
  <c r="J68" i="45"/>
  <c r="J56" i="45"/>
  <c r="J44" i="45"/>
  <c r="J40" i="45"/>
  <c r="J83" i="45"/>
  <c r="J79" i="45"/>
  <c r="J57" i="45"/>
  <c r="J45" i="45"/>
  <c r="J35" i="45"/>
  <c r="J31" i="45"/>
  <c r="J84" i="45"/>
  <c r="J74" i="45"/>
  <c r="J58" i="45"/>
  <c r="J46" i="45"/>
  <c r="J22" i="45"/>
  <c r="J85" i="45"/>
  <c r="J75" i="45"/>
  <c r="J69" i="45"/>
  <c r="J59" i="45"/>
  <c r="J47" i="45"/>
  <c r="J41" i="45"/>
  <c r="J27" i="45"/>
  <c r="J86" i="45"/>
  <c r="J80" i="45"/>
  <c r="J76" i="45"/>
  <c r="J60" i="45"/>
  <c r="J48" i="45"/>
  <c r="J36" i="45"/>
  <c r="J32" i="45"/>
  <c r="J28" i="45"/>
  <c r="J26" i="45"/>
  <c r="J24" i="45"/>
  <c r="J61" i="45"/>
  <c r="J49" i="45"/>
  <c r="J37" i="45"/>
  <c r="H24" i="45"/>
  <c r="J90" i="45"/>
  <c r="J87" i="45"/>
  <c r="J70" i="45"/>
  <c r="J62" i="45"/>
  <c r="J50" i="45"/>
  <c r="J42" i="45"/>
  <c r="J38" i="45"/>
  <c r="J81" i="45"/>
  <c r="J77" i="45"/>
  <c r="J71" i="45"/>
  <c r="J63" i="45"/>
  <c r="J51" i="45"/>
  <c r="J33" i="45"/>
  <c r="J29" i="45"/>
  <c r="J96" i="45"/>
  <c r="J88" i="45"/>
  <c r="J72" i="45"/>
  <c r="J64" i="45"/>
  <c r="J52" i="45"/>
  <c r="J92" i="45"/>
  <c r="J65" i="45"/>
  <c r="J53" i="45"/>
  <c r="J43" i="45"/>
  <c r="J39" i="45"/>
  <c r="J89" i="45"/>
  <c r="J73" i="45"/>
  <c r="J67" i="45"/>
  <c r="J55" i="45"/>
  <c r="J21" i="45"/>
  <c r="Z27" i="45"/>
  <c r="X27" i="45"/>
  <c r="J34" i="45"/>
  <c r="R52" i="39"/>
  <c r="R56" i="39"/>
  <c r="R64" i="39"/>
  <c r="R65" i="39"/>
  <c r="R72" i="39"/>
  <c r="R73" i="39"/>
  <c r="R99" i="39"/>
  <c r="N105" i="39"/>
  <c r="R113" i="39"/>
  <c r="X59" i="45"/>
  <c r="Z59" i="45" s="1"/>
  <c r="R81" i="39"/>
  <c r="R102" i="39"/>
  <c r="R116" i="39"/>
  <c r="R122" i="39"/>
  <c r="L21" i="42"/>
  <c r="P30" i="42"/>
  <c r="R30" i="42" s="1"/>
  <c r="N33" i="42"/>
  <c r="R93" i="42"/>
  <c r="R105" i="42"/>
  <c r="Z13" i="45"/>
  <c r="J20" i="45"/>
  <c r="Z47" i="45"/>
  <c r="X47" i="45"/>
  <c r="J82" i="45"/>
  <c r="P38" i="39"/>
  <c r="R42" i="39"/>
  <c r="R46" i="39"/>
  <c r="R50" i="39"/>
  <c r="R51" i="39"/>
  <c r="R62" i="39"/>
  <c r="R63" i="39"/>
  <c r="R70" i="39"/>
  <c r="R71" i="39"/>
  <c r="R90" i="39"/>
  <c r="R91" i="39"/>
  <c r="R98" i="39"/>
  <c r="R121" i="39"/>
  <c r="R126" i="39"/>
  <c r="R136" i="39"/>
  <c r="H12" i="42"/>
  <c r="Z14" i="42"/>
  <c r="L26" i="42"/>
  <c r="R37" i="42"/>
  <c r="R89" i="42"/>
  <c r="Z117" i="42"/>
  <c r="X121" i="42"/>
  <c r="P120" i="42"/>
  <c r="Z17" i="45"/>
  <c r="N26" i="45"/>
  <c r="F43" i="45"/>
  <c r="Z57" i="45"/>
  <c r="N65" i="45"/>
  <c r="L65" i="45"/>
  <c r="Z67" i="45"/>
  <c r="R38" i="39"/>
  <c r="R40" i="39"/>
  <c r="R55" i="39"/>
  <c r="R79" i="39"/>
  <c r="R80" i="39"/>
  <c r="Z91" i="39"/>
  <c r="X105" i="39"/>
  <c r="R109" i="39"/>
  <c r="R112" i="39"/>
  <c r="R125" i="39"/>
  <c r="X23" i="42"/>
  <c r="Z23" i="42" s="1"/>
  <c r="N26" i="42"/>
  <c r="R73" i="42"/>
  <c r="Z121" i="42"/>
  <c r="R36" i="39"/>
  <c r="R41" i="39"/>
  <c r="R60" i="39"/>
  <c r="R61" i="39"/>
  <c r="R68" i="39"/>
  <c r="R69" i="39"/>
  <c r="R88" i="39"/>
  <c r="R89" i="39"/>
  <c r="R105" i="39"/>
  <c r="R115" i="39"/>
  <c r="N18" i="42"/>
  <c r="L87" i="42"/>
  <c r="N87" i="42" s="1"/>
  <c r="Z20" i="45"/>
  <c r="N53" i="45"/>
  <c r="L53" i="45"/>
  <c r="Z55" i="45"/>
  <c r="N71" i="45"/>
  <c r="L13" i="39"/>
  <c r="L17" i="39"/>
  <c r="N17" i="39" s="1"/>
  <c r="L21" i="39"/>
  <c r="N21" i="39" s="1"/>
  <c r="L25" i="39"/>
  <c r="L29" i="39"/>
  <c r="N29" i="39" s="1"/>
  <c r="R45" i="39"/>
  <c r="R49" i="39"/>
  <c r="N118" i="39"/>
  <c r="H129" i="39"/>
  <c r="L18" i="42"/>
  <c r="L71" i="42"/>
  <c r="N71" i="42" s="1"/>
  <c r="R82" i="42"/>
  <c r="R54" i="39"/>
  <c r="R58" i="39"/>
  <c r="R59" i="39"/>
  <c r="R78" i="39"/>
  <c r="R86" i="39"/>
  <c r="R87" i="39"/>
  <c r="R97" i="39"/>
  <c r="R101" i="39"/>
  <c r="R104" i="39"/>
  <c r="R108" i="39"/>
  <c r="R111" i="39"/>
  <c r="R124" i="39"/>
  <c r="L132" i="39"/>
  <c r="N132" i="39" s="1"/>
  <c r="T12" i="42"/>
  <c r="N15" i="42"/>
  <c r="R26" i="42"/>
  <c r="R28" i="42"/>
  <c r="R36" i="42"/>
  <c r="R127" i="42"/>
  <c r="J66" i="45"/>
  <c r="N43" i="42"/>
  <c r="N55" i="42"/>
  <c r="N63" i="42"/>
  <c r="Z69" i="42"/>
  <c r="N111" i="42"/>
  <c r="N121" i="42"/>
  <c r="L122" i="42"/>
  <c r="N122" i="42" s="1"/>
  <c r="P12" i="45"/>
  <c r="N45" i="45"/>
  <c r="Z51" i="45"/>
  <c r="N57" i="45"/>
  <c r="Z63" i="45"/>
  <c r="Z71" i="45"/>
  <c r="Z86" i="45"/>
  <c r="T12" i="48"/>
  <c r="Z13" i="48"/>
  <c r="P17" i="48"/>
  <c r="L38" i="48"/>
  <c r="N38" i="48" s="1"/>
  <c r="F69" i="48"/>
  <c r="N71" i="48"/>
  <c r="L71" i="48"/>
  <c r="H69" i="48"/>
  <c r="D12" i="51"/>
  <c r="Z16" i="51"/>
  <c r="Z20" i="51"/>
  <c r="Z24" i="51"/>
  <c r="Z94" i="51"/>
  <c r="X94" i="51"/>
  <c r="R99" i="51"/>
  <c r="T120" i="42"/>
  <c r="N88" i="45"/>
  <c r="F15" i="48"/>
  <c r="X20" i="48"/>
  <c r="Z20" i="48" s="1"/>
  <c r="F44" i="48"/>
  <c r="N88" i="51"/>
  <c r="L88" i="51"/>
  <c r="Z92" i="51"/>
  <c r="X23" i="55"/>
  <c r="Z23" i="55"/>
  <c r="F19" i="48"/>
  <c r="F32" i="48"/>
  <c r="X40" i="48"/>
  <c r="Z40" i="48" s="1"/>
  <c r="N53" i="48"/>
  <c r="L53" i="48"/>
  <c r="X64" i="48"/>
  <c r="Z64" i="48" s="1"/>
  <c r="J101" i="51"/>
  <c r="J113" i="51"/>
  <c r="J103" i="51"/>
  <c r="J91" i="51"/>
  <c r="J81" i="51"/>
  <c r="J71" i="51"/>
  <c r="J57" i="51"/>
  <c r="J92" i="51"/>
  <c r="J82" i="51"/>
  <c r="J66" i="51"/>
  <c r="J62" i="51"/>
  <c r="J58" i="51"/>
  <c r="J56" i="51"/>
  <c r="J99" i="51"/>
  <c r="J93" i="51"/>
  <c r="J83" i="51"/>
  <c r="J67" i="51"/>
  <c r="H54" i="51"/>
  <c r="J49" i="51"/>
  <c r="J45" i="51"/>
  <c r="J41" i="51"/>
  <c r="J94" i="51"/>
  <c r="J84" i="51"/>
  <c r="J72" i="51"/>
  <c r="J68" i="51"/>
  <c r="J109" i="51"/>
  <c r="J108" i="51"/>
  <c r="J107" i="51"/>
  <c r="J105" i="51"/>
  <c r="J100" i="51"/>
  <c r="J95" i="51"/>
  <c r="J73" i="51"/>
  <c r="J63" i="51"/>
  <c r="J59" i="51"/>
  <c r="J106" i="51"/>
  <c r="J74" i="51"/>
  <c r="J50" i="51"/>
  <c r="J46" i="51"/>
  <c r="J42" i="51"/>
  <c r="J85" i="51"/>
  <c r="J75" i="51"/>
  <c r="J69" i="51"/>
  <c r="J96" i="51"/>
  <c r="J86" i="51"/>
  <c r="J76" i="51"/>
  <c r="J64" i="51"/>
  <c r="J60" i="51"/>
  <c r="J38" i="51"/>
  <c r="J102" i="51"/>
  <c r="J97" i="51"/>
  <c r="J87" i="51"/>
  <c r="J77" i="51"/>
  <c r="J51" i="51"/>
  <c r="J47" i="51"/>
  <c r="J43" i="51"/>
  <c r="J39" i="51"/>
  <c r="J88" i="51"/>
  <c r="J78" i="51"/>
  <c r="J70" i="51"/>
  <c r="J98" i="51"/>
  <c r="J90" i="51"/>
  <c r="J80" i="51"/>
  <c r="J52" i="51"/>
  <c r="J48" i="51"/>
  <c r="J44" i="51"/>
  <c r="J40" i="51"/>
  <c r="Z32" i="51"/>
  <c r="J65" i="51"/>
  <c r="R67" i="51"/>
  <c r="N83" i="51"/>
  <c r="N19" i="48"/>
  <c r="Z42" i="48"/>
  <c r="Z47" i="48"/>
  <c r="X47" i="48"/>
  <c r="Z66" i="48"/>
  <c r="Z36" i="51"/>
  <c r="J79" i="51"/>
  <c r="L70" i="48"/>
  <c r="N70" i="48" s="1"/>
  <c r="D69" i="48"/>
  <c r="R107" i="51"/>
  <c r="R108" i="51"/>
  <c r="R105" i="51"/>
  <c r="R84" i="51"/>
  <c r="R73" i="51"/>
  <c r="R72" i="51"/>
  <c r="R68" i="51"/>
  <c r="X12" i="51"/>
  <c r="R109" i="51"/>
  <c r="R106" i="51"/>
  <c r="R100" i="51"/>
  <c r="R95" i="51"/>
  <c r="R63" i="51"/>
  <c r="R59" i="51"/>
  <c r="R75" i="51"/>
  <c r="R74" i="51"/>
  <c r="R50" i="51"/>
  <c r="R46" i="51"/>
  <c r="R42" i="51"/>
  <c r="R101" i="51"/>
  <c r="R86" i="51"/>
  <c r="R85" i="51"/>
  <c r="R69" i="51"/>
  <c r="R38" i="51"/>
  <c r="R96" i="51"/>
  <c r="R77" i="51"/>
  <c r="R76" i="51"/>
  <c r="R64" i="51"/>
  <c r="R60" i="51"/>
  <c r="R102" i="51"/>
  <c r="R97" i="51"/>
  <c r="R88" i="51"/>
  <c r="R87" i="51"/>
  <c r="R51" i="51"/>
  <c r="R47" i="51"/>
  <c r="R43" i="51"/>
  <c r="R39" i="51"/>
  <c r="R79" i="51"/>
  <c r="R78" i="51"/>
  <c r="R70" i="51"/>
  <c r="R90" i="51"/>
  <c r="R89" i="51"/>
  <c r="R65" i="51"/>
  <c r="R61" i="51"/>
  <c r="R81" i="51"/>
  <c r="R80" i="51"/>
  <c r="R57" i="51"/>
  <c r="R52" i="51"/>
  <c r="R48" i="51"/>
  <c r="R44" i="51"/>
  <c r="R40" i="51"/>
  <c r="R113" i="51"/>
  <c r="R103" i="51"/>
  <c r="R98" i="51"/>
  <c r="R92" i="51"/>
  <c r="R91" i="51"/>
  <c r="R71" i="51"/>
  <c r="R56" i="51"/>
  <c r="R94" i="51"/>
  <c r="R93" i="51"/>
  <c r="R49" i="51"/>
  <c r="R45" i="51"/>
  <c r="R41" i="51"/>
  <c r="R83" i="51"/>
  <c r="F48" i="48"/>
  <c r="N27" i="51"/>
  <c r="N38" i="51"/>
  <c r="J89" i="51"/>
  <c r="L13" i="45"/>
  <c r="N13" i="45" s="1"/>
  <c r="F43" i="48"/>
  <c r="T12" i="51"/>
  <c r="X15" i="51"/>
  <c r="Z15" i="51" s="1"/>
  <c r="Z19" i="51"/>
  <c r="X19" i="51"/>
  <c r="Z23" i="51"/>
  <c r="X23" i="51"/>
  <c r="Z77" i="51"/>
  <c r="F58" i="48"/>
  <c r="F57" i="48"/>
  <c r="F50" i="48"/>
  <c r="F49" i="48"/>
  <c r="F65" i="48"/>
  <c r="F64" i="48"/>
  <c r="F41" i="48"/>
  <c r="F40" i="48"/>
  <c r="F33" i="48"/>
  <c r="F60" i="48"/>
  <c r="F59" i="48"/>
  <c r="F52" i="48"/>
  <c r="F51" i="48"/>
  <c r="F28" i="48"/>
  <c r="F24" i="48"/>
  <c r="F71" i="48"/>
  <c r="F54" i="48"/>
  <c r="F53" i="48"/>
  <c r="F34" i="48"/>
  <c r="F30" i="48"/>
  <c r="F29" i="48"/>
  <c r="F75" i="48"/>
  <c r="F70" i="48"/>
  <c r="F61" i="48"/>
  <c r="F25" i="48"/>
  <c r="F21" i="48"/>
  <c r="F20" i="48"/>
  <c r="F55" i="48"/>
  <c r="F35" i="48"/>
  <c r="F31" i="48"/>
  <c r="D17" i="48"/>
  <c r="F62" i="48"/>
  <c r="F46" i="48"/>
  <c r="F45" i="48"/>
  <c r="F26" i="48"/>
  <c r="F22" i="48"/>
  <c r="F37" i="48"/>
  <c r="F36" i="48"/>
  <c r="F63" i="48"/>
  <c r="F39" i="48"/>
  <c r="F38" i="48"/>
  <c r="F27" i="48"/>
  <c r="F23" i="48"/>
  <c r="X27" i="51"/>
  <c r="Z27" i="51" s="1"/>
  <c r="N29" i="48"/>
  <c r="L29" i="48"/>
  <c r="F56" i="48"/>
  <c r="X70" i="48"/>
  <c r="Z70" i="48" s="1"/>
  <c r="T69" i="48"/>
  <c r="Z38" i="51"/>
  <c r="P54" i="51"/>
  <c r="R66" i="51"/>
  <c r="L84" i="45"/>
  <c r="N84" i="45" s="1"/>
  <c r="L13" i="48"/>
  <c r="N13" i="48" s="1"/>
  <c r="X31" i="51"/>
  <c r="Z31" i="51" s="1"/>
  <c r="Z35" i="51"/>
  <c r="X35" i="51"/>
  <c r="J61" i="51"/>
  <c r="Z105" i="51"/>
  <c r="F47" i="48"/>
  <c r="R58" i="51"/>
  <c r="R82" i="51"/>
  <c r="H12" i="48"/>
  <c r="R20" i="48"/>
  <c r="R43" i="48"/>
  <c r="R67" i="48"/>
  <c r="R70" i="48"/>
  <c r="N56" i="51"/>
  <c r="Z86" i="51"/>
  <c r="N92" i="51"/>
  <c r="L97" i="51"/>
  <c r="N97" i="51" s="1"/>
  <c r="Z108" i="51"/>
  <c r="P16" i="54"/>
  <c r="V20" i="55"/>
  <c r="V23" i="55"/>
  <c r="V40" i="55"/>
  <c r="V37" i="55"/>
  <c r="V35" i="55"/>
  <c r="V25" i="55"/>
  <c r="V24" i="55"/>
  <c r="V27" i="55"/>
  <c r="V19" i="55"/>
  <c r="X12" i="55"/>
  <c r="V33" i="55"/>
  <c r="V31" i="55"/>
  <c r="V29" i="55"/>
  <c r="V21" i="55"/>
  <c r="T16" i="55"/>
  <c r="L25" i="55"/>
  <c r="F48" i="56"/>
  <c r="F47" i="56"/>
  <c r="F36" i="56"/>
  <c r="F35" i="56"/>
  <c r="F28" i="56"/>
  <c r="F24" i="56"/>
  <c r="F20" i="56"/>
  <c r="F19" i="56"/>
  <c r="F55" i="56"/>
  <c r="F18" i="56"/>
  <c r="F16" i="56"/>
  <c r="F14" i="56"/>
  <c r="F70" i="56"/>
  <c r="F62" i="56"/>
  <c r="F50" i="56"/>
  <c r="F49" i="56"/>
  <c r="F25" i="56"/>
  <c r="F21" i="56"/>
  <c r="F56" i="56"/>
  <c r="F40" i="56"/>
  <c r="F39" i="56"/>
  <c r="F74" i="56"/>
  <c r="F72" i="56"/>
  <c r="F63" i="56"/>
  <c r="F51" i="56"/>
  <c r="F31" i="56"/>
  <c r="F65" i="56"/>
  <c r="F64" i="56"/>
  <c r="F60" i="56"/>
  <c r="F59" i="56"/>
  <c r="F52" i="56"/>
  <c r="F44" i="56"/>
  <c r="F43" i="56"/>
  <c r="F32" i="56"/>
  <c r="F81" i="56"/>
  <c r="F78" i="56"/>
  <c r="F67" i="56"/>
  <c r="F66" i="56"/>
  <c r="F27" i="56"/>
  <c r="F23" i="56"/>
  <c r="F69" i="56"/>
  <c r="F68" i="56"/>
  <c r="F61" i="56"/>
  <c r="D16" i="56"/>
  <c r="R35" i="56"/>
  <c r="Z72" i="56"/>
  <c r="X72" i="56"/>
  <c r="N36" i="58"/>
  <c r="N38" i="58"/>
  <c r="L38" i="58"/>
  <c r="D16" i="60"/>
  <c r="N38" i="60"/>
  <c r="L40" i="60"/>
  <c r="N40" i="60" s="1"/>
  <c r="N29" i="64"/>
  <c r="L29" i="64"/>
  <c r="Z87" i="64"/>
  <c r="R33" i="48"/>
  <c r="R41" i="48"/>
  <c r="R42" i="48"/>
  <c r="R65" i="48"/>
  <c r="R66" i="48"/>
  <c r="Z16" i="54"/>
  <c r="P16" i="55"/>
  <c r="P16" i="56"/>
  <c r="T74" i="56"/>
  <c r="P60" i="61"/>
  <c r="T12" i="73"/>
  <c r="X15" i="73"/>
  <c r="Z15" i="73" s="1"/>
  <c r="R50" i="48"/>
  <c r="R51" i="48"/>
  <c r="R58" i="48"/>
  <c r="R59" i="48"/>
  <c r="Z22" i="54"/>
  <c r="Z26" i="54"/>
  <c r="N29" i="54"/>
  <c r="N27" i="55"/>
  <c r="N16" i="57"/>
  <c r="H72" i="57"/>
  <c r="L50" i="58"/>
  <c r="N50" i="58" s="1"/>
  <c r="N54" i="58"/>
  <c r="N37" i="59"/>
  <c r="L37" i="59"/>
  <c r="Z111" i="69"/>
  <c r="R23" i="48"/>
  <c r="R27" i="48"/>
  <c r="R39" i="48"/>
  <c r="R40" i="48"/>
  <c r="R63" i="48"/>
  <c r="R64" i="48"/>
  <c r="J24" i="54"/>
  <c r="H16" i="54"/>
  <c r="J29" i="54"/>
  <c r="R57" i="56"/>
  <c r="R56" i="56"/>
  <c r="R41" i="56"/>
  <c r="R40" i="56"/>
  <c r="R64" i="56"/>
  <c r="R63" i="56"/>
  <c r="R51" i="56"/>
  <c r="R31" i="56"/>
  <c r="R76" i="56"/>
  <c r="R59" i="56"/>
  <c r="R58" i="56"/>
  <c r="R81" i="56"/>
  <c r="R78" i="56"/>
  <c r="R66" i="56"/>
  <c r="R65" i="56"/>
  <c r="R60" i="56"/>
  <c r="R53" i="56"/>
  <c r="R52" i="56"/>
  <c r="R45" i="56"/>
  <c r="R44" i="56"/>
  <c r="R33" i="56"/>
  <c r="R32" i="56"/>
  <c r="X12" i="56"/>
  <c r="R68" i="56"/>
  <c r="R67" i="56"/>
  <c r="R27" i="56"/>
  <c r="R23" i="56"/>
  <c r="R69" i="56"/>
  <c r="R61" i="56"/>
  <c r="R18" i="56"/>
  <c r="R16" i="56"/>
  <c r="R14" i="56"/>
  <c r="R49" i="56"/>
  <c r="R48" i="56"/>
  <c r="R37" i="56"/>
  <c r="R36" i="56"/>
  <c r="R55" i="56"/>
  <c r="R74" i="56"/>
  <c r="R72" i="56"/>
  <c r="R25" i="56"/>
  <c r="R21" i="56"/>
  <c r="R34" i="56"/>
  <c r="P72" i="57"/>
  <c r="Z40" i="58"/>
  <c r="Z64" i="58"/>
  <c r="Z68" i="58"/>
  <c r="X68" i="58"/>
  <c r="L93" i="69"/>
  <c r="N93" i="69" s="1"/>
  <c r="Z44" i="58"/>
  <c r="X44" i="58"/>
  <c r="R37" i="48"/>
  <c r="R38" i="48"/>
  <c r="N109" i="51"/>
  <c r="N43" i="56"/>
  <c r="L68" i="56"/>
  <c r="N68" i="56" s="1"/>
  <c r="Z60" i="58"/>
  <c r="X60" i="58"/>
  <c r="J54" i="59"/>
  <c r="J48" i="59"/>
  <c r="J40" i="59"/>
  <c r="J28" i="59"/>
  <c r="J24" i="59"/>
  <c r="J20" i="59"/>
  <c r="J18" i="59"/>
  <c r="J16" i="59"/>
  <c r="J14" i="59"/>
  <c r="J65" i="59"/>
  <c r="J63" i="59"/>
  <c r="J55" i="59"/>
  <c r="H16" i="59"/>
  <c r="J34" i="59"/>
  <c r="J67" i="59"/>
  <c r="J49" i="59"/>
  <c r="J41" i="59"/>
  <c r="J29" i="59"/>
  <c r="J25" i="59"/>
  <c r="J21" i="59"/>
  <c r="J56" i="59"/>
  <c r="J42" i="59"/>
  <c r="J30" i="59"/>
  <c r="J72" i="59"/>
  <c r="J69" i="59"/>
  <c r="J57" i="59"/>
  <c r="J43" i="59"/>
  <c r="J35" i="59"/>
  <c r="J31" i="59"/>
  <c r="J58" i="59"/>
  <c r="J50" i="59"/>
  <c r="J44" i="59"/>
  <c r="J26" i="59"/>
  <c r="J22" i="59"/>
  <c r="J59" i="59"/>
  <c r="J51" i="59"/>
  <c r="J45" i="59"/>
  <c r="J60" i="59"/>
  <c r="J52" i="59"/>
  <c r="J46" i="59"/>
  <c r="J36" i="59"/>
  <c r="J32" i="59"/>
  <c r="N12" i="59"/>
  <c r="J47" i="59"/>
  <c r="J37" i="59"/>
  <c r="J27" i="59"/>
  <c r="J23" i="59"/>
  <c r="L12" i="59"/>
  <c r="J61" i="59"/>
  <c r="J53" i="59"/>
  <c r="J39" i="59"/>
  <c r="J33" i="59"/>
  <c r="J19" i="59"/>
  <c r="Z54" i="59"/>
  <c r="N16" i="68"/>
  <c r="H61" i="68"/>
  <c r="R22" i="48"/>
  <c r="R26" i="48"/>
  <c r="R46" i="48"/>
  <c r="R47" i="48"/>
  <c r="R62" i="48"/>
  <c r="Z97" i="51"/>
  <c r="N21" i="55"/>
  <c r="Z27" i="55"/>
  <c r="X18" i="56"/>
  <c r="F26" i="56"/>
  <c r="Z29" i="56"/>
  <c r="R38" i="56"/>
  <c r="F45" i="56"/>
  <c r="R46" i="56"/>
  <c r="N64" i="56"/>
  <c r="L18" i="57"/>
  <c r="N18" i="57" s="1"/>
  <c r="Z47" i="57"/>
  <c r="P16" i="58"/>
  <c r="J38" i="59"/>
  <c r="N44" i="59"/>
  <c r="N59" i="59"/>
  <c r="N30" i="60"/>
  <c r="N32" i="60"/>
  <c r="L32" i="60"/>
  <c r="F103" i="64"/>
  <c r="F98" i="64"/>
  <c r="F81" i="64"/>
  <c r="F61" i="64"/>
  <c r="F60" i="64"/>
  <c r="F49" i="64"/>
  <c r="F41" i="64"/>
  <c r="F25" i="64"/>
  <c r="F21" i="64"/>
  <c r="F20" i="64"/>
  <c r="F97" i="64"/>
  <c r="F88" i="64"/>
  <c r="F87" i="64"/>
  <c r="F76" i="64"/>
  <c r="F75" i="64"/>
  <c r="F68" i="64"/>
  <c r="F96" i="64"/>
  <c r="F63" i="64"/>
  <c r="F62" i="64"/>
  <c r="F51" i="64"/>
  <c r="F50" i="64"/>
  <c r="F43" i="64"/>
  <c r="F42" i="64"/>
  <c r="F35" i="64"/>
  <c r="F31" i="64"/>
  <c r="F108" i="64"/>
  <c r="F105" i="64"/>
  <c r="F90" i="64"/>
  <c r="F89" i="64"/>
  <c r="F82" i="64"/>
  <c r="F70" i="64"/>
  <c r="F69" i="64"/>
  <c r="F77" i="64"/>
  <c r="F65" i="64"/>
  <c r="F64" i="64"/>
  <c r="F53" i="64"/>
  <c r="F52" i="64"/>
  <c r="F45" i="64"/>
  <c r="F44" i="64"/>
  <c r="F72" i="64"/>
  <c r="F71" i="64"/>
  <c r="F36" i="64"/>
  <c r="F32" i="64"/>
  <c r="L12" i="64"/>
  <c r="F66" i="64"/>
  <c r="F46" i="64"/>
  <c r="F38" i="64"/>
  <c r="F37" i="64"/>
  <c r="F73" i="64"/>
  <c r="F57" i="64"/>
  <c r="F56" i="64"/>
  <c r="F33" i="64"/>
  <c r="F92" i="64"/>
  <c r="F84" i="64"/>
  <c r="F80" i="64"/>
  <c r="F48" i="64"/>
  <c r="F47" i="64"/>
  <c r="F40" i="64"/>
  <c r="F39" i="64"/>
  <c r="F28" i="64"/>
  <c r="F24" i="64"/>
  <c r="F101" i="64"/>
  <c r="F99" i="64"/>
  <c r="F94" i="64"/>
  <c r="F93" i="64"/>
  <c r="F86" i="64"/>
  <c r="F85" i="64"/>
  <c r="F74" i="64"/>
  <c r="F34" i="64"/>
  <c r="F30" i="64"/>
  <c r="F29" i="64"/>
  <c r="F26" i="64"/>
  <c r="F23" i="64"/>
  <c r="F19" i="64"/>
  <c r="F14" i="64"/>
  <c r="F91" i="64"/>
  <c r="F79" i="64"/>
  <c r="F15" i="64"/>
  <c r="F58" i="64"/>
  <c r="F54" i="64"/>
  <c r="F27" i="64"/>
  <c r="F22" i="64"/>
  <c r="F78" i="64"/>
  <c r="F59" i="64"/>
  <c r="F55" i="64"/>
  <c r="D17" i="64"/>
  <c r="N106" i="51"/>
  <c r="L16" i="54"/>
  <c r="Z19" i="55"/>
  <c r="H74" i="56"/>
  <c r="N16" i="56"/>
  <c r="Z18" i="56"/>
  <c r="R44" i="48"/>
  <c r="R45" i="48"/>
  <c r="D22" i="54"/>
  <c r="J28" i="55"/>
  <c r="N12" i="55"/>
  <c r="J29" i="55"/>
  <c r="J19" i="55"/>
  <c r="J20" i="55"/>
  <c r="J18" i="55"/>
  <c r="J16" i="55"/>
  <c r="J14" i="55"/>
  <c r="J33" i="55"/>
  <c r="J31" i="55"/>
  <c r="J21" i="55"/>
  <c r="H16" i="55"/>
  <c r="J35" i="55"/>
  <c r="J23" i="55"/>
  <c r="J40" i="55"/>
  <c r="J37" i="55"/>
  <c r="J25" i="55"/>
  <c r="J27" i="55"/>
  <c r="X19" i="55"/>
  <c r="N23" i="55"/>
  <c r="R43" i="56"/>
  <c r="R50" i="56"/>
  <c r="Z64" i="56"/>
  <c r="Z19" i="58"/>
  <c r="D65" i="59"/>
  <c r="L16" i="59"/>
  <c r="N19" i="60"/>
  <c r="Z34" i="60"/>
  <c r="R21" i="48"/>
  <c r="R25" i="48"/>
  <c r="R61" i="48"/>
  <c r="R75" i="48"/>
  <c r="L99" i="51"/>
  <c r="N99" i="51" s="1"/>
  <c r="Z21" i="55"/>
  <c r="N14" i="57"/>
  <c r="L14" i="57"/>
  <c r="Z35" i="57"/>
  <c r="Z55" i="57"/>
  <c r="R15" i="48"/>
  <c r="R17" i="48"/>
  <c r="R19" i="48"/>
  <c r="R30" i="48"/>
  <c r="R34" i="48"/>
  <c r="R54" i="48"/>
  <c r="J22" i="54"/>
  <c r="D16" i="55"/>
  <c r="N51" i="59"/>
  <c r="T16" i="61"/>
  <c r="Z14" i="61"/>
  <c r="X14" i="61"/>
  <c r="R19" i="55"/>
  <c r="F25" i="55"/>
  <c r="F26" i="55"/>
  <c r="F37" i="55"/>
  <c r="F40" i="55"/>
  <c r="J14" i="56"/>
  <c r="J16" i="56"/>
  <c r="J18" i="56"/>
  <c r="J20" i="56"/>
  <c r="J24" i="56"/>
  <c r="J28" i="56"/>
  <c r="J36" i="56"/>
  <c r="V40" i="56"/>
  <c r="J48" i="56"/>
  <c r="V56" i="56"/>
  <c r="V64" i="56"/>
  <c r="Z66" i="56"/>
  <c r="F14" i="57"/>
  <c r="F16" i="57"/>
  <c r="F18" i="57"/>
  <c r="V22" i="57"/>
  <c r="V26" i="57"/>
  <c r="Z28" i="57"/>
  <c r="J30" i="57"/>
  <c r="R31" i="57"/>
  <c r="J34" i="57"/>
  <c r="V38" i="57"/>
  <c r="J46" i="57"/>
  <c r="V50" i="57"/>
  <c r="J54" i="57"/>
  <c r="V58" i="57"/>
  <c r="J62" i="57"/>
  <c r="V66" i="57"/>
  <c r="Z70" i="57"/>
  <c r="J76" i="57"/>
  <c r="J79" i="57"/>
  <c r="N14" i="58"/>
  <c r="N18" i="58"/>
  <c r="F23" i="58"/>
  <c r="F27" i="58"/>
  <c r="V30" i="58"/>
  <c r="V34" i="58"/>
  <c r="Z36" i="58"/>
  <c r="F38" i="58"/>
  <c r="F39" i="58"/>
  <c r="J40" i="58"/>
  <c r="N42" i="58"/>
  <c r="R43" i="58"/>
  <c r="R44" i="58"/>
  <c r="V46" i="58"/>
  <c r="Z48" i="58"/>
  <c r="F50" i="58"/>
  <c r="F51" i="58"/>
  <c r="V54" i="58"/>
  <c r="J58" i="58"/>
  <c r="R59" i="58"/>
  <c r="R60" i="58"/>
  <c r="F63" i="58"/>
  <c r="J64" i="58"/>
  <c r="N66" i="58"/>
  <c r="R67" i="58"/>
  <c r="R68" i="58"/>
  <c r="L14" i="59"/>
  <c r="V21" i="59"/>
  <c r="V25" i="59"/>
  <c r="V29" i="59"/>
  <c r="R34" i="59"/>
  <c r="F37" i="59"/>
  <c r="F38" i="59"/>
  <c r="V41" i="59"/>
  <c r="V49" i="59"/>
  <c r="Z51" i="59"/>
  <c r="V57" i="59"/>
  <c r="Z59" i="59"/>
  <c r="N63" i="59"/>
  <c r="V67" i="59"/>
  <c r="V69" i="59"/>
  <c r="V72" i="59"/>
  <c r="Z12" i="60"/>
  <c r="Z14" i="60"/>
  <c r="Z18" i="60"/>
  <c r="F21" i="60"/>
  <c r="F25" i="60"/>
  <c r="V28" i="60"/>
  <c r="Z30" i="60"/>
  <c r="F32" i="60"/>
  <c r="F33" i="60"/>
  <c r="J34" i="60"/>
  <c r="V36" i="60"/>
  <c r="Z38" i="60"/>
  <c r="F40" i="60"/>
  <c r="F41" i="60"/>
  <c r="F46" i="60"/>
  <c r="R50" i="60"/>
  <c r="J57" i="60"/>
  <c r="L12" i="61"/>
  <c r="R14" i="61"/>
  <c r="X16" i="61"/>
  <c r="R31" i="61"/>
  <c r="J39" i="61"/>
  <c r="X48" i="61"/>
  <c r="Z48" i="61" s="1"/>
  <c r="Z75" i="64"/>
  <c r="X87" i="64"/>
  <c r="N54" i="68"/>
  <c r="Z17" i="69"/>
  <c r="Z32" i="69"/>
  <c r="X32" i="69"/>
  <c r="Z53" i="69"/>
  <c r="L78" i="69"/>
  <c r="N78" i="69" s="1"/>
  <c r="F23" i="55"/>
  <c r="F24" i="55"/>
  <c r="N14" i="56"/>
  <c r="V30" i="56"/>
  <c r="J34" i="56"/>
  <c r="V38" i="56"/>
  <c r="J46" i="56"/>
  <c r="V50" i="56"/>
  <c r="J54" i="56"/>
  <c r="V62" i="56"/>
  <c r="J68" i="56"/>
  <c r="V70" i="56"/>
  <c r="V72" i="56"/>
  <c r="V74" i="56"/>
  <c r="J14" i="57"/>
  <c r="J16" i="57"/>
  <c r="J18" i="57"/>
  <c r="J20" i="57"/>
  <c r="J24" i="57"/>
  <c r="F28" i="57"/>
  <c r="F29" i="57"/>
  <c r="F33" i="57"/>
  <c r="V36" i="57"/>
  <c r="J44" i="57"/>
  <c r="V48" i="57"/>
  <c r="F53" i="57"/>
  <c r="V56" i="57"/>
  <c r="F61" i="57"/>
  <c r="V64" i="57"/>
  <c r="F70" i="57"/>
  <c r="F72" i="57"/>
  <c r="J74" i="57"/>
  <c r="R14" i="58"/>
  <c r="R16" i="58"/>
  <c r="R18" i="58"/>
  <c r="V20" i="58"/>
  <c r="V24" i="58"/>
  <c r="V28" i="58"/>
  <c r="R33" i="58"/>
  <c r="F36" i="58"/>
  <c r="F37" i="58"/>
  <c r="R41" i="58"/>
  <c r="R42" i="58"/>
  <c r="V44" i="58"/>
  <c r="F48" i="58"/>
  <c r="F49" i="58"/>
  <c r="V52" i="58"/>
  <c r="V60" i="58"/>
  <c r="R65" i="58"/>
  <c r="R66" i="58"/>
  <c r="V68" i="58"/>
  <c r="F75" i="58"/>
  <c r="P16" i="59"/>
  <c r="R20" i="59"/>
  <c r="R24" i="59"/>
  <c r="R28" i="59"/>
  <c r="R40" i="59"/>
  <c r="R48" i="59"/>
  <c r="V55" i="59"/>
  <c r="R63" i="59"/>
  <c r="R65" i="59"/>
  <c r="F14" i="60"/>
  <c r="F16" i="60"/>
  <c r="F18" i="60"/>
  <c r="V22" i="60"/>
  <c r="V26" i="60"/>
  <c r="F30" i="60"/>
  <c r="F31" i="60"/>
  <c r="J32" i="60"/>
  <c r="R35" i="60"/>
  <c r="F38" i="60"/>
  <c r="F39" i="60"/>
  <c r="J40" i="60"/>
  <c r="V42" i="60"/>
  <c r="R48" i="60"/>
  <c r="V50" i="60"/>
  <c r="R35" i="61"/>
  <c r="R34" i="61"/>
  <c r="R30" i="61"/>
  <c r="R46" i="61"/>
  <c r="R45" i="61"/>
  <c r="R49" i="61"/>
  <c r="R28" i="61"/>
  <c r="R27" i="61"/>
  <c r="R23" i="61"/>
  <c r="L18" i="61"/>
  <c r="N18" i="61" s="1"/>
  <c r="J23" i="61"/>
  <c r="J30" i="61"/>
  <c r="J96" i="64"/>
  <c r="J88" i="64"/>
  <c r="J76" i="64"/>
  <c r="J68" i="64"/>
  <c r="J62" i="64"/>
  <c r="J50" i="64"/>
  <c r="J42" i="64"/>
  <c r="J108" i="64"/>
  <c r="J105" i="64"/>
  <c r="J89" i="64"/>
  <c r="J69" i="64"/>
  <c r="J63" i="64"/>
  <c r="J51" i="64"/>
  <c r="J43" i="64"/>
  <c r="J35" i="64"/>
  <c r="J31" i="64"/>
  <c r="J90" i="64"/>
  <c r="J82" i="64"/>
  <c r="J70" i="64"/>
  <c r="J64" i="64"/>
  <c r="J52" i="64"/>
  <c r="J44" i="64"/>
  <c r="J26" i="64"/>
  <c r="J22" i="64"/>
  <c r="J77" i="64"/>
  <c r="J71" i="64"/>
  <c r="J65" i="64"/>
  <c r="J53" i="64"/>
  <c r="J45" i="64"/>
  <c r="J78" i="64"/>
  <c r="J72" i="64"/>
  <c r="J54" i="64"/>
  <c r="J36" i="64"/>
  <c r="J32" i="64"/>
  <c r="N12" i="64"/>
  <c r="J91" i="64"/>
  <c r="J83" i="64"/>
  <c r="J79" i="64"/>
  <c r="J55" i="64"/>
  <c r="J37" i="64"/>
  <c r="J27" i="64"/>
  <c r="J23" i="64"/>
  <c r="J73" i="64"/>
  <c r="J57" i="64"/>
  <c r="J47" i="64"/>
  <c r="J39" i="64"/>
  <c r="J33" i="64"/>
  <c r="J92" i="64"/>
  <c r="J84" i="64"/>
  <c r="J80" i="64"/>
  <c r="J58" i="64"/>
  <c r="J48" i="64"/>
  <c r="J40" i="64"/>
  <c r="J28" i="64"/>
  <c r="J24" i="64"/>
  <c r="J101" i="64"/>
  <c r="J99" i="64"/>
  <c r="J93" i="64"/>
  <c r="J85" i="64"/>
  <c r="J67" i="64"/>
  <c r="J59" i="64"/>
  <c r="J29" i="64"/>
  <c r="J15" i="64"/>
  <c r="J103" i="64"/>
  <c r="J97" i="64"/>
  <c r="J87" i="64"/>
  <c r="J81" i="64"/>
  <c r="J75" i="64"/>
  <c r="J61" i="64"/>
  <c r="J49" i="64"/>
  <c r="J41" i="64"/>
  <c r="J25" i="64"/>
  <c r="J21" i="64"/>
  <c r="J19" i="64"/>
  <c r="J17" i="64"/>
  <c r="H17" i="64"/>
  <c r="Z42" i="64"/>
  <c r="J74" i="64"/>
  <c r="Z25" i="69"/>
  <c r="Z88" i="69"/>
  <c r="F41" i="57"/>
  <c r="F42" i="57"/>
  <c r="J53" i="57"/>
  <c r="J61" i="57"/>
  <c r="T16" i="58"/>
  <c r="R19" i="58"/>
  <c r="V41" i="58"/>
  <c r="R58" i="58"/>
  <c r="V65" i="58"/>
  <c r="V20" i="59"/>
  <c r="V24" i="59"/>
  <c r="V28" i="59"/>
  <c r="R33" i="59"/>
  <c r="V40" i="59"/>
  <c r="V48" i="59"/>
  <c r="R53" i="59"/>
  <c r="R54" i="59"/>
  <c r="R61" i="59"/>
  <c r="H16" i="60"/>
  <c r="F19" i="60"/>
  <c r="F20" i="60"/>
  <c r="F24" i="60"/>
  <c r="V35" i="60"/>
  <c r="R39" i="61"/>
  <c r="R44" i="61"/>
  <c r="R60" i="61"/>
  <c r="R78" i="64"/>
  <c r="R77" i="64"/>
  <c r="R65" i="64"/>
  <c r="R54" i="64"/>
  <c r="R53" i="64"/>
  <c r="R45" i="64"/>
  <c r="R72" i="64"/>
  <c r="R37" i="64"/>
  <c r="R36" i="64"/>
  <c r="R32" i="64"/>
  <c r="R91" i="64"/>
  <c r="R83" i="64"/>
  <c r="R79" i="64"/>
  <c r="R56" i="64"/>
  <c r="R55" i="64"/>
  <c r="R27" i="64"/>
  <c r="R23" i="64"/>
  <c r="R66" i="64"/>
  <c r="R47" i="64"/>
  <c r="R46" i="64"/>
  <c r="R73" i="64"/>
  <c r="R58" i="64"/>
  <c r="R57" i="64"/>
  <c r="R33" i="64"/>
  <c r="R14" i="64"/>
  <c r="R101" i="64"/>
  <c r="R99" i="64"/>
  <c r="R93" i="64"/>
  <c r="R92" i="64"/>
  <c r="R85" i="64"/>
  <c r="R84" i="64"/>
  <c r="R80" i="64"/>
  <c r="R48" i="64"/>
  <c r="R40" i="64"/>
  <c r="R29" i="64"/>
  <c r="R28" i="64"/>
  <c r="R24" i="64"/>
  <c r="R98" i="64"/>
  <c r="R97" i="64"/>
  <c r="R94" i="64"/>
  <c r="R87" i="64"/>
  <c r="R86" i="64"/>
  <c r="R75" i="64"/>
  <c r="R74" i="64"/>
  <c r="R34" i="64"/>
  <c r="R30" i="64"/>
  <c r="R19" i="64"/>
  <c r="R17" i="64"/>
  <c r="R103" i="64"/>
  <c r="R96" i="64"/>
  <c r="R81" i="64"/>
  <c r="R62" i="64"/>
  <c r="R61" i="64"/>
  <c r="R50" i="64"/>
  <c r="R49" i="64"/>
  <c r="R42" i="64"/>
  <c r="R41" i="64"/>
  <c r="R25" i="64"/>
  <c r="R21" i="64"/>
  <c r="R108" i="64"/>
  <c r="R105" i="64"/>
  <c r="R89" i="64"/>
  <c r="R88" i="64"/>
  <c r="R76" i="64"/>
  <c r="R69" i="64"/>
  <c r="R68" i="64"/>
  <c r="R90" i="64"/>
  <c r="R82" i="64"/>
  <c r="R71" i="64"/>
  <c r="R70" i="64"/>
  <c r="R26" i="64"/>
  <c r="R22" i="64"/>
  <c r="V14" i="64"/>
  <c r="R38" i="64"/>
  <c r="V42" i="64"/>
  <c r="N47" i="64"/>
  <c r="R59" i="64"/>
  <c r="J86" i="64"/>
  <c r="Z35" i="68"/>
  <c r="V126" i="69"/>
  <c r="V108" i="69"/>
  <c r="V130" i="69"/>
  <c r="V116" i="69"/>
  <c r="V100" i="69"/>
  <c r="V72" i="69"/>
  <c r="V68" i="69"/>
  <c r="V64" i="69"/>
  <c r="V121" i="69"/>
  <c r="V113" i="69"/>
  <c r="V105" i="69"/>
  <c r="V97" i="69"/>
  <c r="V89" i="69"/>
  <c r="T76" i="69"/>
  <c r="V123" i="69"/>
  <c r="V119" i="69"/>
  <c r="V106" i="69"/>
  <c r="V102" i="69"/>
  <c r="V101" i="69"/>
  <c r="V96" i="69"/>
  <c r="V81" i="69"/>
  <c r="V70" i="69"/>
  <c r="V120" i="69"/>
  <c r="V110" i="69"/>
  <c r="V91" i="69"/>
  <c r="V84" i="69"/>
  <c r="V74" i="69"/>
  <c r="V63" i="69"/>
  <c r="V59" i="69"/>
  <c r="V55" i="69"/>
  <c r="V114" i="69"/>
  <c r="V111" i="69"/>
  <c r="V88" i="69"/>
  <c r="V87" i="69"/>
  <c r="V67" i="69"/>
  <c r="V125" i="69"/>
  <c r="V107" i="69"/>
  <c r="V76" i="69"/>
  <c r="V71" i="69"/>
  <c r="V117" i="69"/>
  <c r="V93" i="69"/>
  <c r="V92" i="69"/>
  <c r="V82" i="69"/>
  <c r="V79" i="69"/>
  <c r="V78" i="69"/>
  <c r="V60" i="69"/>
  <c r="V56" i="69"/>
  <c r="V115" i="69"/>
  <c r="V104" i="69"/>
  <c r="V103" i="69"/>
  <c r="V98" i="69"/>
  <c r="V85" i="69"/>
  <c r="V118" i="69"/>
  <c r="V112" i="69"/>
  <c r="V61" i="69"/>
  <c r="V57" i="69"/>
  <c r="V53" i="69"/>
  <c r="V122" i="69"/>
  <c r="V99" i="69"/>
  <c r="V95" i="69"/>
  <c r="V94" i="69"/>
  <c r="V80" i="69"/>
  <c r="V65" i="69"/>
  <c r="V109" i="69"/>
  <c r="V86" i="69"/>
  <c r="V83" i="69"/>
  <c r="V69" i="69"/>
  <c r="V66" i="69"/>
  <c r="X36" i="69"/>
  <c r="Z36" i="69" s="1"/>
  <c r="J66" i="56"/>
  <c r="J78" i="56"/>
  <c r="J81" i="56"/>
  <c r="F23" i="57"/>
  <c r="F27" i="57"/>
  <c r="J28" i="57"/>
  <c r="J42" i="57"/>
  <c r="V46" i="57"/>
  <c r="V54" i="57"/>
  <c r="V62" i="57"/>
  <c r="J70" i="57"/>
  <c r="J72" i="57"/>
  <c r="V14" i="58"/>
  <c r="V16" i="58"/>
  <c r="V18" i="58"/>
  <c r="R23" i="58"/>
  <c r="R27" i="58"/>
  <c r="R39" i="58"/>
  <c r="R40" i="58"/>
  <c r="V42" i="58"/>
  <c r="R51" i="58"/>
  <c r="V58" i="58"/>
  <c r="R63" i="58"/>
  <c r="R64" i="58"/>
  <c r="V66" i="58"/>
  <c r="T16" i="59"/>
  <c r="R19" i="59"/>
  <c r="V33" i="59"/>
  <c r="R38" i="59"/>
  <c r="R39" i="59"/>
  <c r="V53" i="59"/>
  <c r="V61" i="59"/>
  <c r="V63" i="59"/>
  <c r="V65" i="59"/>
  <c r="R21" i="60"/>
  <c r="R25" i="60"/>
  <c r="F28" i="60"/>
  <c r="F29" i="60"/>
  <c r="R33" i="60"/>
  <c r="R34" i="60"/>
  <c r="F37" i="60"/>
  <c r="R41" i="60"/>
  <c r="F44" i="60"/>
  <c r="R46" i="60"/>
  <c r="V48" i="60"/>
  <c r="F52" i="60"/>
  <c r="D53" i="61"/>
  <c r="R47" i="61"/>
  <c r="R53" i="61"/>
  <c r="V72" i="64"/>
  <c r="V56" i="64"/>
  <c r="V36" i="64"/>
  <c r="V32" i="64"/>
  <c r="V91" i="64"/>
  <c r="V83" i="64"/>
  <c r="V79" i="64"/>
  <c r="V55" i="64"/>
  <c r="V47" i="64"/>
  <c r="V39" i="64"/>
  <c r="V27" i="64"/>
  <c r="V66" i="64"/>
  <c r="V58" i="64"/>
  <c r="V46" i="64"/>
  <c r="V38" i="64"/>
  <c r="V101" i="64"/>
  <c r="V99" i="64"/>
  <c r="V93" i="64"/>
  <c r="V85" i="64"/>
  <c r="V73" i="64"/>
  <c r="V57" i="64"/>
  <c r="V98" i="64"/>
  <c r="V92" i="64"/>
  <c r="V84" i="64"/>
  <c r="V80" i="64"/>
  <c r="V60" i="64"/>
  <c r="V48" i="64"/>
  <c r="V40" i="64"/>
  <c r="V28" i="64"/>
  <c r="V24" i="64"/>
  <c r="V20" i="64"/>
  <c r="V97" i="64"/>
  <c r="V87" i="64"/>
  <c r="V75" i="64"/>
  <c r="V67" i="64"/>
  <c r="V59" i="64"/>
  <c r="V19" i="64"/>
  <c r="V17" i="64"/>
  <c r="V15" i="64"/>
  <c r="V96" i="64"/>
  <c r="V94" i="64"/>
  <c r="V108" i="64"/>
  <c r="V105" i="64"/>
  <c r="V103" i="64"/>
  <c r="V89" i="64"/>
  <c r="V81" i="64"/>
  <c r="V69" i="64"/>
  <c r="V61" i="64"/>
  <c r="V49" i="64"/>
  <c r="V41" i="64"/>
  <c r="V25" i="64"/>
  <c r="V21" i="64"/>
  <c r="V88" i="64"/>
  <c r="V76" i="64"/>
  <c r="V68" i="64"/>
  <c r="V64" i="64"/>
  <c r="V52" i="64"/>
  <c r="V44" i="64"/>
  <c r="V71" i="64"/>
  <c r="V63" i="64"/>
  <c r="V51" i="64"/>
  <c r="V43" i="64"/>
  <c r="V35" i="64"/>
  <c r="V31" i="64"/>
  <c r="V77" i="64"/>
  <c r="V65" i="64"/>
  <c r="V53" i="64"/>
  <c r="V45" i="64"/>
  <c r="V37" i="64"/>
  <c r="X17" i="64"/>
  <c r="V22" i="64"/>
  <c r="V29" i="64"/>
  <c r="R63" i="64"/>
  <c r="R67" i="64"/>
  <c r="Z69" i="64"/>
  <c r="Z71" i="64"/>
  <c r="X71" i="64"/>
  <c r="N18" i="68"/>
  <c r="L18" i="68"/>
  <c r="Z48" i="68"/>
  <c r="X48" i="68"/>
  <c r="Z29" i="69"/>
  <c r="V54" i="69"/>
  <c r="V73" i="69"/>
  <c r="J89" i="69"/>
  <c r="L26" i="71"/>
  <c r="N26" i="71" s="1"/>
  <c r="R56" i="58"/>
  <c r="R57" i="58"/>
  <c r="R77" i="58"/>
  <c r="R80" i="58"/>
  <c r="V14" i="59"/>
  <c r="V16" i="59"/>
  <c r="V18" i="59"/>
  <c r="V38" i="59"/>
  <c r="V54" i="59"/>
  <c r="V74" i="64"/>
  <c r="V78" i="64"/>
  <c r="F135" i="69"/>
  <c r="F132" i="69"/>
  <c r="F117" i="69"/>
  <c r="F121" i="69"/>
  <c r="F120" i="69"/>
  <c r="F113" i="69"/>
  <c r="F105" i="69"/>
  <c r="F104" i="69"/>
  <c r="F89" i="69"/>
  <c r="F88" i="69"/>
  <c r="F130" i="69"/>
  <c r="F110" i="69"/>
  <c r="F86" i="69"/>
  <c r="F82" i="69"/>
  <c r="F126" i="69"/>
  <c r="F118" i="69"/>
  <c r="F94" i="69"/>
  <c r="F80" i="69"/>
  <c r="F61" i="69"/>
  <c r="F57" i="69"/>
  <c r="F109" i="69"/>
  <c r="F99" i="69"/>
  <c r="F83" i="69"/>
  <c r="F65" i="69"/>
  <c r="L12" i="69"/>
  <c r="F122" i="69"/>
  <c r="F116" i="69"/>
  <c r="F69" i="69"/>
  <c r="F100" i="69"/>
  <c r="F95" i="69"/>
  <c r="F90" i="69"/>
  <c r="F73" i="69"/>
  <c r="F62" i="69"/>
  <c r="F58" i="69"/>
  <c r="F54" i="69"/>
  <c r="F53" i="69"/>
  <c r="F123" i="69"/>
  <c r="F119" i="69"/>
  <c r="F101" i="69"/>
  <c r="F96" i="69"/>
  <c r="F81" i="69"/>
  <c r="F66" i="69"/>
  <c r="F128" i="69"/>
  <c r="F84" i="69"/>
  <c r="F70" i="69"/>
  <c r="F106" i="69"/>
  <c r="F91" i="69"/>
  <c r="F87" i="69"/>
  <c r="F74" i="69"/>
  <c r="F63" i="69"/>
  <c r="F59" i="69"/>
  <c r="F55" i="69"/>
  <c r="F102" i="69"/>
  <c r="F97" i="69"/>
  <c r="F67" i="69"/>
  <c r="F114" i="69"/>
  <c r="F107" i="69"/>
  <c r="F71" i="69"/>
  <c r="F125" i="69"/>
  <c r="F111" i="69"/>
  <c r="F103" i="69"/>
  <c r="F98" i="69"/>
  <c r="F92" i="69"/>
  <c r="F85" i="69"/>
  <c r="F76" i="69"/>
  <c r="F64" i="69"/>
  <c r="F60" i="69"/>
  <c r="F56" i="69"/>
  <c r="F112" i="69"/>
  <c r="F93" i="69"/>
  <c r="F79" i="69"/>
  <c r="F78" i="69"/>
  <c r="F72" i="69"/>
  <c r="X40" i="69"/>
  <c r="Z40" i="69" s="1"/>
  <c r="X22" i="71"/>
  <c r="Z22" i="71" s="1"/>
  <c r="F19" i="55"/>
  <c r="F20" i="55"/>
  <c r="R37" i="55"/>
  <c r="R40" i="55"/>
  <c r="V14" i="56"/>
  <c r="V16" i="56"/>
  <c r="V18" i="56"/>
  <c r="J22" i="56"/>
  <c r="J26" i="56"/>
  <c r="V34" i="56"/>
  <c r="J42" i="56"/>
  <c r="V46" i="56"/>
  <c r="V54" i="56"/>
  <c r="J58" i="56"/>
  <c r="J64" i="56"/>
  <c r="J76" i="56"/>
  <c r="N12" i="57"/>
  <c r="V20" i="57"/>
  <c r="V24" i="57"/>
  <c r="J32" i="57"/>
  <c r="J40" i="57"/>
  <c r="V44" i="57"/>
  <c r="J52" i="57"/>
  <c r="R53" i="57"/>
  <c r="J60" i="57"/>
  <c r="R61" i="57"/>
  <c r="J68" i="57"/>
  <c r="V74" i="57"/>
  <c r="V76" i="57"/>
  <c r="V79" i="57"/>
  <c r="Z12" i="58"/>
  <c r="F21" i="58"/>
  <c r="F25" i="58"/>
  <c r="F29" i="58"/>
  <c r="V32" i="58"/>
  <c r="R37" i="58"/>
  <c r="R38" i="58"/>
  <c r="V40" i="58"/>
  <c r="F44" i="58"/>
  <c r="F45" i="58"/>
  <c r="R49" i="58"/>
  <c r="R50" i="58"/>
  <c r="F53" i="58"/>
  <c r="V56" i="58"/>
  <c r="F60" i="58"/>
  <c r="F61" i="58"/>
  <c r="V64" i="58"/>
  <c r="F68" i="58"/>
  <c r="F69" i="58"/>
  <c r="R75" i="58"/>
  <c r="X12" i="59"/>
  <c r="V19" i="59"/>
  <c r="V23" i="59"/>
  <c r="V27" i="59"/>
  <c r="R32" i="59"/>
  <c r="R36" i="59"/>
  <c r="R37" i="59"/>
  <c r="V39" i="59"/>
  <c r="V47" i="59"/>
  <c r="R52" i="59"/>
  <c r="F56" i="59"/>
  <c r="R60" i="59"/>
  <c r="J50" i="60"/>
  <c r="J48" i="60"/>
  <c r="F23" i="60"/>
  <c r="F27" i="60"/>
  <c r="J28" i="60"/>
  <c r="R31" i="60"/>
  <c r="R32" i="60"/>
  <c r="V34" i="60"/>
  <c r="R39" i="60"/>
  <c r="R40" i="60"/>
  <c r="F43" i="60"/>
  <c r="L14" i="61"/>
  <c r="H16" i="61"/>
  <c r="L16" i="61" s="1"/>
  <c r="J25" i="61"/>
  <c r="R43" i="61"/>
  <c r="Z12" i="64"/>
  <c r="Z17" i="64"/>
  <c r="J30" i="64"/>
  <c r="V34" i="64"/>
  <c r="R43" i="64"/>
  <c r="R52" i="64"/>
  <c r="V86" i="64"/>
  <c r="L93" i="64"/>
  <c r="N93" i="64" s="1"/>
  <c r="N20" i="69"/>
  <c r="Z33" i="69"/>
  <c r="F115" i="69"/>
  <c r="J126" i="69"/>
  <c r="Z89" i="71"/>
  <c r="X89" i="71"/>
  <c r="N24" i="74"/>
  <c r="V14" i="54"/>
  <c r="V16" i="54"/>
  <c r="V18" i="54"/>
  <c r="V20" i="54"/>
  <c r="F26" i="54"/>
  <c r="F28" i="54"/>
  <c r="F29" i="54"/>
  <c r="V19" i="56"/>
  <c r="V23" i="56"/>
  <c r="V27" i="56"/>
  <c r="J31" i="56"/>
  <c r="V35" i="56"/>
  <c r="J41" i="56"/>
  <c r="V47" i="56"/>
  <c r="J51" i="56"/>
  <c r="J57" i="56"/>
  <c r="J63" i="56"/>
  <c r="V67" i="56"/>
  <c r="T16" i="57"/>
  <c r="X16" i="57" s="1"/>
  <c r="R19" i="57"/>
  <c r="F22" i="57"/>
  <c r="F26" i="57"/>
  <c r="V29" i="57"/>
  <c r="V33" i="57"/>
  <c r="F37" i="57"/>
  <c r="F38" i="57"/>
  <c r="J39" i="57"/>
  <c r="R42" i="57"/>
  <c r="R43" i="57"/>
  <c r="V45" i="57"/>
  <c r="F49" i="57"/>
  <c r="F50" i="57"/>
  <c r="J51" i="57"/>
  <c r="V53" i="57"/>
  <c r="F57" i="57"/>
  <c r="F58" i="57"/>
  <c r="J59" i="57"/>
  <c r="V61" i="57"/>
  <c r="F65" i="57"/>
  <c r="F66" i="57"/>
  <c r="J67" i="57"/>
  <c r="D16" i="58"/>
  <c r="J21" i="58"/>
  <c r="R22" i="58"/>
  <c r="J25" i="58"/>
  <c r="R26" i="58"/>
  <c r="J29" i="58"/>
  <c r="F34" i="58"/>
  <c r="V37" i="58"/>
  <c r="J45" i="58"/>
  <c r="V49" i="58"/>
  <c r="J53" i="58"/>
  <c r="V57" i="58"/>
  <c r="J61" i="58"/>
  <c r="R62" i="58"/>
  <c r="J69" i="58"/>
  <c r="V75" i="58"/>
  <c r="V77" i="58"/>
  <c r="V80" i="58"/>
  <c r="Z12" i="59"/>
  <c r="F21" i="59"/>
  <c r="F25" i="59"/>
  <c r="F29" i="59"/>
  <c r="V32" i="59"/>
  <c r="V36" i="59"/>
  <c r="F41" i="59"/>
  <c r="R45" i="59"/>
  <c r="R46" i="59"/>
  <c r="F49" i="59"/>
  <c r="V52" i="59"/>
  <c r="V60" i="59"/>
  <c r="F67" i="59"/>
  <c r="L12" i="60"/>
  <c r="P16" i="60"/>
  <c r="R20" i="60"/>
  <c r="J23" i="60"/>
  <c r="R24" i="60"/>
  <c r="J27" i="60"/>
  <c r="V31" i="60"/>
  <c r="F36" i="60"/>
  <c r="V39" i="60"/>
  <c r="N43" i="60"/>
  <c r="F50" i="60"/>
  <c r="V54" i="60"/>
  <c r="J16" i="61"/>
  <c r="R19" i="61"/>
  <c r="R32" i="61"/>
  <c r="J35" i="61"/>
  <c r="J41" i="61"/>
  <c r="J49" i="61"/>
  <c r="R51" i="61"/>
  <c r="R57" i="61"/>
  <c r="R20" i="64"/>
  <c r="N39" i="64"/>
  <c r="J56" i="64"/>
  <c r="H96" i="64"/>
  <c r="L96" i="64" s="1"/>
  <c r="N99" i="64"/>
  <c r="L99" i="64"/>
  <c r="Z16" i="69"/>
  <c r="X16" i="69"/>
  <c r="N24" i="69"/>
  <c r="Z44" i="69"/>
  <c r="X44" i="69"/>
  <c r="F108" i="69"/>
  <c r="V60" i="70"/>
  <c r="V44" i="70"/>
  <c r="V16" i="70"/>
  <c r="V55" i="70"/>
  <c r="V45" i="70"/>
  <c r="V17" i="70"/>
  <c r="V56" i="70"/>
  <c r="V48" i="70"/>
  <c r="V36" i="70"/>
  <c r="V32" i="70"/>
  <c r="V67" i="70"/>
  <c r="V63" i="70"/>
  <c r="V47" i="70"/>
  <c r="V31" i="70"/>
  <c r="V27" i="70"/>
  <c r="V23" i="70"/>
  <c r="V69" i="70"/>
  <c r="V57" i="70"/>
  <c r="V49" i="70"/>
  <c r="V37" i="70"/>
  <c r="V33" i="70"/>
  <c r="V68" i="70"/>
  <c r="V64" i="70"/>
  <c r="V59" i="70"/>
  <c r="V51" i="70"/>
  <c r="V39" i="70"/>
  <c r="V65" i="70"/>
  <c r="V61" i="70"/>
  <c r="V53" i="70"/>
  <c r="V41" i="70"/>
  <c r="V29" i="70"/>
  <c r="V25" i="70"/>
  <c r="V62" i="70"/>
  <c r="V58" i="70"/>
  <c r="V34" i="70"/>
  <c r="V30" i="70"/>
  <c r="V76" i="70"/>
  <c r="V42" i="70"/>
  <c r="V66" i="70"/>
  <c r="V40" i="70"/>
  <c r="V35" i="70"/>
  <c r="V70" i="70"/>
  <c r="V46" i="70"/>
  <c r="T20" i="70"/>
  <c r="V43" i="70"/>
  <c r="V52" i="70"/>
  <c r="V38" i="70"/>
  <c r="V72" i="70"/>
  <c r="V24" i="70"/>
  <c r="V22" i="70"/>
  <c r="V54" i="70"/>
  <c r="V50" i="70"/>
  <c r="V18" i="70"/>
  <c r="V52" i="56"/>
  <c r="J56" i="56"/>
  <c r="V60" i="56"/>
  <c r="V68" i="56"/>
  <c r="J72" i="56"/>
  <c r="J74" i="56"/>
  <c r="V14" i="57"/>
  <c r="V16" i="57"/>
  <c r="V18" i="57"/>
  <c r="J22" i="57"/>
  <c r="J26" i="57"/>
  <c r="F31" i="57"/>
  <c r="J38" i="57"/>
  <c r="V42" i="57"/>
  <c r="J50" i="57"/>
  <c r="J58" i="57"/>
  <c r="J66" i="57"/>
  <c r="R70" i="57"/>
  <c r="R72" i="57"/>
  <c r="V22" i="58"/>
  <c r="V26" i="58"/>
  <c r="R31" i="58"/>
  <c r="R35" i="58"/>
  <c r="R36" i="58"/>
  <c r="V38" i="58"/>
  <c r="F42" i="58"/>
  <c r="F43" i="58"/>
  <c r="R47" i="58"/>
  <c r="R48" i="58"/>
  <c r="V50" i="58"/>
  <c r="R55" i="58"/>
  <c r="F59" i="58"/>
  <c r="V62" i="58"/>
  <c r="F66" i="58"/>
  <c r="F67" i="58"/>
  <c r="R22" i="59"/>
  <c r="R26" i="59"/>
  <c r="V37" i="59"/>
  <c r="V45" i="59"/>
  <c r="R50" i="59"/>
  <c r="R51" i="59"/>
  <c r="R58" i="59"/>
  <c r="R59" i="59"/>
  <c r="R14" i="60"/>
  <c r="R16" i="60"/>
  <c r="R18" i="60"/>
  <c r="V20" i="60"/>
  <c r="V24" i="60"/>
  <c r="R29" i="60"/>
  <c r="R30" i="60"/>
  <c r="V32" i="60"/>
  <c r="J36" i="60"/>
  <c r="R37" i="60"/>
  <c r="R38" i="60"/>
  <c r="V40" i="60"/>
  <c r="J43" i="60"/>
  <c r="V44" i="60"/>
  <c r="V45" i="60"/>
  <c r="R18" i="61"/>
  <c r="R22" i="61"/>
  <c r="J28" i="61"/>
  <c r="R29" i="61"/>
  <c r="R36" i="61"/>
  <c r="R37" i="61"/>
  <c r="R42" i="61"/>
  <c r="V50" i="64"/>
  <c r="J66" i="64"/>
  <c r="N14" i="68"/>
  <c r="L14" i="68"/>
  <c r="X20" i="69"/>
  <c r="Z20" i="69" s="1"/>
  <c r="V58" i="69"/>
  <c r="F35" i="57"/>
  <c r="F36" i="57"/>
  <c r="F47" i="57"/>
  <c r="F48" i="57"/>
  <c r="F55" i="57"/>
  <c r="F56" i="57"/>
  <c r="F63" i="57"/>
  <c r="F64" i="57"/>
  <c r="H16" i="58"/>
  <c r="V47" i="58"/>
  <c r="V55" i="58"/>
  <c r="R71" i="58"/>
  <c r="R73" i="58"/>
  <c r="V22" i="59"/>
  <c r="V26" i="59"/>
  <c r="R31" i="59"/>
  <c r="R35" i="59"/>
  <c r="R43" i="59"/>
  <c r="R44" i="59"/>
  <c r="V46" i="59"/>
  <c r="V50" i="59"/>
  <c r="V58" i="59"/>
  <c r="R45" i="60"/>
  <c r="R44" i="60"/>
  <c r="R57" i="60"/>
  <c r="R54" i="60"/>
  <c r="T16" i="60"/>
  <c r="R19" i="60"/>
  <c r="F22" i="60"/>
  <c r="F26" i="60"/>
  <c r="V37" i="60"/>
  <c r="F42" i="60"/>
  <c r="F48" i="60"/>
  <c r="V52" i="60"/>
  <c r="R15" i="64"/>
  <c r="N19" i="64"/>
  <c r="V30" i="64"/>
  <c r="J60" i="64"/>
  <c r="N64" i="64"/>
  <c r="V70" i="64"/>
  <c r="N75" i="64"/>
  <c r="V82" i="64"/>
  <c r="X24" i="69"/>
  <c r="Z24" i="69" s="1"/>
  <c r="J72" i="69"/>
  <c r="J62" i="56"/>
  <c r="V66" i="56"/>
  <c r="J70" i="56"/>
  <c r="V76" i="56"/>
  <c r="V78" i="56"/>
  <c r="V81" i="56"/>
  <c r="F21" i="57"/>
  <c r="F25" i="57"/>
  <c r="V32" i="57"/>
  <c r="J36" i="57"/>
  <c r="V40" i="57"/>
  <c r="J48" i="57"/>
  <c r="V52" i="57"/>
  <c r="J56" i="57"/>
  <c r="V60" i="57"/>
  <c r="J64" i="57"/>
  <c r="V68" i="57"/>
  <c r="V70" i="57"/>
  <c r="V72" i="57"/>
  <c r="F76" i="57"/>
  <c r="F79" i="57"/>
  <c r="R21" i="58"/>
  <c r="R25" i="58"/>
  <c r="R29" i="58"/>
  <c r="R30" i="58"/>
  <c r="V36" i="58"/>
  <c r="R45" i="58"/>
  <c r="R46" i="58"/>
  <c r="V48" i="58"/>
  <c r="R53" i="58"/>
  <c r="R54" i="58"/>
  <c r="R61" i="58"/>
  <c r="F64" i="58"/>
  <c r="F65" i="58"/>
  <c r="R69" i="58"/>
  <c r="V31" i="59"/>
  <c r="V35" i="59"/>
  <c r="V43" i="59"/>
  <c r="V51" i="59"/>
  <c r="R56" i="59"/>
  <c r="R57" i="59"/>
  <c r="V59" i="59"/>
  <c r="R69" i="59"/>
  <c r="R72" i="59"/>
  <c r="V14" i="60"/>
  <c r="V16" i="60"/>
  <c r="V18" i="60"/>
  <c r="R23" i="60"/>
  <c r="R27" i="60"/>
  <c r="R28" i="60"/>
  <c r="V30" i="60"/>
  <c r="F34" i="60"/>
  <c r="F35" i="60"/>
  <c r="V38" i="60"/>
  <c r="X18" i="61"/>
  <c r="Z18" i="61" s="1"/>
  <c r="X37" i="61"/>
  <c r="Z37" i="61" s="1"/>
  <c r="N48" i="61"/>
  <c r="R35" i="64"/>
  <c r="R39" i="64"/>
  <c r="V54" i="64"/>
  <c r="J94" i="64"/>
  <c r="X48" i="69"/>
  <c r="Z48" i="69" s="1"/>
  <c r="J29" i="56"/>
  <c r="V31" i="56"/>
  <c r="J37" i="56"/>
  <c r="V43" i="56"/>
  <c r="J49" i="56"/>
  <c r="V51" i="56"/>
  <c r="V59" i="56"/>
  <c r="D16" i="57"/>
  <c r="J21" i="57"/>
  <c r="R22" i="57"/>
  <c r="J25" i="57"/>
  <c r="R26" i="57"/>
  <c r="F30" i="57"/>
  <c r="F34" i="57"/>
  <c r="J35" i="57"/>
  <c r="R38" i="57"/>
  <c r="R39" i="57"/>
  <c r="F45" i="57"/>
  <c r="F46" i="57"/>
  <c r="J47" i="57"/>
  <c r="R50" i="57"/>
  <c r="R51" i="57"/>
  <c r="F54" i="57"/>
  <c r="J55" i="57"/>
  <c r="R58" i="57"/>
  <c r="R59" i="57"/>
  <c r="R66" i="57"/>
  <c r="V21" i="58"/>
  <c r="V25" i="58"/>
  <c r="V29" i="58"/>
  <c r="V45" i="58"/>
  <c r="V53" i="58"/>
  <c r="F57" i="58"/>
  <c r="F58" i="58"/>
  <c r="V61" i="58"/>
  <c r="V69" i="58"/>
  <c r="V71" i="58"/>
  <c r="F77" i="58"/>
  <c r="R21" i="59"/>
  <c r="R25" i="59"/>
  <c r="R29" i="59"/>
  <c r="R30" i="59"/>
  <c r="R41" i="59"/>
  <c r="R42" i="59"/>
  <c r="V44" i="59"/>
  <c r="R49" i="59"/>
  <c r="X12" i="60"/>
  <c r="V19" i="60"/>
  <c r="V23" i="60"/>
  <c r="J35" i="60"/>
  <c r="R36" i="60"/>
  <c r="R43" i="60"/>
  <c r="J55" i="61"/>
  <c r="J43" i="61"/>
  <c r="J33" i="61"/>
  <c r="J29" i="61"/>
  <c r="J19" i="61"/>
  <c r="J44" i="61"/>
  <c r="J48" i="61"/>
  <c r="J38" i="61"/>
  <c r="J26" i="61"/>
  <c r="J22" i="61"/>
  <c r="R41" i="61"/>
  <c r="R55" i="61"/>
  <c r="V23" i="64"/>
  <c r="V26" i="64"/>
  <c r="V33" i="64"/>
  <c r="N44" i="64"/>
  <c r="R51" i="64"/>
  <c r="R64" i="64"/>
  <c r="L85" i="64"/>
  <c r="N85" i="64" s="1"/>
  <c r="Z89" i="64"/>
  <c r="J118" i="69"/>
  <c r="J112" i="69"/>
  <c r="J122" i="69"/>
  <c r="J114" i="69"/>
  <c r="J106" i="69"/>
  <c r="J96" i="69"/>
  <c r="J84" i="69"/>
  <c r="J80" i="69"/>
  <c r="J78" i="69"/>
  <c r="J123" i="69"/>
  <c r="J117" i="69"/>
  <c r="J111" i="69"/>
  <c r="J101" i="69"/>
  <c r="J109" i="69"/>
  <c r="J99" i="69"/>
  <c r="J83" i="69"/>
  <c r="J65" i="69"/>
  <c r="N12" i="69"/>
  <c r="J116" i="69"/>
  <c r="J105" i="69"/>
  <c r="J100" i="69"/>
  <c r="J95" i="69"/>
  <c r="J86" i="69"/>
  <c r="J69" i="69"/>
  <c r="J53" i="69"/>
  <c r="J90" i="69"/>
  <c r="J73" i="69"/>
  <c r="J62" i="69"/>
  <c r="J58" i="69"/>
  <c r="J54" i="69"/>
  <c r="J119" i="69"/>
  <c r="J113" i="69"/>
  <c r="J81" i="69"/>
  <c r="J66" i="69"/>
  <c r="J70" i="69"/>
  <c r="J110" i="69"/>
  <c r="J102" i="69"/>
  <c r="J97" i="69"/>
  <c r="J91" i="69"/>
  <c r="J87" i="69"/>
  <c r="J74" i="69"/>
  <c r="J63" i="69"/>
  <c r="J59" i="69"/>
  <c r="J55" i="69"/>
  <c r="J120" i="69"/>
  <c r="J67" i="69"/>
  <c r="J125" i="69"/>
  <c r="J107" i="69"/>
  <c r="J71" i="69"/>
  <c r="J108" i="69"/>
  <c r="J103" i="69"/>
  <c r="J98" i="69"/>
  <c r="J92" i="69"/>
  <c r="J88" i="69"/>
  <c r="J85" i="69"/>
  <c r="J82" i="69"/>
  <c r="H76" i="69"/>
  <c r="J64" i="69"/>
  <c r="J60" i="69"/>
  <c r="J56" i="69"/>
  <c r="J121" i="69"/>
  <c r="J115" i="69"/>
  <c r="J93" i="69"/>
  <c r="J79" i="69"/>
  <c r="J68" i="69"/>
  <c r="J104" i="69"/>
  <c r="J94" i="69"/>
  <c r="J61" i="69"/>
  <c r="J57" i="69"/>
  <c r="Z28" i="69"/>
  <c r="X28" i="69"/>
  <c r="D76" i="69"/>
  <c r="V90" i="69"/>
  <c r="Z97" i="69"/>
  <c r="N102" i="69"/>
  <c r="V14" i="61"/>
  <c r="V16" i="61"/>
  <c r="V18" i="61"/>
  <c r="F31" i="61"/>
  <c r="V42" i="61"/>
  <c r="F46" i="61"/>
  <c r="F47" i="61"/>
  <c r="Z39" i="64"/>
  <c r="Z47" i="64"/>
  <c r="N69" i="64"/>
  <c r="N89" i="64"/>
  <c r="F14" i="68"/>
  <c r="F16" i="68"/>
  <c r="F18" i="68"/>
  <c r="V22" i="68"/>
  <c r="V26" i="68"/>
  <c r="J30" i="68"/>
  <c r="R31" i="68"/>
  <c r="J34" i="68"/>
  <c r="V38" i="68"/>
  <c r="J46" i="68"/>
  <c r="R47" i="68"/>
  <c r="R48" i="68"/>
  <c r="F51" i="68"/>
  <c r="V54" i="68"/>
  <c r="Z56" i="68"/>
  <c r="P12" i="69"/>
  <c r="N53" i="69"/>
  <c r="Z120" i="69"/>
  <c r="P12" i="70"/>
  <c r="X44" i="70"/>
  <c r="Z44" i="70" s="1"/>
  <c r="J54" i="70"/>
  <c r="X18" i="71"/>
  <c r="Z18" i="71" s="1"/>
  <c r="N82" i="71"/>
  <c r="N117" i="71"/>
  <c r="L117" i="71"/>
  <c r="H116" i="71"/>
  <c r="Z28" i="73"/>
  <c r="P96" i="64"/>
  <c r="P101" i="64" s="1"/>
  <c r="J14" i="68"/>
  <c r="J16" i="68"/>
  <c r="J18" i="68"/>
  <c r="J20" i="68"/>
  <c r="J24" i="68"/>
  <c r="J28" i="68"/>
  <c r="F33" i="68"/>
  <c r="V36" i="68"/>
  <c r="J44" i="68"/>
  <c r="V48" i="68"/>
  <c r="V52" i="68"/>
  <c r="F56" i="68"/>
  <c r="F57" i="68"/>
  <c r="N108" i="69"/>
  <c r="X118" i="69"/>
  <c r="P125" i="69"/>
  <c r="X125" i="69" s="1"/>
  <c r="X126" i="69"/>
  <c r="N40" i="70"/>
  <c r="P12" i="71"/>
  <c r="Z33" i="71"/>
  <c r="D116" i="71"/>
  <c r="L116" i="71" s="1"/>
  <c r="L119" i="71"/>
  <c r="N119" i="71" s="1"/>
  <c r="Z19" i="73"/>
  <c r="X19" i="73"/>
  <c r="N45" i="73"/>
  <c r="L45" i="73"/>
  <c r="J19" i="68"/>
  <c r="V21" i="68"/>
  <c r="V25" i="68"/>
  <c r="J33" i="68"/>
  <c r="V37" i="68"/>
  <c r="F41" i="68"/>
  <c r="F42" i="68"/>
  <c r="J43" i="68"/>
  <c r="F50" i="68"/>
  <c r="J57" i="68"/>
  <c r="V63" i="68"/>
  <c r="V65" i="68"/>
  <c r="V68" i="68"/>
  <c r="L97" i="69"/>
  <c r="N97" i="69" s="1"/>
  <c r="L102" i="69"/>
  <c r="L13" i="70"/>
  <c r="D12" i="70"/>
  <c r="J17" i="70"/>
  <c r="H20" i="70"/>
  <c r="J20" i="70" s="1"/>
  <c r="J40" i="70"/>
  <c r="T12" i="71"/>
  <c r="X26" i="71"/>
  <c r="Z26" i="71" s="1"/>
  <c r="N30" i="71"/>
  <c r="L30" i="71"/>
  <c r="V112" i="75"/>
  <c r="V110" i="75"/>
  <c r="V102" i="75"/>
  <c r="V98" i="75"/>
  <c r="V90" i="75"/>
  <c r="V82" i="75"/>
  <c r="V74" i="75"/>
  <c r="V62" i="75"/>
  <c r="V58" i="75"/>
  <c r="V97" i="75"/>
  <c r="V81" i="75"/>
  <c r="V73" i="75"/>
  <c r="V49" i="75"/>
  <c r="V45" i="75"/>
  <c r="V41" i="75"/>
  <c r="V37" i="75"/>
  <c r="V104" i="75"/>
  <c r="V92" i="75"/>
  <c r="V84" i="75"/>
  <c r="V68" i="75"/>
  <c r="Z12" i="75"/>
  <c r="V117" i="75"/>
  <c r="V103" i="75"/>
  <c r="V99" i="75"/>
  <c r="V91" i="75"/>
  <c r="V83" i="75"/>
  <c r="V75" i="75"/>
  <c r="V63" i="75"/>
  <c r="V59" i="75"/>
  <c r="V106" i="75"/>
  <c r="V86" i="75"/>
  <c r="V50" i="75"/>
  <c r="V46" i="75"/>
  <c r="V42" i="75"/>
  <c r="V38" i="75"/>
  <c r="V105" i="75"/>
  <c r="V93" i="75"/>
  <c r="V85" i="75"/>
  <c r="V77" i="75"/>
  <c r="V69" i="75"/>
  <c r="V65" i="75"/>
  <c r="V108" i="75"/>
  <c r="V100" i="75"/>
  <c r="V88" i="75"/>
  <c r="V107" i="75"/>
  <c r="V95" i="75"/>
  <c r="V87" i="75"/>
  <c r="V79" i="75"/>
  <c r="V55" i="75"/>
  <c r="V51" i="75"/>
  <c r="V47" i="75"/>
  <c r="V43" i="75"/>
  <c r="V39" i="75"/>
  <c r="V35" i="75"/>
  <c r="V94" i="75"/>
  <c r="V78" i="75"/>
  <c r="V70" i="75"/>
  <c r="V66" i="75"/>
  <c r="T53" i="75"/>
  <c r="V53" i="75" s="1"/>
  <c r="V109" i="75"/>
  <c r="V101" i="75"/>
  <c r="V89" i="75"/>
  <c r="V61" i="75"/>
  <c r="V57" i="75"/>
  <c r="V113" i="75"/>
  <c r="V71" i="75"/>
  <c r="V67" i="75"/>
  <c r="V80" i="75"/>
  <c r="V36" i="75"/>
  <c r="V44" i="75"/>
  <c r="V96" i="75"/>
  <c r="V64" i="75"/>
  <c r="V56" i="75"/>
  <c r="V40" i="75"/>
  <c r="V72" i="75"/>
  <c r="V48" i="75"/>
  <c r="V76" i="75"/>
  <c r="V60" i="75"/>
  <c r="T96" i="64"/>
  <c r="T101" i="64" s="1"/>
  <c r="V30" i="68"/>
  <c r="V34" i="68"/>
  <c r="J42" i="68"/>
  <c r="V46" i="68"/>
  <c r="J50" i="68"/>
  <c r="F54" i="68"/>
  <c r="F55" i="68"/>
  <c r="J56" i="68"/>
  <c r="Z118" i="69"/>
  <c r="N13" i="70"/>
  <c r="N61" i="70"/>
  <c r="J70" i="70"/>
  <c r="Z64" i="71"/>
  <c r="Z103" i="71"/>
  <c r="N16" i="73"/>
  <c r="N85" i="74"/>
  <c r="L85" i="74"/>
  <c r="P16" i="68"/>
  <c r="J41" i="68"/>
  <c r="V51" i="68"/>
  <c r="J55" i="68"/>
  <c r="J66" i="70"/>
  <c r="X30" i="71"/>
  <c r="Z30" i="71" s="1"/>
  <c r="Z85" i="71"/>
  <c r="N54" i="74"/>
  <c r="X42" i="64"/>
  <c r="X50" i="64"/>
  <c r="Z50" i="64" s="1"/>
  <c r="L56" i="64"/>
  <c r="N56" i="64" s="1"/>
  <c r="X62" i="64"/>
  <c r="Z62" i="64" s="1"/>
  <c r="N12" i="68"/>
  <c r="V20" i="68"/>
  <c r="V24" i="68"/>
  <c r="V28" i="68"/>
  <c r="J32" i="68"/>
  <c r="J40" i="68"/>
  <c r="V44" i="68"/>
  <c r="F48" i="68"/>
  <c r="F49" i="68"/>
  <c r="F53" i="68"/>
  <c r="J54" i="68"/>
  <c r="X111" i="69"/>
  <c r="L120" i="69"/>
  <c r="J48" i="70"/>
  <c r="N55" i="70"/>
  <c r="N34" i="71"/>
  <c r="L34" i="71"/>
  <c r="Z16" i="73"/>
  <c r="Z29" i="73"/>
  <c r="N25" i="74"/>
  <c r="H12" i="74"/>
  <c r="V21" i="61"/>
  <c r="V25" i="61"/>
  <c r="V37" i="61"/>
  <c r="F41" i="61"/>
  <c r="F42" i="61"/>
  <c r="F51" i="61"/>
  <c r="T16" i="68"/>
  <c r="R19" i="68"/>
  <c r="F22" i="68"/>
  <c r="F26" i="68"/>
  <c r="V29" i="68"/>
  <c r="V33" i="68"/>
  <c r="F37" i="68"/>
  <c r="F38" i="68"/>
  <c r="J39" i="68"/>
  <c r="R42" i="68"/>
  <c r="R43" i="68"/>
  <c r="V45" i="68"/>
  <c r="J49" i="68"/>
  <c r="J53" i="68"/>
  <c r="V57" i="68"/>
  <c r="V59" i="68"/>
  <c r="V61" i="68"/>
  <c r="F65" i="68"/>
  <c r="F68" i="68"/>
  <c r="L13" i="69"/>
  <c r="N13" i="69" s="1"/>
  <c r="N16" i="70"/>
  <c r="J39" i="70"/>
  <c r="L14" i="71"/>
  <c r="N14" i="71" s="1"/>
  <c r="H12" i="71"/>
  <c r="Z21" i="71"/>
  <c r="Z23" i="71"/>
  <c r="Z20" i="73"/>
  <c r="N38" i="73"/>
  <c r="J66" i="73"/>
  <c r="X17" i="74"/>
  <c r="Z17" i="74" s="1"/>
  <c r="V14" i="68"/>
  <c r="V16" i="68"/>
  <c r="V18" i="68"/>
  <c r="J22" i="68"/>
  <c r="J26" i="68"/>
  <c r="J38" i="68"/>
  <c r="V42" i="68"/>
  <c r="F47" i="68"/>
  <c r="J48" i="68"/>
  <c r="V50" i="68"/>
  <c r="J16" i="70"/>
  <c r="J18" i="70"/>
  <c r="L22" i="70"/>
  <c r="N22" i="70" s="1"/>
  <c r="J58" i="70"/>
  <c r="X59" i="70"/>
  <c r="Z59" i="70" s="1"/>
  <c r="J76" i="70"/>
  <c r="Z34" i="71"/>
  <c r="X34" i="71"/>
  <c r="P84" i="73"/>
  <c r="J33" i="73"/>
  <c r="X12" i="68"/>
  <c r="V19" i="68"/>
  <c r="V23" i="68"/>
  <c r="V27" i="68"/>
  <c r="J31" i="68"/>
  <c r="F35" i="68"/>
  <c r="F36" i="68"/>
  <c r="J37" i="68"/>
  <c r="V43" i="68"/>
  <c r="J47" i="68"/>
  <c r="F52" i="68"/>
  <c r="V55" i="68"/>
  <c r="J65" i="68"/>
  <c r="J68" i="68"/>
  <c r="X23" i="70"/>
  <c r="J30" i="70"/>
  <c r="J34" i="70"/>
  <c r="X55" i="70"/>
  <c r="Z55" i="70" s="1"/>
  <c r="X14" i="71"/>
  <c r="Z14" i="71" s="1"/>
  <c r="Z25" i="71"/>
  <c r="Z27" i="71"/>
  <c r="Z63" i="71"/>
  <c r="Z49" i="73"/>
  <c r="V48" i="74"/>
  <c r="V44" i="74"/>
  <c r="V40" i="74"/>
  <c r="V36" i="74"/>
  <c r="V83" i="74"/>
  <c r="V75" i="74"/>
  <c r="V67" i="74"/>
  <c r="V96" i="74"/>
  <c r="V74" i="74"/>
  <c r="V85" i="74"/>
  <c r="V84" i="74"/>
  <c r="V76" i="74"/>
  <c r="V68" i="74"/>
  <c r="V87" i="74"/>
  <c r="V79" i="74"/>
  <c r="V63" i="74"/>
  <c r="V59" i="74"/>
  <c r="V55" i="74"/>
  <c r="V89" i="74"/>
  <c r="V81" i="74"/>
  <c r="V69" i="74"/>
  <c r="V65" i="74"/>
  <c r="T52" i="74"/>
  <c r="V88" i="74"/>
  <c r="V80" i="74"/>
  <c r="V72" i="74"/>
  <c r="V71" i="74"/>
  <c r="V47" i="74"/>
  <c r="V73" i="74"/>
  <c r="V61" i="74"/>
  <c r="V57" i="74"/>
  <c r="V78" i="74"/>
  <c r="V62" i="74"/>
  <c r="V38" i="74"/>
  <c r="V82" i="74"/>
  <c r="V64" i="74"/>
  <c r="V60" i="74"/>
  <c r="V58" i="74"/>
  <c r="V56" i="74"/>
  <c r="V49" i="74"/>
  <c r="V43" i="74"/>
  <c r="V45" i="74"/>
  <c r="V86" i="74"/>
  <c r="V54" i="74"/>
  <c r="V90" i="74"/>
  <c r="V41" i="74"/>
  <c r="V77" i="74"/>
  <c r="V39" i="74"/>
  <c r="V92" i="74"/>
  <c r="V50" i="74"/>
  <c r="V46" i="74"/>
  <c r="V37" i="74"/>
  <c r="V70" i="74"/>
  <c r="V35" i="74"/>
  <c r="V42" i="74"/>
  <c r="V66" i="74"/>
  <c r="V52" i="74"/>
  <c r="L44" i="64"/>
  <c r="L52" i="64"/>
  <c r="N52" i="64" s="1"/>
  <c r="X58" i="64"/>
  <c r="Z58" i="64" s="1"/>
  <c r="L64" i="64"/>
  <c r="Z12" i="68"/>
  <c r="X19" i="68"/>
  <c r="Z19" i="68" s="1"/>
  <c r="V32" i="68"/>
  <c r="J36" i="68"/>
  <c r="L37" i="68"/>
  <c r="V40" i="68"/>
  <c r="X43" i="68"/>
  <c r="J52" i="68"/>
  <c r="V56" i="68"/>
  <c r="F63" i="68"/>
  <c r="X88" i="69"/>
  <c r="Z102" i="69"/>
  <c r="J68" i="70"/>
  <c r="J64" i="70"/>
  <c r="J50" i="70"/>
  <c r="J38" i="70"/>
  <c r="J28" i="70"/>
  <c r="J24" i="70"/>
  <c r="J22" i="70"/>
  <c r="J69" i="70"/>
  <c r="J51" i="70"/>
  <c r="J65" i="70"/>
  <c r="J59" i="70"/>
  <c r="J53" i="70"/>
  <c r="J41" i="70"/>
  <c r="J29" i="70"/>
  <c r="J25" i="70"/>
  <c r="J72" i="70"/>
  <c r="J60" i="70"/>
  <c r="J42" i="70"/>
  <c r="J61" i="70"/>
  <c r="J43" i="70"/>
  <c r="J35" i="70"/>
  <c r="J55" i="70"/>
  <c r="J45" i="70"/>
  <c r="J67" i="70"/>
  <c r="J63" i="70"/>
  <c r="J47" i="70"/>
  <c r="J31" i="70"/>
  <c r="J27" i="70"/>
  <c r="J57" i="70"/>
  <c r="J49" i="70"/>
  <c r="J37" i="70"/>
  <c r="J33" i="70"/>
  <c r="J23" i="70"/>
  <c r="Z23" i="70"/>
  <c r="J32" i="70"/>
  <c r="J36" i="70"/>
  <c r="L18" i="71"/>
  <c r="N18" i="71" s="1"/>
  <c r="X38" i="71"/>
  <c r="Z38" i="71" s="1"/>
  <c r="J80" i="73"/>
  <c r="J68" i="73"/>
  <c r="J52" i="73"/>
  <c r="J65" i="73"/>
  <c r="J57" i="73"/>
  <c r="J47" i="73"/>
  <c r="J41" i="73"/>
  <c r="J75" i="73"/>
  <c r="J67" i="73"/>
  <c r="J62" i="73"/>
  <c r="J58" i="73"/>
  <c r="J53" i="73"/>
  <c r="J39" i="73"/>
  <c r="J29" i="73"/>
  <c r="J72" i="73"/>
  <c r="J34" i="73"/>
  <c r="J30" i="73"/>
  <c r="J28" i="73"/>
  <c r="J26" i="73"/>
  <c r="J86" i="73"/>
  <c r="H26" i="73"/>
  <c r="J63" i="73"/>
  <c r="J59" i="73"/>
  <c r="J54" i="73"/>
  <c r="J48" i="73"/>
  <c r="J43" i="73"/>
  <c r="N12" i="73"/>
  <c r="J76" i="73"/>
  <c r="J64" i="73"/>
  <c r="J55" i="73"/>
  <c r="J49" i="73"/>
  <c r="J40" i="73"/>
  <c r="J35" i="73"/>
  <c r="J31" i="73"/>
  <c r="J82" i="73"/>
  <c r="J77" i="73"/>
  <c r="J73" i="73"/>
  <c r="J69" i="73"/>
  <c r="J60" i="73"/>
  <c r="J56" i="73"/>
  <c r="J50" i="73"/>
  <c r="J44" i="73"/>
  <c r="J36" i="73"/>
  <c r="J32" i="73"/>
  <c r="J22" i="73"/>
  <c r="J78" i="73"/>
  <c r="J70" i="73"/>
  <c r="J61" i="73"/>
  <c r="J51" i="73"/>
  <c r="J23" i="73"/>
  <c r="J74" i="73"/>
  <c r="J45" i="73"/>
  <c r="J46" i="73"/>
  <c r="J42" i="73"/>
  <c r="J38" i="73"/>
  <c r="J24" i="73"/>
  <c r="D16" i="68"/>
  <c r="J21" i="68"/>
  <c r="J25" i="68"/>
  <c r="F29" i="68"/>
  <c r="F30" i="68"/>
  <c r="F34" i="68"/>
  <c r="J35" i="68"/>
  <c r="V41" i="68"/>
  <c r="F45" i="68"/>
  <c r="F46" i="68"/>
  <c r="V49" i="68"/>
  <c r="F59" i="68"/>
  <c r="J26" i="70"/>
  <c r="J44" i="70"/>
  <c r="J52" i="70"/>
  <c r="J56" i="70"/>
  <c r="L69" i="70"/>
  <c r="N69" i="70" s="1"/>
  <c r="L15" i="71"/>
  <c r="D12" i="71"/>
  <c r="N22" i="71"/>
  <c r="L22" i="71"/>
  <c r="Z31" i="71"/>
  <c r="Z43" i="71"/>
  <c r="V73" i="76"/>
  <c r="V57" i="76"/>
  <c r="V62" i="76"/>
  <c r="V54" i="76"/>
  <c r="V63" i="76"/>
  <c r="V43" i="76"/>
  <c r="V67" i="76"/>
  <c r="V53" i="76"/>
  <c r="V48" i="76"/>
  <c r="V47" i="76"/>
  <c r="V42" i="76"/>
  <c r="V38" i="76"/>
  <c r="V34" i="76"/>
  <c r="V71" i="76"/>
  <c r="V70" i="76"/>
  <c r="V59" i="76"/>
  <c r="V33" i="76"/>
  <c r="V31" i="76"/>
  <c r="V29" i="76"/>
  <c r="V64" i="76"/>
  <c r="V60" i="76"/>
  <c r="V44" i="76"/>
  <c r="T31" i="76"/>
  <c r="V65" i="76"/>
  <c r="V39" i="76"/>
  <c r="V35" i="76"/>
  <c r="V72" i="76"/>
  <c r="V56" i="76"/>
  <c r="V50" i="76"/>
  <c r="V49" i="76"/>
  <c r="V68" i="76"/>
  <c r="V55" i="76"/>
  <c r="V45" i="76"/>
  <c r="V81" i="76"/>
  <c r="V61" i="76"/>
  <c r="V40" i="76"/>
  <c r="V36" i="76"/>
  <c r="V74" i="76"/>
  <c r="V66" i="76"/>
  <c r="V52" i="76"/>
  <c r="V51" i="76"/>
  <c r="V46" i="76"/>
  <c r="V77" i="76"/>
  <c r="V76" i="76"/>
  <c r="V69" i="76"/>
  <c r="V41" i="76"/>
  <c r="V58" i="76"/>
  <c r="V37" i="76"/>
  <c r="N43" i="71"/>
  <c r="N63" i="71"/>
  <c r="N87" i="71"/>
  <c r="N103" i="71"/>
  <c r="Z113" i="71"/>
  <c r="Z119" i="71"/>
  <c r="Z22" i="73"/>
  <c r="N28" i="73"/>
  <c r="F33" i="73"/>
  <c r="F37" i="73"/>
  <c r="N47" i="73"/>
  <c r="F52" i="73"/>
  <c r="Z55" i="73"/>
  <c r="F57" i="73"/>
  <c r="F66" i="73"/>
  <c r="F71" i="73"/>
  <c r="Z77" i="73"/>
  <c r="R80" i="73"/>
  <c r="R86" i="73"/>
  <c r="Z15" i="74"/>
  <c r="N20" i="74"/>
  <c r="L25" i="74"/>
  <c r="L72" i="74"/>
  <c r="N72" i="74" s="1"/>
  <c r="R72" i="75"/>
  <c r="R71" i="75"/>
  <c r="R67" i="75"/>
  <c r="R113" i="75"/>
  <c r="R110" i="75"/>
  <c r="R102" i="75"/>
  <c r="R90" i="75"/>
  <c r="R62" i="75"/>
  <c r="R58" i="75"/>
  <c r="R112" i="75"/>
  <c r="R98" i="75"/>
  <c r="R97" i="75"/>
  <c r="R82" i="75"/>
  <c r="R81" i="75"/>
  <c r="R74" i="75"/>
  <c r="R73" i="75"/>
  <c r="R49" i="75"/>
  <c r="R45" i="75"/>
  <c r="R41" i="75"/>
  <c r="R37" i="75"/>
  <c r="R68" i="75"/>
  <c r="X12" i="75"/>
  <c r="R117" i="75"/>
  <c r="R104" i="75"/>
  <c r="R103" i="75"/>
  <c r="R99" i="75"/>
  <c r="R92" i="75"/>
  <c r="R91" i="75"/>
  <c r="R84" i="75"/>
  <c r="R83" i="75"/>
  <c r="R75" i="75"/>
  <c r="R63" i="75"/>
  <c r="R59" i="75"/>
  <c r="R50" i="75"/>
  <c r="R46" i="75"/>
  <c r="R42" i="75"/>
  <c r="R38" i="75"/>
  <c r="R106" i="75"/>
  <c r="R105" i="75"/>
  <c r="R93" i="75"/>
  <c r="R86" i="75"/>
  <c r="R85" i="75"/>
  <c r="R100" i="75"/>
  <c r="R77" i="75"/>
  <c r="R76" i="75"/>
  <c r="R65" i="75"/>
  <c r="R64" i="75"/>
  <c r="R60" i="75"/>
  <c r="R108" i="75"/>
  <c r="R107" i="75"/>
  <c r="R88" i="75"/>
  <c r="R87" i="75"/>
  <c r="R56" i="75"/>
  <c r="R51" i="75"/>
  <c r="R47" i="75"/>
  <c r="R43" i="75"/>
  <c r="R39" i="75"/>
  <c r="R95" i="75"/>
  <c r="R94" i="75"/>
  <c r="R79" i="75"/>
  <c r="R78" i="75"/>
  <c r="R70" i="75"/>
  <c r="R66" i="75"/>
  <c r="R55" i="75"/>
  <c r="R53" i="75"/>
  <c r="R35" i="75"/>
  <c r="R96" i="75"/>
  <c r="R80" i="75"/>
  <c r="R48" i="75"/>
  <c r="R44" i="75"/>
  <c r="R40" i="75"/>
  <c r="R36" i="75"/>
  <c r="Z15" i="75"/>
  <c r="Z19" i="75"/>
  <c r="Z23" i="75"/>
  <c r="Z27" i="75"/>
  <c r="Z31" i="75"/>
  <c r="X65" i="75"/>
  <c r="Z65" i="75" s="1"/>
  <c r="Z15" i="76"/>
  <c r="N34" i="76"/>
  <c r="D12" i="77"/>
  <c r="L16" i="77"/>
  <c r="N16" i="77" s="1"/>
  <c r="V85" i="77"/>
  <c r="F22" i="73"/>
  <c r="F23" i="73"/>
  <c r="R26" i="73"/>
  <c r="R28" i="73"/>
  <c r="R39" i="73"/>
  <c r="R47" i="73"/>
  <c r="R53" i="73"/>
  <c r="R58" i="73"/>
  <c r="R62" i="73"/>
  <c r="F78" i="73"/>
  <c r="Z20" i="74"/>
  <c r="L33" i="74"/>
  <c r="N33" i="74" s="1"/>
  <c r="Z35" i="74"/>
  <c r="Z95" i="75"/>
  <c r="N20" i="76"/>
  <c r="Z20" i="77"/>
  <c r="N26" i="77"/>
  <c r="L26" i="77"/>
  <c r="N81" i="77"/>
  <c r="R24" i="73"/>
  <c r="R29" i="73"/>
  <c r="F32" i="73"/>
  <c r="F36" i="73"/>
  <c r="F41" i="73"/>
  <c r="F44" i="73"/>
  <c r="R46" i="73"/>
  <c r="R52" i="73"/>
  <c r="R57" i="73"/>
  <c r="Z58" i="73"/>
  <c r="L13" i="74"/>
  <c r="N13" i="74" s="1"/>
  <c r="D12" i="74"/>
  <c r="Z25" i="74"/>
  <c r="X55" i="74"/>
  <c r="Z55" i="74" s="1"/>
  <c r="N77" i="74"/>
  <c r="L77" i="74"/>
  <c r="X87" i="74"/>
  <c r="P12" i="77"/>
  <c r="X14" i="77"/>
  <c r="P116" i="71"/>
  <c r="L13" i="73"/>
  <c r="N13" i="73" s="1"/>
  <c r="R33" i="73"/>
  <c r="R37" i="73"/>
  <c r="R38" i="73"/>
  <c r="F50" i="73"/>
  <c r="F56" i="73"/>
  <c r="F65" i="73"/>
  <c r="F69" i="73"/>
  <c r="R71" i="73"/>
  <c r="F77" i="73"/>
  <c r="X25" i="74"/>
  <c r="Z28" i="74"/>
  <c r="L65" i="74"/>
  <c r="N65" i="74"/>
  <c r="Z48" i="76"/>
  <c r="Z52" i="76"/>
  <c r="X52" i="76"/>
  <c r="L57" i="81"/>
  <c r="N57" i="81" s="1"/>
  <c r="F73" i="73"/>
  <c r="F61" i="73"/>
  <c r="F60" i="73"/>
  <c r="F46" i="73"/>
  <c r="F45" i="73"/>
  <c r="F49" i="73"/>
  <c r="F55" i="73"/>
  <c r="F64" i="73"/>
  <c r="R74" i="73"/>
  <c r="N77" i="73"/>
  <c r="Z79" i="73"/>
  <c r="R84" i="73"/>
  <c r="P12" i="74"/>
  <c r="Z33" i="74"/>
  <c r="Z81" i="74"/>
  <c r="N14" i="75"/>
  <c r="N18" i="75"/>
  <c r="N26" i="75"/>
  <c r="N30" i="75"/>
  <c r="P53" i="75"/>
  <c r="Z79" i="75"/>
  <c r="Z101" i="77"/>
  <c r="X38" i="70"/>
  <c r="Z38" i="70" s="1"/>
  <c r="L44" i="70"/>
  <c r="N44" i="70" s="1"/>
  <c r="X50" i="70"/>
  <c r="Z50" i="70" s="1"/>
  <c r="Z13" i="71"/>
  <c r="L82" i="71"/>
  <c r="X96" i="71"/>
  <c r="Z96" i="71" s="1"/>
  <c r="X108" i="71"/>
  <c r="Z108" i="71" s="1"/>
  <c r="T116" i="71"/>
  <c r="R23" i="73"/>
  <c r="X29" i="73"/>
  <c r="F31" i="73"/>
  <c r="F35" i="73"/>
  <c r="F40" i="73"/>
  <c r="R41" i="73"/>
  <c r="R45" i="73"/>
  <c r="N49" i="73"/>
  <c r="R61" i="73"/>
  <c r="F76" i="73"/>
  <c r="X19" i="74"/>
  <c r="Z19" i="74" s="1"/>
  <c r="N21" i="74"/>
  <c r="L24" i="74"/>
  <c r="Z65" i="74"/>
  <c r="Z35" i="75"/>
  <c r="D12" i="76"/>
  <c r="Z57" i="77"/>
  <c r="X17" i="79"/>
  <c r="Z17" i="79" s="1"/>
  <c r="F69" i="80"/>
  <c r="F68" i="80"/>
  <c r="F63" i="80"/>
  <c r="F59" i="80"/>
  <c r="F73" i="80"/>
  <c r="F56" i="80"/>
  <c r="F40" i="80"/>
  <c r="F39" i="80"/>
  <c r="F28" i="80"/>
  <c r="F24" i="80"/>
  <c r="F23" i="80"/>
  <c r="F22" i="80"/>
  <c r="F20" i="80"/>
  <c r="F60" i="80"/>
  <c r="F50" i="80"/>
  <c r="F42" i="80"/>
  <c r="F41" i="80"/>
  <c r="F34" i="80"/>
  <c r="D20" i="80"/>
  <c r="F80" i="80"/>
  <c r="F57" i="80"/>
  <c r="F29" i="80"/>
  <c r="F25" i="80"/>
  <c r="F52" i="80"/>
  <c r="F51" i="80"/>
  <c r="F44" i="80"/>
  <c r="F43" i="80"/>
  <c r="F75" i="80"/>
  <c r="F64" i="80"/>
  <c r="F61" i="80"/>
  <c r="F58" i="80"/>
  <c r="F35" i="80"/>
  <c r="F54" i="80"/>
  <c r="F53" i="80"/>
  <c r="F46" i="80"/>
  <c r="F45" i="80"/>
  <c r="F30" i="80"/>
  <c r="F26" i="80"/>
  <c r="F65" i="80"/>
  <c r="F17" i="80"/>
  <c r="F16" i="80"/>
  <c r="F48" i="80"/>
  <c r="F47" i="80"/>
  <c r="F36" i="80"/>
  <c r="F32" i="80"/>
  <c r="F31" i="80"/>
  <c r="L12" i="80"/>
  <c r="F71" i="80"/>
  <c r="F66" i="80"/>
  <c r="F62" i="80"/>
  <c r="F55" i="80"/>
  <c r="F27" i="80"/>
  <c r="F77" i="80"/>
  <c r="F67" i="80"/>
  <c r="F49" i="80"/>
  <c r="F33" i="80"/>
  <c r="F37" i="80"/>
  <c r="F38" i="80"/>
  <c r="F18" i="80"/>
  <c r="L12" i="73"/>
  <c r="D26" i="73"/>
  <c r="F26" i="73" s="1"/>
  <c r="R32" i="73"/>
  <c r="R36" i="73"/>
  <c r="F43" i="73"/>
  <c r="R44" i="73"/>
  <c r="F48" i="73"/>
  <c r="F54" i="73"/>
  <c r="F59" i="73"/>
  <c r="F63" i="73"/>
  <c r="R65" i="73"/>
  <c r="L77" i="73"/>
  <c r="X13" i="74"/>
  <c r="Z13" i="74" s="1"/>
  <c r="Z16" i="74"/>
  <c r="L29" i="74"/>
  <c r="Z79" i="74"/>
  <c r="X14" i="75"/>
  <c r="Z14" i="75" s="1"/>
  <c r="X18" i="75"/>
  <c r="Z18" i="75" s="1"/>
  <c r="Z22" i="75"/>
  <c r="X22" i="75"/>
  <c r="X26" i="75"/>
  <c r="Z26" i="75" s="1"/>
  <c r="Z30" i="75"/>
  <c r="X30" i="75"/>
  <c r="R69" i="75"/>
  <c r="Z77" i="75"/>
  <c r="V38" i="77"/>
  <c r="R22" i="73"/>
  <c r="F28" i="73"/>
  <c r="L49" i="73"/>
  <c r="L53" i="73"/>
  <c r="L58" i="73"/>
  <c r="N58" i="73" s="1"/>
  <c r="F68" i="73"/>
  <c r="X82" i="73"/>
  <c r="F86" i="73"/>
  <c r="Z21" i="74"/>
  <c r="N29" i="74"/>
  <c r="R70" i="73"/>
  <c r="R69" i="73"/>
  <c r="R79" i="73"/>
  <c r="R78" i="73"/>
  <c r="R67" i="73"/>
  <c r="R66" i="73"/>
  <c r="R51" i="73"/>
  <c r="R50" i="73"/>
  <c r="R42" i="73"/>
  <c r="F29" i="73"/>
  <c r="F30" i="73"/>
  <c r="F34" i="73"/>
  <c r="F47" i="73"/>
  <c r="F53" i="73"/>
  <c r="F58" i="73"/>
  <c r="R60" i="73"/>
  <c r="F67" i="73"/>
  <c r="F72" i="73"/>
  <c r="R73" i="73"/>
  <c r="R77" i="73"/>
  <c r="F80" i="73"/>
  <c r="R82" i="73"/>
  <c r="Z24" i="74"/>
  <c r="H12" i="77"/>
  <c r="L13" i="77"/>
  <c r="N13" i="77" s="1"/>
  <c r="N29" i="77"/>
  <c r="L29" i="77"/>
  <c r="L38" i="71"/>
  <c r="L15" i="73"/>
  <c r="N15" i="73" s="1"/>
  <c r="L19" i="73"/>
  <c r="N19" i="73" s="1"/>
  <c r="R31" i="73"/>
  <c r="R35" i="73"/>
  <c r="F38" i="73"/>
  <c r="F39" i="73"/>
  <c r="R40" i="73"/>
  <c r="R49" i="73"/>
  <c r="R59" i="73"/>
  <c r="F62" i="73"/>
  <c r="F75" i="73"/>
  <c r="R76" i="73"/>
  <c r="X24" i="74"/>
  <c r="Z29" i="74"/>
  <c r="Z55" i="75"/>
  <c r="N15" i="76"/>
  <c r="F24" i="73"/>
  <c r="F42" i="73"/>
  <c r="R43" i="73"/>
  <c r="R48" i="73"/>
  <c r="R54" i="73"/>
  <c r="R55" i="73"/>
  <c r="R63" i="73"/>
  <c r="R64" i="73"/>
  <c r="R68" i="73"/>
  <c r="F79" i="73"/>
  <c r="N17" i="74"/>
  <c r="Z32" i="74"/>
  <c r="Z92" i="75"/>
  <c r="Z19" i="76"/>
  <c r="N65" i="76"/>
  <c r="L65" i="76"/>
  <c r="V86" i="77"/>
  <c r="V98" i="77"/>
  <c r="V90" i="77"/>
  <c r="V78" i="77"/>
  <c r="V70" i="77"/>
  <c r="V101" i="77"/>
  <c r="V107" i="77"/>
  <c r="V113" i="77"/>
  <c r="V103" i="77"/>
  <c r="V95" i="77"/>
  <c r="V75" i="77"/>
  <c r="V63" i="77"/>
  <c r="V59" i="77"/>
  <c r="V56" i="77"/>
  <c r="V50" i="77"/>
  <c r="V47" i="77"/>
  <c r="V44" i="77"/>
  <c r="V41" i="77"/>
  <c r="V57" i="77"/>
  <c r="V108" i="77"/>
  <c r="V77" i="77"/>
  <c r="V71" i="77"/>
  <c r="V60" i="77"/>
  <c r="V91" i="77"/>
  <c r="V83" i="77"/>
  <c r="V82" i="77"/>
  <c r="V76" i="77"/>
  <c r="V68" i="77"/>
  <c r="V39" i="77"/>
  <c r="V92" i="77"/>
  <c r="V51" i="77"/>
  <c r="V48" i="77"/>
  <c r="V45" i="77"/>
  <c r="V42" i="77"/>
  <c r="V109" i="77"/>
  <c r="V88" i="77"/>
  <c r="V87" i="77"/>
  <c r="V64" i="77"/>
  <c r="V61" i="77"/>
  <c r="V58" i="77"/>
  <c r="V99" i="77"/>
  <c r="V73" i="77"/>
  <c r="V72" i="77"/>
  <c r="V69" i="77"/>
  <c r="V102" i="77"/>
  <c r="V84" i="77"/>
  <c r="V79" i="77"/>
  <c r="V40" i="77"/>
  <c r="V65" i="77"/>
  <c r="V62" i="77"/>
  <c r="V52" i="77"/>
  <c r="V49" i="77"/>
  <c r="V46" i="77"/>
  <c r="V43" i="77"/>
  <c r="V106" i="77"/>
  <c r="V96" i="77"/>
  <c r="V89" i="77"/>
  <c r="V94" i="77"/>
  <c r="V81" i="77"/>
  <c r="V80" i="77"/>
  <c r="V67" i="77"/>
  <c r="V66" i="77"/>
  <c r="T54" i="77"/>
  <c r="V93" i="77"/>
  <c r="V100" i="77"/>
  <c r="Z75" i="74"/>
  <c r="N81" i="74"/>
  <c r="N89" i="74"/>
  <c r="N35" i="75"/>
  <c r="J39" i="75"/>
  <c r="J43" i="75"/>
  <c r="J47" i="75"/>
  <c r="J51" i="75"/>
  <c r="N55" i="75"/>
  <c r="J65" i="75"/>
  <c r="J77" i="75"/>
  <c r="N79" i="75"/>
  <c r="J87" i="75"/>
  <c r="N95" i="75"/>
  <c r="J107" i="75"/>
  <c r="Z34" i="76"/>
  <c r="R37" i="76"/>
  <c r="R41" i="76"/>
  <c r="R69" i="76"/>
  <c r="N14" i="77"/>
  <c r="N30" i="77"/>
  <c r="L92" i="77"/>
  <c r="N92" i="77" s="1"/>
  <c r="X97" i="77"/>
  <c r="Z97" i="77" s="1"/>
  <c r="D105" i="77"/>
  <c r="L105" i="77" s="1"/>
  <c r="N105" i="77" s="1"/>
  <c r="T12" i="79"/>
  <c r="Z13" i="79"/>
  <c r="X13" i="79"/>
  <c r="X20" i="79"/>
  <c r="Z20" i="79" s="1"/>
  <c r="Z65" i="79"/>
  <c r="Z22" i="80"/>
  <c r="Z41" i="80"/>
  <c r="D12" i="75"/>
  <c r="J69" i="75"/>
  <c r="J85" i="75"/>
  <c r="J93" i="75"/>
  <c r="J105" i="75"/>
  <c r="D112" i="75"/>
  <c r="H12" i="76"/>
  <c r="Z14" i="77"/>
  <c r="X20" i="77"/>
  <c r="X36" i="77"/>
  <c r="Z36" i="77" s="1"/>
  <c r="L109" i="77"/>
  <c r="N109" i="77" s="1"/>
  <c r="X48" i="79"/>
  <c r="Z48" i="79" s="1"/>
  <c r="D63" i="79"/>
  <c r="L63" i="79" s="1"/>
  <c r="L66" i="79"/>
  <c r="N68" i="79"/>
  <c r="V25" i="80"/>
  <c r="X115" i="85"/>
  <c r="Z115" i="85"/>
  <c r="J38" i="75"/>
  <c r="J42" i="75"/>
  <c r="J46" i="75"/>
  <c r="J50" i="75"/>
  <c r="J84" i="75"/>
  <c r="J92" i="75"/>
  <c r="J104" i="75"/>
  <c r="R36" i="76"/>
  <c r="R40" i="76"/>
  <c r="R61" i="76"/>
  <c r="N19" i="77"/>
  <c r="N35" i="77"/>
  <c r="L56" i="77"/>
  <c r="N56" i="77" s="1"/>
  <c r="L30" i="79"/>
  <c r="N30" i="79" s="1"/>
  <c r="Z46" i="79"/>
  <c r="N64" i="79"/>
  <c r="L64" i="79"/>
  <c r="H63" i="79"/>
  <c r="N66" i="79"/>
  <c r="J59" i="75"/>
  <c r="J63" i="75"/>
  <c r="J75" i="75"/>
  <c r="J83" i="75"/>
  <c r="J91" i="75"/>
  <c r="J99" i="75"/>
  <c r="J103" i="75"/>
  <c r="H112" i="75"/>
  <c r="J112" i="75" s="1"/>
  <c r="J117" i="75"/>
  <c r="R45" i="76"/>
  <c r="R50" i="76"/>
  <c r="R55" i="76"/>
  <c r="R56" i="76"/>
  <c r="X65" i="76"/>
  <c r="Z65" i="76" s="1"/>
  <c r="D76" i="76"/>
  <c r="L76" i="76" s="1"/>
  <c r="L77" i="76"/>
  <c r="N77" i="76" s="1"/>
  <c r="L83" i="77"/>
  <c r="N83" i="77" s="1"/>
  <c r="X92" i="77"/>
  <c r="X14" i="79"/>
  <c r="P12" i="79"/>
  <c r="N60" i="79"/>
  <c r="Z68" i="80"/>
  <c r="R71" i="76"/>
  <c r="R70" i="76"/>
  <c r="R66" i="76"/>
  <c r="R81" i="76"/>
  <c r="R52" i="76"/>
  <c r="R51" i="76"/>
  <c r="R49" i="76"/>
  <c r="R65" i="76"/>
  <c r="R72" i="76"/>
  <c r="R73" i="76"/>
  <c r="Z26" i="77"/>
  <c r="Z88" i="77"/>
  <c r="Z109" i="77"/>
  <c r="Z14" i="79"/>
  <c r="R54" i="81"/>
  <c r="R53" i="81"/>
  <c r="R73" i="81"/>
  <c r="R72" i="81"/>
  <c r="R61" i="81"/>
  <c r="R60" i="81"/>
  <c r="R67" i="81"/>
  <c r="R55" i="81"/>
  <c r="R44" i="81"/>
  <c r="R43" i="81"/>
  <c r="R35" i="81"/>
  <c r="R16" i="81"/>
  <c r="R46" i="81"/>
  <c r="R45" i="81"/>
  <c r="R17" i="81"/>
  <c r="R76" i="81"/>
  <c r="R68" i="81"/>
  <c r="R64" i="81"/>
  <c r="R57" i="81"/>
  <c r="R56" i="81"/>
  <c r="R36" i="81"/>
  <c r="X12" i="81"/>
  <c r="R58" i="81"/>
  <c r="R23" i="81"/>
  <c r="R69" i="81"/>
  <c r="R65" i="81"/>
  <c r="R82" i="81"/>
  <c r="R28" i="81"/>
  <c r="R24" i="81"/>
  <c r="R71" i="81"/>
  <c r="R70" i="81"/>
  <c r="R66" i="81"/>
  <c r="R34" i="81"/>
  <c r="R42" i="81"/>
  <c r="R37" i="81"/>
  <c r="R47" i="81"/>
  <c r="R29" i="81"/>
  <c r="R78" i="81"/>
  <c r="R75" i="81"/>
  <c r="R31" i="81"/>
  <c r="R25" i="81"/>
  <c r="R50" i="81"/>
  <c r="R27" i="81"/>
  <c r="R18" i="81"/>
  <c r="R62" i="81"/>
  <c r="R52" i="81"/>
  <c r="R48" i="81"/>
  <c r="R40" i="81"/>
  <c r="R38" i="81"/>
  <c r="R32" i="81"/>
  <c r="R63" i="81"/>
  <c r="R41" i="81"/>
  <c r="R30" i="81"/>
  <c r="P20" i="81"/>
  <c r="R20" i="81" s="1"/>
  <c r="R59" i="81"/>
  <c r="R26" i="81"/>
  <c r="R39" i="81"/>
  <c r="R22" i="81"/>
  <c r="N77" i="84"/>
  <c r="J37" i="75"/>
  <c r="J41" i="75"/>
  <c r="J45" i="75"/>
  <c r="J49" i="75"/>
  <c r="J73" i="75"/>
  <c r="J81" i="75"/>
  <c r="J97" i="75"/>
  <c r="J113" i="75"/>
  <c r="L15" i="76"/>
  <c r="L19" i="76"/>
  <c r="N19" i="76" s="1"/>
  <c r="L23" i="76"/>
  <c r="L27" i="76"/>
  <c r="P31" i="76"/>
  <c r="R31" i="76" s="1"/>
  <c r="R35" i="76"/>
  <c r="R39" i="76"/>
  <c r="R60" i="76"/>
  <c r="N76" i="76"/>
  <c r="X13" i="77"/>
  <c r="N15" i="77"/>
  <c r="X26" i="77"/>
  <c r="X29" i="77"/>
  <c r="Z29" i="77" s="1"/>
  <c r="N31" i="77"/>
  <c r="Z92" i="77"/>
  <c r="N16" i="80"/>
  <c r="Z13" i="81"/>
  <c r="L89" i="85"/>
  <c r="N89" i="85" s="1"/>
  <c r="J58" i="75"/>
  <c r="J62" i="75"/>
  <c r="J72" i="75"/>
  <c r="J90" i="75"/>
  <c r="J102" i="75"/>
  <c r="J110" i="75"/>
  <c r="X12" i="76"/>
  <c r="Z12" i="76" s="1"/>
  <c r="R29" i="76"/>
  <c r="R33" i="76"/>
  <c r="R44" i="76"/>
  <c r="X48" i="76"/>
  <c r="X56" i="76"/>
  <c r="R64" i="76"/>
  <c r="Z13" i="77"/>
  <c r="N38" i="77"/>
  <c r="X57" i="77"/>
  <c r="N97" i="77"/>
  <c r="Z16" i="79"/>
  <c r="Z18" i="79"/>
  <c r="N31" i="80"/>
  <c r="V45" i="80"/>
  <c r="J67" i="75"/>
  <c r="J71" i="75"/>
  <c r="R34" i="76"/>
  <c r="R48" i="76"/>
  <c r="R54" i="76"/>
  <c r="R59" i="76"/>
  <c r="Z22" i="77"/>
  <c r="L67" i="77"/>
  <c r="N67" i="77" s="1"/>
  <c r="Z77" i="77"/>
  <c r="L86" i="77"/>
  <c r="N86" i="77" s="1"/>
  <c r="L94" i="77"/>
  <c r="N94" i="77" s="1"/>
  <c r="X101" i="77"/>
  <c r="X14" i="83"/>
  <c r="Z14" i="83" s="1"/>
  <c r="J36" i="75"/>
  <c r="J40" i="75"/>
  <c r="J44" i="75"/>
  <c r="J48" i="75"/>
  <c r="H53" i="75"/>
  <c r="J53" i="75" s="1"/>
  <c r="J80" i="75"/>
  <c r="J96" i="75"/>
  <c r="L14" i="76"/>
  <c r="N14" i="76" s="1"/>
  <c r="L18" i="76"/>
  <c r="L22" i="76"/>
  <c r="L26" i="76"/>
  <c r="R38" i="76"/>
  <c r="R42" i="76"/>
  <c r="R43" i="76"/>
  <c r="R47" i="76"/>
  <c r="R53" i="76"/>
  <c r="R63" i="76"/>
  <c r="R67" i="76"/>
  <c r="X22" i="77"/>
  <c r="N27" i="77"/>
  <c r="D12" i="79"/>
  <c r="N20" i="79"/>
  <c r="L50" i="79"/>
  <c r="V75" i="80"/>
  <c r="V47" i="80"/>
  <c r="V35" i="80"/>
  <c r="V31" i="80"/>
  <c r="V69" i="80"/>
  <c r="V61" i="80"/>
  <c r="V58" i="80"/>
  <c r="V54" i="80"/>
  <c r="V46" i="80"/>
  <c r="V30" i="80"/>
  <c r="V26" i="80"/>
  <c r="V66" i="80"/>
  <c r="V65" i="80"/>
  <c r="V37" i="80"/>
  <c r="V17" i="80"/>
  <c r="V71" i="80"/>
  <c r="V48" i="80"/>
  <c r="V36" i="80"/>
  <c r="V32" i="80"/>
  <c r="V55" i="80"/>
  <c r="V39" i="80"/>
  <c r="V27" i="80"/>
  <c r="V23" i="80"/>
  <c r="V62" i="80"/>
  <c r="V59" i="80"/>
  <c r="V38" i="80"/>
  <c r="V22" i="80"/>
  <c r="V20" i="80"/>
  <c r="V18" i="80"/>
  <c r="V49" i="80"/>
  <c r="V41" i="80"/>
  <c r="V33" i="80"/>
  <c r="T20" i="80"/>
  <c r="V67" i="80"/>
  <c r="V56" i="80"/>
  <c r="V40" i="80"/>
  <c r="V28" i="80"/>
  <c r="V24" i="80"/>
  <c r="V68" i="80"/>
  <c r="V57" i="80"/>
  <c r="V51" i="80"/>
  <c r="V43" i="80"/>
  <c r="V63" i="80"/>
  <c r="V60" i="80"/>
  <c r="V50" i="80"/>
  <c r="V42" i="80"/>
  <c r="V34" i="80"/>
  <c r="V52" i="80"/>
  <c r="V44" i="80"/>
  <c r="V16" i="80"/>
  <c r="V29" i="80"/>
  <c r="Z57" i="80"/>
  <c r="J35" i="75"/>
  <c r="J55" i="75"/>
  <c r="J57" i="75"/>
  <c r="J61" i="75"/>
  <c r="J79" i="75"/>
  <c r="X84" i="75"/>
  <c r="Z84" i="75" s="1"/>
  <c r="J89" i="75"/>
  <c r="X92" i="75"/>
  <c r="J95" i="75"/>
  <c r="J101" i="75"/>
  <c r="X104" i="75"/>
  <c r="Z104" i="75" s="1"/>
  <c r="J109" i="75"/>
  <c r="X29" i="76"/>
  <c r="X33" i="76"/>
  <c r="Z33" i="76" s="1"/>
  <c r="R76" i="76"/>
  <c r="R77" i="76"/>
  <c r="Z56" i="77"/>
  <c r="T105" i="77"/>
  <c r="V105" i="77" s="1"/>
  <c r="N13" i="79"/>
  <c r="L13" i="79"/>
  <c r="H12" i="79"/>
  <c r="N50" i="79"/>
  <c r="Z43" i="80"/>
  <c r="X24" i="85"/>
  <c r="Z24" i="85" s="1"/>
  <c r="P12" i="85"/>
  <c r="J56" i="75"/>
  <c r="J66" i="75"/>
  <c r="J70" i="75"/>
  <c r="J78" i="75"/>
  <c r="J88" i="75"/>
  <c r="J94" i="75"/>
  <c r="R58" i="76"/>
  <c r="R62" i="76"/>
  <c r="Z77" i="76"/>
  <c r="Z18" i="77"/>
  <c r="Z34" i="77"/>
  <c r="X107" i="77"/>
  <c r="N17" i="79"/>
  <c r="L17" i="79"/>
  <c r="N46" i="79"/>
  <c r="Z60" i="79"/>
  <c r="Z66" i="79"/>
  <c r="J22" i="80"/>
  <c r="J24" i="80"/>
  <c r="R25" i="80"/>
  <c r="J28" i="80"/>
  <c r="R29" i="80"/>
  <c r="J40" i="80"/>
  <c r="X57" i="80"/>
  <c r="N13" i="81"/>
  <c r="H20" i="81"/>
  <c r="J26" i="81"/>
  <c r="J28" i="81"/>
  <c r="J41" i="81"/>
  <c r="J44" i="81"/>
  <c r="F46" i="81"/>
  <c r="J53" i="81"/>
  <c r="N63" i="81"/>
  <c r="P20" i="84"/>
  <c r="R40" i="84"/>
  <c r="Z48" i="84"/>
  <c r="N62" i="84"/>
  <c r="N84" i="84"/>
  <c r="L84" i="84"/>
  <c r="N75" i="85"/>
  <c r="J69" i="80"/>
  <c r="J61" i="80"/>
  <c r="J64" i="80"/>
  <c r="J18" i="80"/>
  <c r="J38" i="80"/>
  <c r="J59" i="80"/>
  <c r="L22" i="84"/>
  <c r="N22" i="84" s="1"/>
  <c r="F70" i="85"/>
  <c r="Z75" i="85"/>
  <c r="P20" i="80"/>
  <c r="R24" i="80"/>
  <c r="J27" i="80"/>
  <c r="R28" i="80"/>
  <c r="J37" i="80"/>
  <c r="R40" i="80"/>
  <c r="R41" i="80"/>
  <c r="J55" i="80"/>
  <c r="R56" i="80"/>
  <c r="J62" i="80"/>
  <c r="N16" i="81"/>
  <c r="V28" i="81"/>
  <c r="F66" i="81"/>
  <c r="L73" i="81"/>
  <c r="F19" i="83"/>
  <c r="F25" i="83"/>
  <c r="F24" i="83"/>
  <c r="F23" i="83"/>
  <c r="D21" i="83"/>
  <c r="F27" i="83"/>
  <c r="L12" i="83"/>
  <c r="N12" i="83" s="1"/>
  <c r="F18" i="83"/>
  <c r="F17" i="83"/>
  <c r="Z23" i="83"/>
  <c r="H12" i="84"/>
  <c r="L13" i="84"/>
  <c r="N13" i="84" s="1"/>
  <c r="Z16" i="84"/>
  <c r="X16" i="84"/>
  <c r="R24" i="84"/>
  <c r="R72" i="84"/>
  <c r="N81" i="84"/>
  <c r="Z30" i="85"/>
  <c r="Z89" i="85"/>
  <c r="N113" i="85"/>
  <c r="F131" i="85"/>
  <c r="P63" i="79"/>
  <c r="X63" i="79" s="1"/>
  <c r="N12" i="80"/>
  <c r="R20" i="80"/>
  <c r="R22" i="80"/>
  <c r="J32" i="80"/>
  <c r="R33" i="80"/>
  <c r="J36" i="80"/>
  <c r="X43" i="80"/>
  <c r="J48" i="80"/>
  <c r="X51" i="80"/>
  <c r="Z51" i="80" s="1"/>
  <c r="J66" i="80"/>
  <c r="J71" i="80"/>
  <c r="X13" i="81"/>
  <c r="J32" i="81"/>
  <c r="J36" i="81"/>
  <c r="J38" i="81"/>
  <c r="J48" i="81"/>
  <c r="R79" i="84"/>
  <c r="R78" i="84"/>
  <c r="R67" i="84"/>
  <c r="R66" i="84"/>
  <c r="R43" i="84"/>
  <c r="R42" i="84"/>
  <c r="R30" i="84"/>
  <c r="R26" i="84"/>
  <c r="R73" i="84"/>
  <c r="R62" i="84"/>
  <c r="R61" i="84"/>
  <c r="R54" i="84"/>
  <c r="R53" i="84"/>
  <c r="R17" i="84"/>
  <c r="R81" i="84"/>
  <c r="R80" i="84"/>
  <c r="R68" i="84"/>
  <c r="R45" i="84"/>
  <c r="R44" i="84"/>
  <c r="R36" i="84"/>
  <c r="X12" i="84"/>
  <c r="R63" i="84"/>
  <c r="R56" i="84"/>
  <c r="R55" i="84"/>
  <c r="R32" i="84"/>
  <c r="R31" i="84"/>
  <c r="R27" i="84"/>
  <c r="R82" i="84"/>
  <c r="R74" i="84"/>
  <c r="R46" i="84"/>
  <c r="R23" i="84"/>
  <c r="R18" i="84"/>
  <c r="R84" i="84"/>
  <c r="R70" i="84"/>
  <c r="R69" i="84"/>
  <c r="R58" i="84"/>
  <c r="R57" i="84"/>
  <c r="R37" i="84"/>
  <c r="R33" i="84"/>
  <c r="R22" i="84"/>
  <c r="R20" i="84"/>
  <c r="R64" i="84"/>
  <c r="R75" i="84"/>
  <c r="R71" i="84"/>
  <c r="R59" i="84"/>
  <c r="R48" i="84"/>
  <c r="R47" i="84"/>
  <c r="R88" i="84"/>
  <c r="R39" i="84"/>
  <c r="R38" i="84"/>
  <c r="R34" i="84"/>
  <c r="R65" i="84"/>
  <c r="R50" i="84"/>
  <c r="R49" i="84"/>
  <c r="R29" i="84"/>
  <c r="R25" i="84"/>
  <c r="R52" i="84"/>
  <c r="R51" i="84"/>
  <c r="R35" i="84"/>
  <c r="R16" i="84"/>
  <c r="N58" i="84"/>
  <c r="L58" i="84"/>
  <c r="R60" i="84"/>
  <c r="H12" i="85"/>
  <c r="N15" i="85"/>
  <c r="L15" i="85"/>
  <c r="R62" i="80"/>
  <c r="R58" i="80"/>
  <c r="R75" i="80"/>
  <c r="R68" i="80"/>
  <c r="R67" i="80"/>
  <c r="R18" i="80"/>
  <c r="R23" i="80"/>
  <c r="J31" i="80"/>
  <c r="R38" i="80"/>
  <c r="R39" i="80"/>
  <c r="J47" i="80"/>
  <c r="R59" i="80"/>
  <c r="J65" i="80"/>
  <c r="L66" i="80"/>
  <c r="J82" i="81"/>
  <c r="J50" i="81"/>
  <c r="J59" i="81"/>
  <c r="J51" i="81"/>
  <c r="J39" i="81"/>
  <c r="J70" i="81"/>
  <c r="J66" i="81"/>
  <c r="J52" i="81"/>
  <c r="J40" i="81"/>
  <c r="J34" i="81"/>
  <c r="J72" i="81"/>
  <c r="J60" i="81"/>
  <c r="J54" i="81"/>
  <c r="J42" i="81"/>
  <c r="J73" i="81"/>
  <c r="J67" i="81"/>
  <c r="J61" i="81"/>
  <c r="J55" i="81"/>
  <c r="J43" i="81"/>
  <c r="J35" i="81"/>
  <c r="J75" i="81"/>
  <c r="J63" i="81"/>
  <c r="J45" i="81"/>
  <c r="J76" i="81"/>
  <c r="J68" i="81"/>
  <c r="J64" i="81"/>
  <c r="J57" i="81"/>
  <c r="J47" i="81"/>
  <c r="J31" i="81"/>
  <c r="J27" i="81"/>
  <c r="J69" i="81"/>
  <c r="J65" i="81"/>
  <c r="J49" i="81"/>
  <c r="J37" i="81"/>
  <c r="J33" i="81"/>
  <c r="J23" i="81"/>
  <c r="J18" i="81"/>
  <c r="T20" i="81"/>
  <c r="V20" i="81" s="1"/>
  <c r="N40" i="81"/>
  <c r="F45" i="81"/>
  <c r="X46" i="81"/>
  <c r="Z46" i="81" s="1"/>
  <c r="N52" i="81"/>
  <c r="L52" i="81"/>
  <c r="V57" i="81"/>
  <c r="T12" i="84"/>
  <c r="L54" i="84"/>
  <c r="N54" i="84" s="1"/>
  <c r="N56" i="84"/>
  <c r="N70" i="84"/>
  <c r="L70" i="84"/>
  <c r="L19" i="85"/>
  <c r="N19" i="85" s="1"/>
  <c r="N35" i="85"/>
  <c r="L35" i="85"/>
  <c r="X38" i="85"/>
  <c r="Z38" i="85" s="1"/>
  <c r="N60" i="85"/>
  <c r="T63" i="79"/>
  <c r="J16" i="80"/>
  <c r="J26" i="80"/>
  <c r="R27" i="80"/>
  <c r="J30" i="80"/>
  <c r="J46" i="80"/>
  <c r="J54" i="80"/>
  <c r="R55" i="80"/>
  <c r="R71" i="80"/>
  <c r="L12" i="81"/>
  <c r="L23" i="81"/>
  <c r="N23" i="81" s="1"/>
  <c r="J25" i="81"/>
  <c r="F27" i="81"/>
  <c r="F54" i="81"/>
  <c r="V66" i="81"/>
  <c r="N75" i="81"/>
  <c r="J78" i="81"/>
  <c r="R31" i="83"/>
  <c r="R17" i="83"/>
  <c r="X12" i="83"/>
  <c r="R18" i="83"/>
  <c r="R24" i="83"/>
  <c r="R19" i="83"/>
  <c r="R23" i="83"/>
  <c r="R21" i="83"/>
  <c r="R29" i="83"/>
  <c r="R27" i="83"/>
  <c r="N32" i="84"/>
  <c r="R41" i="84"/>
  <c r="V126" i="85"/>
  <c r="V112" i="85"/>
  <c r="V108" i="85"/>
  <c r="V92" i="85"/>
  <c r="V116" i="85"/>
  <c r="V104" i="85"/>
  <c r="V96" i="85"/>
  <c r="V84" i="85"/>
  <c r="V68" i="85"/>
  <c r="V64" i="85"/>
  <c r="V119" i="85"/>
  <c r="V103" i="85"/>
  <c r="V113" i="85"/>
  <c r="V101" i="85"/>
  <c r="V93" i="85"/>
  <c r="V81" i="85"/>
  <c r="V109" i="85"/>
  <c r="V106" i="85"/>
  <c r="V72" i="85"/>
  <c r="V51" i="85"/>
  <c r="V47" i="85"/>
  <c r="V43" i="85"/>
  <c r="V39" i="85"/>
  <c r="V107" i="85"/>
  <c r="V97" i="85"/>
  <c r="V83" i="85"/>
  <c r="V77" i="85"/>
  <c r="V76" i="85"/>
  <c r="V82" i="85"/>
  <c r="V63" i="85"/>
  <c r="V55" i="85"/>
  <c r="V70" i="85"/>
  <c r="V69" i="85"/>
  <c r="V66" i="85"/>
  <c r="V52" i="85"/>
  <c r="V48" i="85"/>
  <c r="V44" i="85"/>
  <c r="V40" i="85"/>
  <c r="V110" i="85"/>
  <c r="V88" i="85"/>
  <c r="V73" i="85"/>
  <c r="V117" i="85"/>
  <c r="V98" i="85"/>
  <c r="V89" i="85"/>
  <c r="V79" i="85"/>
  <c r="V78" i="85"/>
  <c r="V56" i="85"/>
  <c r="V120" i="85"/>
  <c r="V85" i="85"/>
  <c r="V67" i="85"/>
  <c r="V49" i="85"/>
  <c r="V45" i="85"/>
  <c r="V41" i="85"/>
  <c r="V105" i="85"/>
  <c r="V95" i="85"/>
  <c r="V94" i="85"/>
  <c r="V61" i="85"/>
  <c r="V60" i="85"/>
  <c r="T58" i="85"/>
  <c r="V53" i="85"/>
  <c r="V122" i="85"/>
  <c r="V114" i="85"/>
  <c r="V111" i="85"/>
  <c r="V102" i="85"/>
  <c r="V74" i="85"/>
  <c r="V71" i="85"/>
  <c r="V118" i="85"/>
  <c r="V115" i="85"/>
  <c r="V99" i="85"/>
  <c r="V80" i="85"/>
  <c r="V75" i="85"/>
  <c r="V50" i="85"/>
  <c r="V46" i="85"/>
  <c r="V42" i="85"/>
  <c r="V38" i="85"/>
  <c r="V87" i="85"/>
  <c r="V65" i="85"/>
  <c r="V62" i="85"/>
  <c r="V54" i="85"/>
  <c r="N23" i="85"/>
  <c r="L23" i="85"/>
  <c r="N27" i="85"/>
  <c r="L27" i="85"/>
  <c r="L31" i="85"/>
  <c r="N31" i="85" s="1"/>
  <c r="V90" i="85"/>
  <c r="X12" i="80"/>
  <c r="Z12" i="80" s="1"/>
  <c r="R32" i="80"/>
  <c r="J35" i="80"/>
  <c r="R36" i="80"/>
  <c r="R37" i="80"/>
  <c r="J45" i="80"/>
  <c r="R48" i="80"/>
  <c r="J53" i="80"/>
  <c r="J58" i="80"/>
  <c r="R66" i="80"/>
  <c r="J75" i="80"/>
  <c r="N12" i="81"/>
  <c r="V16" i="81"/>
  <c r="X23" i="81"/>
  <c r="Z23" i="81" s="1"/>
  <c r="J29" i="81"/>
  <c r="F31" i="81"/>
  <c r="V34" i="81"/>
  <c r="F42" i="81"/>
  <c r="F47" i="81"/>
  <c r="J56" i="81"/>
  <c r="J58" i="81"/>
  <c r="J71" i="81"/>
  <c r="T12" i="83"/>
  <c r="Z19" i="85"/>
  <c r="Z35" i="85"/>
  <c r="V24" i="86"/>
  <c r="V15" i="86"/>
  <c r="V20" i="86"/>
  <c r="V16" i="86"/>
  <c r="V23" i="86"/>
  <c r="T18" i="86"/>
  <c r="V25" i="86"/>
  <c r="V26" i="86"/>
  <c r="V21" i="86"/>
  <c r="V28" i="86"/>
  <c r="V32" i="86"/>
  <c r="V22" i="86"/>
  <c r="R17" i="80"/>
  <c r="J44" i="80"/>
  <c r="J52" i="80"/>
  <c r="R65" i="80"/>
  <c r="Z54" i="84"/>
  <c r="X81" i="85"/>
  <c r="Z81" i="85" s="1"/>
  <c r="Z81" i="88"/>
  <c r="X81" i="88"/>
  <c r="J25" i="80"/>
  <c r="R26" i="80"/>
  <c r="J29" i="80"/>
  <c r="R30" i="80"/>
  <c r="R31" i="80"/>
  <c r="J43" i="80"/>
  <c r="R46" i="80"/>
  <c r="R47" i="80"/>
  <c r="J51" i="80"/>
  <c r="R54" i="80"/>
  <c r="R61" i="80"/>
  <c r="R69" i="80"/>
  <c r="V72" i="81"/>
  <c r="V60" i="81"/>
  <c r="V44" i="81"/>
  <c r="V75" i="81"/>
  <c r="V67" i="81"/>
  <c r="V63" i="81"/>
  <c r="V55" i="81"/>
  <c r="V43" i="81"/>
  <c r="V35" i="81"/>
  <c r="V74" i="81"/>
  <c r="V62" i="81"/>
  <c r="V46" i="81"/>
  <c r="V30" i="81"/>
  <c r="V26" i="81"/>
  <c r="V78" i="81"/>
  <c r="V76" i="81"/>
  <c r="V68" i="81"/>
  <c r="V64" i="81"/>
  <c r="V56" i="81"/>
  <c r="V48" i="81"/>
  <c r="V36" i="81"/>
  <c r="V32" i="81"/>
  <c r="Z12" i="81"/>
  <c r="V47" i="81"/>
  <c r="V31" i="81"/>
  <c r="V27" i="81"/>
  <c r="V23" i="81"/>
  <c r="V69" i="81"/>
  <c r="V65" i="81"/>
  <c r="V49" i="81"/>
  <c r="V37" i="81"/>
  <c r="V33" i="81"/>
  <c r="V82" i="81"/>
  <c r="V71" i="81"/>
  <c r="V59" i="81"/>
  <c r="V51" i="81"/>
  <c r="V39" i="81"/>
  <c r="V73" i="81"/>
  <c r="V61" i="81"/>
  <c r="V53" i="81"/>
  <c r="V41" i="81"/>
  <c r="V29" i="81"/>
  <c r="V25" i="81"/>
  <c r="V18" i="81"/>
  <c r="V38" i="81"/>
  <c r="V40" i="81"/>
  <c r="V52" i="81"/>
  <c r="Z71" i="81"/>
  <c r="X71" i="81"/>
  <c r="N17" i="83"/>
  <c r="P29" i="83"/>
  <c r="R76" i="84"/>
  <c r="F105" i="85"/>
  <c r="F104" i="85"/>
  <c r="F124" i="85"/>
  <c r="F122" i="85"/>
  <c r="F101" i="85"/>
  <c r="F100" i="85"/>
  <c r="F60" i="85"/>
  <c r="F58" i="85"/>
  <c r="F53" i="85"/>
  <c r="F126" i="85"/>
  <c r="F112" i="85"/>
  <c r="F108" i="85"/>
  <c r="F107" i="85"/>
  <c r="F118" i="85"/>
  <c r="F117" i="85"/>
  <c r="F110" i="85"/>
  <c r="F98" i="85"/>
  <c r="F97" i="85"/>
  <c r="F86" i="85"/>
  <c r="F85" i="85"/>
  <c r="F74" i="85"/>
  <c r="F114" i="85"/>
  <c r="F102" i="85"/>
  <c r="F94" i="85"/>
  <c r="F79" i="85"/>
  <c r="F71" i="85"/>
  <c r="L12" i="85"/>
  <c r="F111" i="85"/>
  <c r="F90" i="85"/>
  <c r="F80" i="85"/>
  <c r="F99" i="85"/>
  <c r="F61" i="85"/>
  <c r="D58" i="85"/>
  <c r="F50" i="85"/>
  <c r="F46" i="85"/>
  <c r="F42" i="85"/>
  <c r="F109" i="85"/>
  <c r="F106" i="85"/>
  <c r="F95" i="85"/>
  <c r="F68" i="85"/>
  <c r="F65" i="85"/>
  <c r="F62" i="85"/>
  <c r="F54" i="85"/>
  <c r="F115" i="85"/>
  <c r="F81" i="85"/>
  <c r="F75" i="85"/>
  <c r="F72" i="85"/>
  <c r="F128" i="85"/>
  <c r="F119" i="85"/>
  <c r="F103" i="85"/>
  <c r="F96" i="85"/>
  <c r="F91" i="85"/>
  <c r="F51" i="85"/>
  <c r="F47" i="85"/>
  <c r="F43" i="85"/>
  <c r="F39" i="85"/>
  <c r="F38" i="85"/>
  <c r="F92" i="85"/>
  <c r="F87" i="85"/>
  <c r="F82" i="85"/>
  <c r="F76" i="85"/>
  <c r="F116" i="85"/>
  <c r="F69" i="85"/>
  <c r="F66" i="85"/>
  <c r="F63" i="85"/>
  <c r="F55" i="85"/>
  <c r="F88" i="85"/>
  <c r="F77" i="85"/>
  <c r="F73" i="85"/>
  <c r="F52" i="85"/>
  <c r="F48" i="85"/>
  <c r="F44" i="85"/>
  <c r="F40" i="85"/>
  <c r="F120" i="85"/>
  <c r="F113" i="85"/>
  <c r="F83" i="85"/>
  <c r="F78" i="85"/>
  <c r="F89" i="85"/>
  <c r="F67" i="85"/>
  <c r="F64" i="85"/>
  <c r="F49" i="85"/>
  <c r="F45" i="85"/>
  <c r="F41" i="85"/>
  <c r="X39" i="79"/>
  <c r="Z39" i="79" s="1"/>
  <c r="L57" i="79"/>
  <c r="N57" i="79" s="1"/>
  <c r="X65" i="79"/>
  <c r="R16" i="80"/>
  <c r="J34" i="80"/>
  <c r="R35" i="80"/>
  <c r="X37" i="80"/>
  <c r="Z37" i="80" s="1"/>
  <c r="J42" i="80"/>
  <c r="L43" i="80"/>
  <c r="N43" i="80" s="1"/>
  <c r="J50" i="80"/>
  <c r="L51" i="80"/>
  <c r="J57" i="80"/>
  <c r="J60" i="80"/>
  <c r="J63" i="80"/>
  <c r="X66" i="80"/>
  <c r="Z66" i="80" s="1"/>
  <c r="J68" i="80"/>
  <c r="F44" i="81"/>
  <c r="V50" i="81"/>
  <c r="V58" i="81"/>
  <c r="F67" i="81"/>
  <c r="J74" i="81"/>
  <c r="Z24" i="83"/>
  <c r="Z27" i="83"/>
  <c r="X27" i="83"/>
  <c r="F56" i="85"/>
  <c r="V86" i="85"/>
  <c r="X14" i="88"/>
  <c r="Z14" i="88" s="1"/>
  <c r="H20" i="80"/>
  <c r="J20" i="80" s="1"/>
  <c r="J41" i="80"/>
  <c r="R44" i="80"/>
  <c r="R45" i="80"/>
  <c r="R52" i="80"/>
  <c r="R53" i="80"/>
  <c r="L57" i="80"/>
  <c r="N57" i="80" s="1"/>
  <c r="R64" i="80"/>
  <c r="F80" i="81"/>
  <c r="F78" i="81"/>
  <c r="F69" i="81"/>
  <c r="F65" i="81"/>
  <c r="F49" i="81"/>
  <c r="F48" i="81"/>
  <c r="F82" i="81"/>
  <c r="F28" i="81"/>
  <c r="F24" i="81"/>
  <c r="F23" i="81"/>
  <c r="F59" i="81"/>
  <c r="F51" i="81"/>
  <c r="F50" i="81"/>
  <c r="F39" i="81"/>
  <c r="F38" i="81"/>
  <c r="F22" i="81"/>
  <c r="F20" i="81"/>
  <c r="F87" i="81"/>
  <c r="F84" i="81"/>
  <c r="F53" i="81"/>
  <c r="F52" i="81"/>
  <c r="F41" i="81"/>
  <c r="F40" i="81"/>
  <c r="F29" i="81"/>
  <c r="F25" i="81"/>
  <c r="F72" i="81"/>
  <c r="F71" i="81"/>
  <c r="F60" i="81"/>
  <c r="F74" i="81"/>
  <c r="F73" i="81"/>
  <c r="F62" i="81"/>
  <c r="F61" i="81"/>
  <c r="F30" i="81"/>
  <c r="F26" i="81"/>
  <c r="F76" i="81"/>
  <c r="F75" i="81"/>
  <c r="F68" i="81"/>
  <c r="F64" i="81"/>
  <c r="F63" i="81"/>
  <c r="F56" i="81"/>
  <c r="F36" i="81"/>
  <c r="F58" i="81"/>
  <c r="F57" i="81"/>
  <c r="F18" i="81"/>
  <c r="J17" i="81"/>
  <c r="D20" i="81"/>
  <c r="J24" i="81"/>
  <c r="F33" i="81"/>
  <c r="F35" i="81"/>
  <c r="N44" i="81"/>
  <c r="V54" i="81"/>
  <c r="Z14" i="84"/>
  <c r="Z23" i="84"/>
  <c r="R28" i="84"/>
  <c r="Z50" i="84"/>
  <c r="X52" i="84"/>
  <c r="Z52" i="84" s="1"/>
  <c r="Z79" i="85"/>
  <c r="F93" i="85"/>
  <c r="J19" i="83"/>
  <c r="F20" i="84"/>
  <c r="F22" i="84"/>
  <c r="F47" i="84"/>
  <c r="F58" i="84"/>
  <c r="F59" i="84"/>
  <c r="F70" i="84"/>
  <c r="F71" i="84"/>
  <c r="F75" i="84"/>
  <c r="F84" i="84"/>
  <c r="F86" i="84"/>
  <c r="N28" i="85"/>
  <c r="N32" i="85"/>
  <c r="N36" i="85"/>
  <c r="L70" i="85"/>
  <c r="N70" i="85" s="1"/>
  <c r="L93" i="85"/>
  <c r="P12" i="86"/>
  <c r="H18" i="86"/>
  <c r="Z49" i="88"/>
  <c r="P12" i="89"/>
  <c r="X13" i="89"/>
  <c r="Z13" i="89" s="1"/>
  <c r="F32" i="84"/>
  <c r="F33" i="84"/>
  <c r="F37" i="84"/>
  <c r="F56" i="84"/>
  <c r="F57" i="84"/>
  <c r="F69" i="84"/>
  <c r="X15" i="86"/>
  <c r="Z15" i="86" s="1"/>
  <c r="J22" i="86"/>
  <c r="Z23" i="86"/>
  <c r="X23" i="86"/>
  <c r="J32" i="86"/>
  <c r="Z40" i="88"/>
  <c r="L75" i="88"/>
  <c r="N75" i="88" s="1"/>
  <c r="J18" i="83"/>
  <c r="F18" i="84"/>
  <c r="F45" i="84"/>
  <c r="F46" i="84"/>
  <c r="F74" i="84"/>
  <c r="F81" i="84"/>
  <c r="F82" i="84"/>
  <c r="X95" i="85"/>
  <c r="Z95" i="85"/>
  <c r="J17" i="83"/>
  <c r="F27" i="84"/>
  <c r="F31" i="84"/>
  <c r="F54" i="84"/>
  <c r="F55" i="84"/>
  <c r="F62" i="84"/>
  <c r="F63" i="84"/>
  <c r="N23" i="89"/>
  <c r="Z13" i="83"/>
  <c r="J31" i="83"/>
  <c r="X13" i="84"/>
  <c r="Z13" i="84" s="1"/>
  <c r="F16" i="84"/>
  <c r="F17" i="84"/>
  <c r="F52" i="84"/>
  <c r="F53" i="84"/>
  <c r="F61" i="84"/>
  <c r="F73" i="84"/>
  <c r="L77" i="85"/>
  <c r="N77" i="85" s="1"/>
  <c r="L81" i="85"/>
  <c r="N81" i="85" s="1"/>
  <c r="L21" i="86"/>
  <c r="N21" i="86" s="1"/>
  <c r="J26" i="86"/>
  <c r="R44" i="88"/>
  <c r="R43" i="88"/>
  <c r="R35" i="88"/>
  <c r="R16" i="88"/>
  <c r="R82" i="88"/>
  <c r="R62" i="88"/>
  <c r="R55" i="88"/>
  <c r="R54" i="88"/>
  <c r="R30" i="88"/>
  <c r="R26" i="88"/>
  <c r="R84" i="88"/>
  <c r="R73" i="88"/>
  <c r="R69" i="88"/>
  <c r="R45" i="88"/>
  <c r="R17" i="88"/>
  <c r="R56" i="88"/>
  <c r="R36" i="88"/>
  <c r="R64" i="88"/>
  <c r="R63" i="88"/>
  <c r="R32" i="88"/>
  <c r="R31" i="88"/>
  <c r="R27" i="88"/>
  <c r="R88" i="88"/>
  <c r="R75" i="88"/>
  <c r="R74" i="88"/>
  <c r="R70" i="88"/>
  <c r="R47" i="88"/>
  <c r="R46" i="88"/>
  <c r="R23" i="88"/>
  <c r="R18" i="88"/>
  <c r="R65" i="88"/>
  <c r="R58" i="88"/>
  <c r="R57" i="88"/>
  <c r="R38" i="88"/>
  <c r="R37" i="88"/>
  <c r="R33" i="88"/>
  <c r="R77" i="88"/>
  <c r="R76" i="88"/>
  <c r="R49" i="88"/>
  <c r="R48" i="88"/>
  <c r="R28" i="88"/>
  <c r="R24" i="88"/>
  <c r="P20" i="88"/>
  <c r="R71" i="88"/>
  <c r="R60" i="88"/>
  <c r="R59" i="88"/>
  <c r="R40" i="88"/>
  <c r="R39" i="88"/>
  <c r="R79" i="88"/>
  <c r="R78" i="88"/>
  <c r="R67" i="88"/>
  <c r="R66" i="88"/>
  <c r="R51" i="88"/>
  <c r="R50" i="88"/>
  <c r="R34" i="88"/>
  <c r="R81" i="88"/>
  <c r="R80" i="88"/>
  <c r="R72" i="88"/>
  <c r="R68" i="88"/>
  <c r="R53" i="88"/>
  <c r="R52" i="88"/>
  <c r="N23" i="88"/>
  <c r="L23" i="88"/>
  <c r="Z60" i="88"/>
  <c r="F26" i="84"/>
  <c r="F30" i="84"/>
  <c r="F41" i="84"/>
  <c r="F42" i="84"/>
  <c r="F66" i="84"/>
  <c r="F77" i="84"/>
  <c r="F78" i="84"/>
  <c r="Z70" i="85"/>
  <c r="N100" i="85"/>
  <c r="N20" i="86"/>
  <c r="J21" i="86"/>
  <c r="T12" i="88"/>
  <c r="R20" i="88"/>
  <c r="J73" i="89"/>
  <c r="J65" i="89"/>
  <c r="J61" i="89"/>
  <c r="J43" i="89"/>
  <c r="J79" i="89"/>
  <c r="J67" i="89"/>
  <c r="J47" i="89"/>
  <c r="J37" i="89"/>
  <c r="J33" i="89"/>
  <c r="J23" i="89"/>
  <c r="J68" i="89"/>
  <c r="J56" i="89"/>
  <c r="J48" i="89"/>
  <c r="J28" i="89"/>
  <c r="J69" i="89"/>
  <c r="J63" i="89"/>
  <c r="J57" i="89"/>
  <c r="J49" i="89"/>
  <c r="J70" i="89"/>
  <c r="J58" i="89"/>
  <c r="J71" i="89"/>
  <c r="J72" i="89"/>
  <c r="J60" i="89"/>
  <c r="J54" i="89"/>
  <c r="J42" i="89"/>
  <c r="J30" i="89"/>
  <c r="J26" i="89"/>
  <c r="J53" i="89"/>
  <c r="J44" i="89"/>
  <c r="J35" i="89"/>
  <c r="J25" i="89"/>
  <c r="J18" i="89"/>
  <c r="J75" i="89"/>
  <c r="J50" i="89"/>
  <c r="J38" i="89"/>
  <c r="J64" i="89"/>
  <c r="J51" i="89"/>
  <c r="J45" i="89"/>
  <c r="J39" i="89"/>
  <c r="J66" i="89"/>
  <c r="J62" i="89"/>
  <c r="J36" i="89"/>
  <c r="H20" i="89"/>
  <c r="J22" i="89"/>
  <c r="J16" i="89"/>
  <c r="J46" i="89"/>
  <c r="J40" i="89"/>
  <c r="J34" i="89"/>
  <c r="J31" i="89"/>
  <c r="J55" i="89"/>
  <c r="J52" i="89"/>
  <c r="J29" i="89"/>
  <c r="J24" i="89"/>
  <c r="J17" i="89"/>
  <c r="J41" i="89"/>
  <c r="J32" i="89"/>
  <c r="F50" i="84"/>
  <c r="F51" i="84"/>
  <c r="F90" i="84"/>
  <c r="F93" i="84"/>
  <c r="X53" i="88"/>
  <c r="Z53" i="88" s="1"/>
  <c r="H21" i="83"/>
  <c r="F39" i="84"/>
  <c r="F40" i="84"/>
  <c r="F60" i="84"/>
  <c r="F72" i="84"/>
  <c r="F76" i="84"/>
  <c r="X14" i="85"/>
  <c r="Z14" i="85" s="1"/>
  <c r="X18" i="85"/>
  <c r="Z18" i="85" s="1"/>
  <c r="X22" i="85"/>
  <c r="Z22" i="85" s="1"/>
  <c r="X26" i="85"/>
  <c r="Z26" i="85" s="1"/>
  <c r="X30" i="85"/>
  <c r="X34" i="85"/>
  <c r="Z34" i="85" s="1"/>
  <c r="Z83" i="85"/>
  <c r="X87" i="85"/>
  <c r="Z87" i="85" s="1"/>
  <c r="X119" i="85"/>
  <c r="Z119" i="85" s="1"/>
  <c r="Z21" i="86"/>
  <c r="R29" i="88"/>
  <c r="R61" i="88"/>
  <c r="J23" i="83"/>
  <c r="J25" i="83"/>
  <c r="X23" i="84"/>
  <c r="F25" i="84"/>
  <c r="F29" i="84"/>
  <c r="L41" i="84"/>
  <c r="N41" i="84" s="1"/>
  <c r="F48" i="84"/>
  <c r="F49" i="84"/>
  <c r="F65" i="84"/>
  <c r="L77" i="84"/>
  <c r="N61" i="85"/>
  <c r="L115" i="85"/>
  <c r="D12" i="86"/>
  <c r="L25" i="86"/>
  <c r="L14" i="88"/>
  <c r="N14" i="88" s="1"/>
  <c r="D12" i="88"/>
  <c r="D20" i="84"/>
  <c r="F34" i="84"/>
  <c r="F38" i="84"/>
  <c r="X75" i="85"/>
  <c r="J16" i="86"/>
  <c r="J24" i="86"/>
  <c r="J25" i="86"/>
  <c r="J28" i="86"/>
  <c r="J15" i="86"/>
  <c r="R42" i="88"/>
  <c r="N47" i="88"/>
  <c r="L47" i="88"/>
  <c r="N13" i="89"/>
  <c r="N51" i="88"/>
  <c r="N67" i="88"/>
  <c r="N79" i="88"/>
  <c r="D12" i="89"/>
  <c r="T20" i="89"/>
  <c r="V30" i="89"/>
  <c r="V39" i="89"/>
  <c r="Z45" i="89"/>
  <c r="V51" i="89"/>
  <c r="V70" i="89"/>
  <c r="V44" i="89"/>
  <c r="Z18" i="92"/>
  <c r="H12" i="88"/>
  <c r="V27" i="89"/>
  <c r="V35" i="89"/>
  <c r="Z40" i="92"/>
  <c r="X40" i="92"/>
  <c r="V47" i="89"/>
  <c r="Z46" i="92"/>
  <c r="V79" i="89"/>
  <c r="V69" i="89"/>
  <c r="V57" i="89"/>
  <c r="V49" i="89"/>
  <c r="V37" i="89"/>
  <c r="V33" i="89"/>
  <c r="V68" i="89"/>
  <c r="V56" i="89"/>
  <c r="V48" i="89"/>
  <c r="V53" i="89"/>
  <c r="V41" i="89"/>
  <c r="V29" i="89"/>
  <c r="V25" i="89"/>
  <c r="V72" i="89"/>
  <c r="V64" i="89"/>
  <c r="V60" i="89"/>
  <c r="V52" i="89"/>
  <c r="V40" i="89"/>
  <c r="V59" i="89"/>
  <c r="V43" i="89"/>
  <c r="V75" i="89"/>
  <c r="V73" i="89"/>
  <c r="V65" i="89"/>
  <c r="V61" i="89"/>
  <c r="V66" i="89"/>
  <c r="V62" i="89"/>
  <c r="V46" i="89"/>
  <c r="V22" i="89"/>
  <c r="V20" i="89"/>
  <c r="V18" i="89"/>
  <c r="V32" i="89"/>
  <c r="V55" i="89"/>
  <c r="Z29" i="92"/>
  <c r="Z13" i="88"/>
  <c r="V31" i="89"/>
  <c r="X32" i="89"/>
  <c r="Z32" i="89" s="1"/>
  <c r="X43" i="89"/>
  <c r="Z81" i="92"/>
  <c r="V17" i="89"/>
  <c r="V24" i="89"/>
  <c r="V34" i="89"/>
  <c r="N39" i="89"/>
  <c r="N45" i="89"/>
  <c r="V67" i="89"/>
  <c r="Z43" i="89"/>
  <c r="Z71" i="89"/>
  <c r="X71" i="89"/>
  <c r="V26" i="89"/>
  <c r="V71" i="89"/>
  <c r="N75" i="89"/>
  <c r="L75" i="89"/>
  <c r="X32" i="88"/>
  <c r="Z32" i="88" s="1"/>
  <c r="L42" i="88"/>
  <c r="N42" i="88" s="1"/>
  <c r="X64" i="88"/>
  <c r="Z64" i="88" s="1"/>
  <c r="V23" i="89"/>
  <c r="V54" i="89"/>
  <c r="V58" i="89"/>
  <c r="Z58" i="92"/>
  <c r="V16" i="89"/>
  <c r="V28" i="89"/>
  <c r="V36" i="89"/>
  <c r="Z39" i="89"/>
  <c r="V42" i="89"/>
  <c r="Z51" i="89"/>
  <c r="X51" i="89"/>
  <c r="D16" i="92"/>
  <c r="R34" i="92"/>
  <c r="R40" i="92"/>
  <c r="R49" i="92"/>
  <c r="V50" i="92"/>
  <c r="F57" i="92"/>
  <c r="R64" i="92"/>
  <c r="V66" i="92"/>
  <c r="V72" i="92"/>
  <c r="V80" i="92"/>
  <c r="Z83" i="92"/>
  <c r="F87" i="92"/>
  <c r="F92" i="92"/>
  <c r="R96" i="92"/>
  <c r="Z14" i="93"/>
  <c r="Z17" i="93"/>
  <c r="V26" i="93"/>
  <c r="P77" i="95"/>
  <c r="N52" i="96"/>
  <c r="L52" i="96"/>
  <c r="H16" i="92"/>
  <c r="F19" i="92"/>
  <c r="V21" i="92"/>
  <c r="F23" i="92"/>
  <c r="V24" i="92"/>
  <c r="F26" i="92"/>
  <c r="V27" i="92"/>
  <c r="F30" i="92"/>
  <c r="V31" i="92"/>
  <c r="J33" i="92"/>
  <c r="F36" i="92"/>
  <c r="J37" i="92"/>
  <c r="V39" i="92"/>
  <c r="V40" i="92"/>
  <c r="F47" i="92"/>
  <c r="V53" i="92"/>
  <c r="R58" i="92"/>
  <c r="V61" i="92"/>
  <c r="R68" i="92"/>
  <c r="R71" i="92"/>
  <c r="F75" i="92"/>
  <c r="F79" i="92"/>
  <c r="R82" i="92"/>
  <c r="R85" i="92"/>
  <c r="F94" i="92"/>
  <c r="J103" i="92"/>
  <c r="R82" i="93"/>
  <c r="R60" i="93"/>
  <c r="R59" i="93"/>
  <c r="R52" i="93"/>
  <c r="R51" i="93"/>
  <c r="R40" i="93"/>
  <c r="R39" i="93"/>
  <c r="R35" i="93"/>
  <c r="R74" i="93"/>
  <c r="R70" i="93"/>
  <c r="R66" i="93"/>
  <c r="R30" i="93"/>
  <c r="R26" i="93"/>
  <c r="R61" i="93"/>
  <c r="R54" i="93"/>
  <c r="R53" i="93"/>
  <c r="R42" i="93"/>
  <c r="R41" i="93"/>
  <c r="R75" i="93"/>
  <c r="R36" i="93"/>
  <c r="R17" i="93"/>
  <c r="X12" i="93"/>
  <c r="Z12" i="93" s="1"/>
  <c r="R67" i="93"/>
  <c r="R55" i="93"/>
  <c r="R44" i="93"/>
  <c r="R43" i="93"/>
  <c r="R31" i="93"/>
  <c r="R27" i="93"/>
  <c r="R71" i="93"/>
  <c r="R62" i="93"/>
  <c r="R18" i="93"/>
  <c r="R76" i="93"/>
  <c r="R46" i="93"/>
  <c r="R45" i="93"/>
  <c r="R37" i="93"/>
  <c r="R68" i="93"/>
  <c r="R56" i="93"/>
  <c r="R33" i="93"/>
  <c r="R32" i="93"/>
  <c r="R28" i="93"/>
  <c r="R64" i="93"/>
  <c r="R63" i="93"/>
  <c r="R48" i="93"/>
  <c r="R47" i="93"/>
  <c r="R24" i="93"/>
  <c r="R78" i="93"/>
  <c r="R38" i="93"/>
  <c r="R34" i="93"/>
  <c r="R23" i="93"/>
  <c r="R21" i="93"/>
  <c r="J24" i="93"/>
  <c r="R29" i="93"/>
  <c r="N42" i="93"/>
  <c r="R69" i="93"/>
  <c r="N19" i="92"/>
  <c r="F29" i="92"/>
  <c r="F46" i="92"/>
  <c r="J56" i="92"/>
  <c r="R57" i="92"/>
  <c r="F60" i="92"/>
  <c r="V68" i="92"/>
  <c r="F70" i="92"/>
  <c r="F73" i="92"/>
  <c r="V82" i="92"/>
  <c r="J84" i="92"/>
  <c r="R87" i="92"/>
  <c r="V92" i="92"/>
  <c r="J98" i="92"/>
  <c r="V74" i="93"/>
  <c r="V71" i="93"/>
  <c r="V70" i="93"/>
  <c r="V66" i="93"/>
  <c r="V54" i="93"/>
  <c r="V42" i="93"/>
  <c r="V30" i="93"/>
  <c r="V75" i="93"/>
  <c r="V61" i="93"/>
  <c r="V53" i="93"/>
  <c r="V41" i="93"/>
  <c r="V17" i="93"/>
  <c r="V44" i="93"/>
  <c r="V36" i="93"/>
  <c r="V82" i="93"/>
  <c r="V67" i="93"/>
  <c r="V55" i="93"/>
  <c r="V43" i="93"/>
  <c r="V31" i="93"/>
  <c r="V27" i="93"/>
  <c r="V62" i="93"/>
  <c r="V46" i="93"/>
  <c r="V18" i="93"/>
  <c r="V76" i="93"/>
  <c r="V45" i="93"/>
  <c r="V37" i="93"/>
  <c r="V33" i="93"/>
  <c r="V68" i="93"/>
  <c r="V64" i="93"/>
  <c r="V56" i="93"/>
  <c r="V48" i="93"/>
  <c r="V32" i="93"/>
  <c r="V28" i="93"/>
  <c r="V24" i="93"/>
  <c r="V78" i="93"/>
  <c r="V63" i="93"/>
  <c r="V47" i="93"/>
  <c r="V23" i="93"/>
  <c r="V19" i="93"/>
  <c r="V73" i="93"/>
  <c r="V58" i="93"/>
  <c r="V50" i="93"/>
  <c r="V38" i="93"/>
  <c r="V34" i="93"/>
  <c r="V72" i="93"/>
  <c r="V69" i="93"/>
  <c r="V65" i="93"/>
  <c r="V57" i="93"/>
  <c r="V49" i="93"/>
  <c r="V29" i="93"/>
  <c r="V25" i="93"/>
  <c r="V59" i="93"/>
  <c r="V51" i="93"/>
  <c r="V39" i="93"/>
  <c r="V35" i="93"/>
  <c r="P21" i="93"/>
  <c r="R50" i="93"/>
  <c r="R57" i="93"/>
  <c r="N67" i="94"/>
  <c r="H12" i="95"/>
  <c r="L71" i="89"/>
  <c r="N71" i="89" s="1"/>
  <c r="X75" i="89"/>
  <c r="F65" i="92"/>
  <c r="F88" i="92"/>
  <c r="F71" i="92"/>
  <c r="F51" i="92"/>
  <c r="F50" i="92"/>
  <c r="F90" i="92"/>
  <c r="F89" i="92"/>
  <c r="F82" i="92"/>
  <c r="F81" i="92"/>
  <c r="F66" i="92"/>
  <c r="F98" i="92"/>
  <c r="F93" i="92"/>
  <c r="F84" i="92"/>
  <c r="F83" i="92"/>
  <c r="F86" i="92"/>
  <c r="F85" i="92"/>
  <c r="F78" i="92"/>
  <c r="F74" i="92"/>
  <c r="F62" i="92"/>
  <c r="F68" i="92"/>
  <c r="F64" i="92"/>
  <c r="F63" i="92"/>
  <c r="F32" i="92"/>
  <c r="L14" i="92"/>
  <c r="L18" i="92"/>
  <c r="N18" i="92" s="1"/>
  <c r="R33" i="92"/>
  <c r="R42" i="92"/>
  <c r="R48" i="92"/>
  <c r="J51" i="92"/>
  <c r="R52" i="92"/>
  <c r="F55" i="92"/>
  <c r="V57" i="92"/>
  <c r="R63" i="92"/>
  <c r="J65" i="92"/>
  <c r="F67" i="92"/>
  <c r="R75" i="92"/>
  <c r="V85" i="92"/>
  <c r="Z89" i="92"/>
  <c r="X13" i="93"/>
  <c r="T21" i="93"/>
  <c r="V21" i="93" s="1"/>
  <c r="N40" i="93"/>
  <c r="V52" i="93"/>
  <c r="R76" i="98"/>
  <c r="R72" i="98"/>
  <c r="R60" i="98"/>
  <c r="R41" i="98"/>
  <c r="R40" i="98"/>
  <c r="R52" i="98"/>
  <c r="R51" i="98"/>
  <c r="R35" i="98"/>
  <c r="R16" i="98"/>
  <c r="R89" i="98"/>
  <c r="R67" i="98"/>
  <c r="R66" i="98"/>
  <c r="R43" i="98"/>
  <c r="R42" i="98"/>
  <c r="R30" i="98"/>
  <c r="R26" i="98"/>
  <c r="R77" i="98"/>
  <c r="R73" i="98"/>
  <c r="R61" i="98"/>
  <c r="R54" i="98"/>
  <c r="R53" i="98"/>
  <c r="R68" i="98"/>
  <c r="R45" i="98"/>
  <c r="R44" i="98"/>
  <c r="R36" i="98"/>
  <c r="X12" i="98"/>
  <c r="Z12" i="98" s="1"/>
  <c r="R56" i="98"/>
  <c r="R55" i="98"/>
  <c r="R32" i="98"/>
  <c r="R31" i="98"/>
  <c r="R27" i="98"/>
  <c r="R79" i="98"/>
  <c r="R78" i="98"/>
  <c r="R74" i="98"/>
  <c r="R63" i="98"/>
  <c r="R62" i="98"/>
  <c r="R46" i="98"/>
  <c r="R23" i="98"/>
  <c r="R70" i="98"/>
  <c r="R69" i="98"/>
  <c r="R57" i="98"/>
  <c r="R37" i="98"/>
  <c r="R33" i="98"/>
  <c r="R22" i="98"/>
  <c r="R81" i="98"/>
  <c r="R80" i="98"/>
  <c r="R64" i="98"/>
  <c r="R28" i="98"/>
  <c r="R24" i="98"/>
  <c r="R75" i="98"/>
  <c r="R71" i="98"/>
  <c r="R48" i="98"/>
  <c r="R47" i="98"/>
  <c r="R84" i="98"/>
  <c r="R65" i="98"/>
  <c r="R50" i="98"/>
  <c r="R49" i="98"/>
  <c r="R29" i="98"/>
  <c r="R25" i="98"/>
  <c r="R85" i="98"/>
  <c r="R58" i="98"/>
  <c r="R38" i="98"/>
  <c r="R18" i="98"/>
  <c r="R59" i="98"/>
  <c r="R39" i="98"/>
  <c r="R34" i="98"/>
  <c r="P20" i="98"/>
  <c r="R20" i="98" s="1"/>
  <c r="R82" i="98"/>
  <c r="R17" i="98"/>
  <c r="J88" i="92"/>
  <c r="J80" i="92"/>
  <c r="J76" i="92"/>
  <c r="J60" i="92"/>
  <c r="J89" i="92"/>
  <c r="J96" i="92"/>
  <c r="J94" i="92"/>
  <c r="J90" i="92"/>
  <c r="J82" i="92"/>
  <c r="J72" i="92"/>
  <c r="J66" i="92"/>
  <c r="J52" i="92"/>
  <c r="J42" i="92"/>
  <c r="J34" i="92"/>
  <c r="J30" i="92"/>
  <c r="J93" i="92"/>
  <c r="J83" i="92"/>
  <c r="J77" i="92"/>
  <c r="J73" i="92"/>
  <c r="J85" i="92"/>
  <c r="J63" i="92"/>
  <c r="J57" i="92"/>
  <c r="J87" i="92"/>
  <c r="J79" i="92"/>
  <c r="J75" i="92"/>
  <c r="J69" i="92"/>
  <c r="J59" i="92"/>
  <c r="J47" i="92"/>
  <c r="J39" i="92"/>
  <c r="J27" i="92"/>
  <c r="J23" i="92"/>
  <c r="V20" i="92"/>
  <c r="F22" i="92"/>
  <c r="R23" i="92"/>
  <c r="J29" i="92"/>
  <c r="R30" i="92"/>
  <c r="V33" i="92"/>
  <c r="F35" i="92"/>
  <c r="L36" i="92"/>
  <c r="N36" i="92" s="1"/>
  <c r="R37" i="92"/>
  <c r="R38" i="92"/>
  <c r="F41" i="92"/>
  <c r="V42" i="92"/>
  <c r="F45" i="92"/>
  <c r="J46" i="92"/>
  <c r="R47" i="92"/>
  <c r="Z48" i="92"/>
  <c r="J55" i="92"/>
  <c r="J62" i="92"/>
  <c r="J67" i="92"/>
  <c r="V75" i="92"/>
  <c r="R79" i="92"/>
  <c r="P92" i="92"/>
  <c r="X92" i="92" s="1"/>
  <c r="Z92" i="92" s="1"/>
  <c r="X94" i="92"/>
  <c r="Z94" i="92" s="1"/>
  <c r="Z64" i="93"/>
  <c r="R72" i="93"/>
  <c r="V66" i="94"/>
  <c r="V54" i="94"/>
  <c r="V46" i="94"/>
  <c r="V71" i="94"/>
  <c r="V49" i="94"/>
  <c r="V37" i="94"/>
  <c r="V50" i="94"/>
  <c r="V38" i="94"/>
  <c r="V34" i="94"/>
  <c r="V75" i="94"/>
  <c r="V61" i="94"/>
  <c r="V57" i="94"/>
  <c r="V63" i="94"/>
  <c r="V51" i="94"/>
  <c r="V43" i="94"/>
  <c r="V35" i="94"/>
  <c r="V67" i="94"/>
  <c r="V59" i="94"/>
  <c r="V47" i="94"/>
  <c r="V31" i="94"/>
  <c r="V27" i="94"/>
  <c r="V23" i="94"/>
  <c r="V68" i="94"/>
  <c r="V55" i="94"/>
  <c r="V40" i="94"/>
  <c r="V17" i="94"/>
  <c r="V60" i="94"/>
  <c r="V24" i="94"/>
  <c r="V58" i="94"/>
  <c r="V56" i="94"/>
  <c r="V44" i="94"/>
  <c r="V45" i="94"/>
  <c r="V41" i="94"/>
  <c r="V32" i="94"/>
  <c r="V28" i="94"/>
  <c r="V25" i="94"/>
  <c r="V18" i="94"/>
  <c r="V48" i="94"/>
  <c r="V64" i="94"/>
  <c r="V39" i="94"/>
  <c r="V33" i="94"/>
  <c r="T20" i="94"/>
  <c r="V20" i="94" s="1"/>
  <c r="V65" i="94"/>
  <c r="V29" i="94"/>
  <c r="V26" i="94"/>
  <c r="V22" i="94"/>
  <c r="V16" i="94"/>
  <c r="V42" i="94"/>
  <c r="V36" i="94"/>
  <c r="V53" i="94"/>
  <c r="L12" i="92"/>
  <c r="P16" i="92"/>
  <c r="J22" i="92"/>
  <c r="V23" i="92"/>
  <c r="F25" i="92"/>
  <c r="R26" i="92"/>
  <c r="F28" i="92"/>
  <c r="V30" i="92"/>
  <c r="J32" i="92"/>
  <c r="J35" i="92"/>
  <c r="V37" i="92"/>
  <c r="L40" i="92"/>
  <c r="N40" i="92" s="1"/>
  <c r="J41" i="92"/>
  <c r="F44" i="92"/>
  <c r="J45" i="92"/>
  <c r="V47" i="92"/>
  <c r="V48" i="92"/>
  <c r="J50" i="92"/>
  <c r="V52" i="92"/>
  <c r="F54" i="92"/>
  <c r="V60" i="92"/>
  <c r="V63" i="92"/>
  <c r="R65" i="92"/>
  <c r="F72" i="92"/>
  <c r="V73" i="92"/>
  <c r="V77" i="92"/>
  <c r="V79" i="92"/>
  <c r="J81" i="92"/>
  <c r="R84" i="92"/>
  <c r="L93" i="92"/>
  <c r="N93" i="92" s="1"/>
  <c r="D92" i="92"/>
  <c r="R94" i="92"/>
  <c r="N12" i="92"/>
  <c r="R14" i="92"/>
  <c r="R16" i="92"/>
  <c r="R18" i="92"/>
  <c r="R19" i="92"/>
  <c r="J25" i="92"/>
  <c r="J28" i="92"/>
  <c r="F40" i="92"/>
  <c r="N54" i="92"/>
  <c r="F59" i="92"/>
  <c r="V67" i="92"/>
  <c r="F69" i="92"/>
  <c r="V70" i="92"/>
  <c r="N72" i="92"/>
  <c r="L83" i="92"/>
  <c r="J86" i="92"/>
  <c r="H92" i="92"/>
  <c r="N23" i="93"/>
  <c r="N33" i="93"/>
  <c r="V40" i="93"/>
  <c r="R49" i="93"/>
  <c r="F51" i="94"/>
  <c r="F80" i="94"/>
  <c r="F77" i="94"/>
  <c r="F62" i="94"/>
  <c r="F58" i="94"/>
  <c r="F42" i="94"/>
  <c r="F41" i="94"/>
  <c r="F59" i="94"/>
  <c r="F31" i="94"/>
  <c r="F27" i="94"/>
  <c r="F66" i="94"/>
  <c r="F65" i="94"/>
  <c r="F54" i="94"/>
  <c r="F53" i="94"/>
  <c r="F68" i="94"/>
  <c r="F67" i="94"/>
  <c r="F60" i="94"/>
  <c r="F48" i="94"/>
  <c r="F47" i="94"/>
  <c r="F40" i="94"/>
  <c r="F39" i="94"/>
  <c r="F75" i="94"/>
  <c r="F71" i="94"/>
  <c r="F57" i="94"/>
  <c r="F49" i="94"/>
  <c r="F46" i="94"/>
  <c r="F36" i="94"/>
  <c r="F29" i="94"/>
  <c r="F26" i="94"/>
  <c r="F20" i="94"/>
  <c r="D20" i="94"/>
  <c r="L12" i="94"/>
  <c r="N12" i="94" s="1"/>
  <c r="F52" i="94"/>
  <c r="F22" i="94"/>
  <c r="F16" i="94"/>
  <c r="F55" i="94"/>
  <c r="F43" i="94"/>
  <c r="F34" i="94"/>
  <c r="F30" i="94"/>
  <c r="F23" i="94"/>
  <c r="F50" i="94"/>
  <c r="F37" i="94"/>
  <c r="F17" i="94"/>
  <c r="F73" i="94"/>
  <c r="F63" i="94"/>
  <c r="F24" i="94"/>
  <c r="F44" i="94"/>
  <c r="F35" i="94"/>
  <c r="F56" i="94"/>
  <c r="F28" i="94"/>
  <c r="F18" i="94"/>
  <c r="F70" i="94"/>
  <c r="F61" i="94"/>
  <c r="F45" i="94"/>
  <c r="F38" i="94"/>
  <c r="F25" i="94"/>
  <c r="F33" i="94"/>
  <c r="R92" i="92"/>
  <c r="R77" i="92"/>
  <c r="R73" i="92"/>
  <c r="R61" i="92"/>
  <c r="R98" i="92"/>
  <c r="R103" i="92"/>
  <c r="R100" i="92"/>
  <c r="R67" i="92"/>
  <c r="R56" i="92"/>
  <c r="R55" i="92"/>
  <c r="R44" i="92"/>
  <c r="R43" i="92"/>
  <c r="R36" i="92"/>
  <c r="R35" i="92"/>
  <c r="R31" i="92"/>
  <c r="R86" i="92"/>
  <c r="R78" i="92"/>
  <c r="R74" i="92"/>
  <c r="R70" i="92"/>
  <c r="R89" i="92"/>
  <c r="R88" i="92"/>
  <c r="R81" i="92"/>
  <c r="R80" i="92"/>
  <c r="R76" i="92"/>
  <c r="R60" i="92"/>
  <c r="R29" i="92"/>
  <c r="R28" i="92"/>
  <c r="R24" i="92"/>
  <c r="R20" i="92"/>
  <c r="T16" i="92"/>
  <c r="R41" i="92"/>
  <c r="J54" i="92"/>
  <c r="V55" i="92"/>
  <c r="V56" i="92"/>
  <c r="R62" i="92"/>
  <c r="F76" i="92"/>
  <c r="V88" i="92"/>
  <c r="R90" i="92"/>
  <c r="F100" i="92"/>
  <c r="J78" i="93"/>
  <c r="J72" i="93"/>
  <c r="J64" i="93"/>
  <c r="J48" i="93"/>
  <c r="J38" i="93"/>
  <c r="J34" i="93"/>
  <c r="J69" i="93"/>
  <c r="J65" i="93"/>
  <c r="J57" i="93"/>
  <c r="J49" i="93"/>
  <c r="J29" i="93"/>
  <c r="J25" i="93"/>
  <c r="J23" i="93"/>
  <c r="J73" i="93"/>
  <c r="J58" i="93"/>
  <c r="J50" i="93"/>
  <c r="H21" i="93"/>
  <c r="J59" i="93"/>
  <c r="J51" i="93"/>
  <c r="J39" i="93"/>
  <c r="J35" i="93"/>
  <c r="J74" i="93"/>
  <c r="J70" i="93"/>
  <c r="J66" i="93"/>
  <c r="J60" i="93"/>
  <c r="J52" i="93"/>
  <c r="J40" i="93"/>
  <c r="J30" i="93"/>
  <c r="J26" i="93"/>
  <c r="J61" i="93"/>
  <c r="J53" i="93"/>
  <c r="J41" i="93"/>
  <c r="J82" i="93"/>
  <c r="J54" i="93"/>
  <c r="J42" i="93"/>
  <c r="J36" i="93"/>
  <c r="J75" i="93"/>
  <c r="J67" i="93"/>
  <c r="J55" i="93"/>
  <c r="J43" i="93"/>
  <c r="J31" i="93"/>
  <c r="J27" i="93"/>
  <c r="J17" i="93"/>
  <c r="J71" i="93"/>
  <c r="J62" i="93"/>
  <c r="J44" i="93"/>
  <c r="J76" i="93"/>
  <c r="J45" i="93"/>
  <c r="J37" i="93"/>
  <c r="J63" i="93"/>
  <c r="J47" i="93"/>
  <c r="J33" i="93"/>
  <c r="J19" i="93"/>
  <c r="R25" i="93"/>
  <c r="J28" i="93"/>
  <c r="R65" i="93"/>
  <c r="J68" i="93"/>
  <c r="V103" i="92"/>
  <c r="V100" i="92"/>
  <c r="V98" i="92"/>
  <c r="V84" i="92"/>
  <c r="V86" i="92"/>
  <c r="V78" i="92"/>
  <c r="V74" i="92"/>
  <c r="V62" i="92"/>
  <c r="V58" i="92"/>
  <c r="V46" i="92"/>
  <c r="V38" i="92"/>
  <c r="V26" i="92"/>
  <c r="V69" i="92"/>
  <c r="V87" i="92"/>
  <c r="V89" i="92"/>
  <c r="V81" i="92"/>
  <c r="V65" i="92"/>
  <c r="V49" i="92"/>
  <c r="V93" i="92"/>
  <c r="V83" i="92"/>
  <c r="V71" i="92"/>
  <c r="V51" i="92"/>
  <c r="V14" i="92"/>
  <c r="V16" i="92"/>
  <c r="V18" i="92"/>
  <c r="V19" i="92"/>
  <c r="R22" i="92"/>
  <c r="R32" i="92"/>
  <c r="V35" i="92"/>
  <c r="V36" i="92"/>
  <c r="V41" i="92"/>
  <c r="F43" i="92"/>
  <c r="R45" i="92"/>
  <c r="R46" i="92"/>
  <c r="F49" i="92"/>
  <c r="F53" i="92"/>
  <c r="F58" i="92"/>
  <c r="J74" i="92"/>
  <c r="J78" i="92"/>
  <c r="F80" i="92"/>
  <c r="V90" i="92"/>
  <c r="R93" i="92"/>
  <c r="J100" i="92"/>
  <c r="J56" i="93"/>
  <c r="X12" i="92"/>
  <c r="X14" i="92"/>
  <c r="X18" i="92"/>
  <c r="X19" i="92"/>
  <c r="Z19" i="92" s="1"/>
  <c r="V22" i="92"/>
  <c r="F24" i="92"/>
  <c r="R25" i="92"/>
  <c r="F27" i="92"/>
  <c r="V28" i="92"/>
  <c r="V29" i="92"/>
  <c r="F31" i="92"/>
  <c r="V32" i="92"/>
  <c r="X36" i="92"/>
  <c r="Z36" i="92" s="1"/>
  <c r="F39" i="92"/>
  <c r="V45" i="92"/>
  <c r="J49" i="92"/>
  <c r="R50" i="92"/>
  <c r="J53" i="92"/>
  <c r="R59" i="92"/>
  <c r="F61" i="92"/>
  <c r="R72" i="92"/>
  <c r="X81" i="92"/>
  <c r="F96" i="92"/>
  <c r="L17" i="93"/>
  <c r="N17" i="93" s="1"/>
  <c r="Z23" i="93"/>
  <c r="Z12" i="92"/>
  <c r="J24" i="92"/>
  <c r="V25" i="92"/>
  <c r="J31" i="92"/>
  <c r="F38" i="92"/>
  <c r="F48" i="92"/>
  <c r="F52" i="92"/>
  <c r="R54" i="92"/>
  <c r="J58" i="92"/>
  <c r="V59" i="92"/>
  <c r="J61" i="92"/>
  <c r="R66" i="92"/>
  <c r="J68" i="92"/>
  <c r="R69" i="92"/>
  <c r="J71" i="92"/>
  <c r="V76" i="92"/>
  <c r="R83" i="92"/>
  <c r="N85" i="92"/>
  <c r="X93" i="92"/>
  <c r="Z93" i="92" s="1"/>
  <c r="D12" i="93"/>
  <c r="R19" i="93"/>
  <c r="N54" i="93"/>
  <c r="R58" i="93"/>
  <c r="Z43" i="94"/>
  <c r="P12" i="94"/>
  <c r="H20" i="94"/>
  <c r="J26" i="94"/>
  <c r="J29" i="94"/>
  <c r="J36" i="94"/>
  <c r="J39" i="94"/>
  <c r="J57" i="94"/>
  <c r="L67" i="94"/>
  <c r="N71" i="94"/>
  <c r="J75" i="94"/>
  <c r="D12" i="95"/>
  <c r="L13" i="95"/>
  <c r="N13" i="95" s="1"/>
  <c r="N16" i="95"/>
  <c r="Z22" i="95"/>
  <c r="Z43" i="95"/>
  <c r="J95" i="96"/>
  <c r="J65" i="96"/>
  <c r="J49" i="96"/>
  <c r="J82" i="96"/>
  <c r="J72" i="96"/>
  <c r="J66" i="96"/>
  <c r="J52" i="96"/>
  <c r="J42" i="96"/>
  <c r="J30" i="96"/>
  <c r="J26" i="96"/>
  <c r="J85" i="96"/>
  <c r="J67" i="96"/>
  <c r="J55" i="96"/>
  <c r="J45" i="96"/>
  <c r="J91" i="96"/>
  <c r="J79" i="96"/>
  <c r="J75" i="96"/>
  <c r="J69" i="96"/>
  <c r="J59" i="96"/>
  <c r="J47" i="96"/>
  <c r="J74" i="96"/>
  <c r="J43" i="96"/>
  <c r="J39" i="96"/>
  <c r="J35" i="96"/>
  <c r="J24" i="96"/>
  <c r="J22" i="96"/>
  <c r="J20" i="96"/>
  <c r="J83" i="96"/>
  <c r="J77" i="96"/>
  <c r="J68" i="96"/>
  <c r="J57" i="96"/>
  <c r="J31" i="96"/>
  <c r="H20" i="96"/>
  <c r="J87" i="96"/>
  <c r="J71" i="96"/>
  <c r="J64" i="96"/>
  <c r="J61" i="96"/>
  <c r="J54" i="96"/>
  <c r="J50" i="96"/>
  <c r="J40" i="96"/>
  <c r="J28" i="96"/>
  <c r="J80" i="96"/>
  <c r="J58" i="96"/>
  <c r="J32" i="96"/>
  <c r="J25" i="96"/>
  <c r="J41" i="96"/>
  <c r="J36" i="96"/>
  <c r="J81" i="96"/>
  <c r="J44" i="96"/>
  <c r="J33" i="96"/>
  <c r="J88" i="96"/>
  <c r="J84" i="96"/>
  <c r="J78" i="96"/>
  <c r="J51" i="96"/>
  <c r="J48" i="96"/>
  <c r="J29" i="96"/>
  <c r="J16" i="96"/>
  <c r="J73" i="96"/>
  <c r="J62" i="96"/>
  <c r="J17" i="96"/>
  <c r="J37" i="96"/>
  <c r="J34" i="96"/>
  <c r="J76" i="96"/>
  <c r="J56" i="96"/>
  <c r="J90" i="96"/>
  <c r="J86" i="96"/>
  <c r="J53" i="96"/>
  <c r="J46" i="96"/>
  <c r="J38" i="96"/>
  <c r="J23" i="96"/>
  <c r="J81" i="98"/>
  <c r="J75" i="98"/>
  <c r="J71" i="98"/>
  <c r="J47" i="98"/>
  <c r="J82" i="98"/>
  <c r="J58" i="98"/>
  <c r="J48" i="98"/>
  <c r="J38" i="98"/>
  <c r="J34" i="98"/>
  <c r="J85" i="98"/>
  <c r="J65" i="98"/>
  <c r="J59" i="98"/>
  <c r="J49" i="98"/>
  <c r="J39" i="98"/>
  <c r="J29" i="98"/>
  <c r="J25" i="98"/>
  <c r="J84" i="98"/>
  <c r="J76" i="98"/>
  <c r="J72" i="98"/>
  <c r="J60" i="98"/>
  <c r="J50" i="98"/>
  <c r="J40" i="98"/>
  <c r="J89" i="98"/>
  <c r="J51" i="98"/>
  <c r="J41" i="98"/>
  <c r="J35" i="98"/>
  <c r="J66" i="98"/>
  <c r="J52" i="98"/>
  <c r="J42" i="98"/>
  <c r="J30" i="98"/>
  <c r="J26" i="98"/>
  <c r="J16" i="98"/>
  <c r="J77" i="98"/>
  <c r="J73" i="98"/>
  <c r="J67" i="98"/>
  <c r="J61" i="98"/>
  <c r="J53" i="98"/>
  <c r="J43" i="98"/>
  <c r="J68" i="98"/>
  <c r="J54" i="98"/>
  <c r="J44" i="98"/>
  <c r="J36" i="98"/>
  <c r="N12" i="98"/>
  <c r="J55" i="98"/>
  <c r="J45" i="98"/>
  <c r="J31" i="98"/>
  <c r="J27" i="98"/>
  <c r="J78" i="98"/>
  <c r="J74" i="98"/>
  <c r="J62" i="98"/>
  <c r="J56" i="98"/>
  <c r="J46" i="98"/>
  <c r="J32" i="98"/>
  <c r="J80" i="98"/>
  <c r="J70" i="98"/>
  <c r="J64" i="98"/>
  <c r="J28" i="98"/>
  <c r="J24" i="98"/>
  <c r="J22" i="98"/>
  <c r="J17" i="98"/>
  <c r="J79" i="98"/>
  <c r="L12" i="98"/>
  <c r="J18" i="98"/>
  <c r="J69" i="98"/>
  <c r="J37" i="98"/>
  <c r="J57" i="98"/>
  <c r="J23" i="98"/>
  <c r="J63" i="98"/>
  <c r="J33" i="98"/>
  <c r="Z73" i="93"/>
  <c r="J48" i="94"/>
  <c r="J64" i="94"/>
  <c r="R48" i="95"/>
  <c r="N16" i="96"/>
  <c r="Z16" i="94"/>
  <c r="J25" i="94"/>
  <c r="J38" i="94"/>
  <c r="J61" i="94"/>
  <c r="T12" i="95"/>
  <c r="X13" i="95"/>
  <c r="J28" i="94"/>
  <c r="J45" i="94"/>
  <c r="X71" i="94"/>
  <c r="Z71" i="94"/>
  <c r="Z13" i="95"/>
  <c r="X16" i="95"/>
  <c r="Z16" i="95" s="1"/>
  <c r="P12" i="96"/>
  <c r="X13" i="96"/>
  <c r="L75" i="93"/>
  <c r="J62" i="94"/>
  <c r="J58" i="94"/>
  <c r="J63" i="94"/>
  <c r="J43" i="94"/>
  <c r="J66" i="94"/>
  <c r="J54" i="94"/>
  <c r="J46" i="94"/>
  <c r="J32" i="94"/>
  <c r="J18" i="94"/>
  <c r="J67" i="94"/>
  <c r="J71" i="94"/>
  <c r="J55" i="94"/>
  <c r="J49" i="94"/>
  <c r="J51" i="94"/>
  <c r="J41" i="94"/>
  <c r="J35" i="94"/>
  <c r="J31" i="94"/>
  <c r="L47" i="94"/>
  <c r="X49" i="94"/>
  <c r="Z49" i="94" s="1"/>
  <c r="J56" i="94"/>
  <c r="X65" i="94"/>
  <c r="Z60" i="95"/>
  <c r="X60" i="95"/>
  <c r="Z72" i="95"/>
  <c r="X72" i="95"/>
  <c r="V85" i="96"/>
  <c r="V77" i="96"/>
  <c r="V73" i="96"/>
  <c r="V61" i="96"/>
  <c r="V53" i="96"/>
  <c r="V45" i="96"/>
  <c r="V86" i="96"/>
  <c r="V78" i="96"/>
  <c r="V74" i="96"/>
  <c r="V62" i="96"/>
  <c r="V58" i="96"/>
  <c r="V46" i="96"/>
  <c r="V79" i="96"/>
  <c r="V75" i="96"/>
  <c r="V59" i="96"/>
  <c r="V47" i="96"/>
  <c r="V83" i="96"/>
  <c r="V71" i="96"/>
  <c r="V51" i="96"/>
  <c r="V43" i="96"/>
  <c r="V35" i="96"/>
  <c r="V80" i="96"/>
  <c r="V72" i="96"/>
  <c r="V41" i="96"/>
  <c r="V16" i="96"/>
  <c r="V81" i="96"/>
  <c r="V69" i="96"/>
  <c r="V48" i="96"/>
  <c r="V36" i="96"/>
  <c r="V33" i="96"/>
  <c r="V84" i="96"/>
  <c r="V44" i="96"/>
  <c r="V29" i="96"/>
  <c r="V88" i="96"/>
  <c r="V55" i="96"/>
  <c r="V26" i="96"/>
  <c r="V17" i="96"/>
  <c r="V67" i="96"/>
  <c r="V52" i="96"/>
  <c r="V37" i="96"/>
  <c r="V34" i="96"/>
  <c r="V65" i="96"/>
  <c r="V63" i="96"/>
  <c r="V56" i="96"/>
  <c r="V23" i="96"/>
  <c r="V76" i="96"/>
  <c r="V70" i="96"/>
  <c r="V42" i="96"/>
  <c r="V30" i="96"/>
  <c r="V22" i="96"/>
  <c r="V18" i="96"/>
  <c r="V90" i="96"/>
  <c r="V82" i="96"/>
  <c r="V60" i="96"/>
  <c r="V49" i="96"/>
  <c r="V39" i="96"/>
  <c r="V38" i="96"/>
  <c r="V27" i="96"/>
  <c r="T20" i="96"/>
  <c r="V20" i="96" s="1"/>
  <c r="V24" i="96"/>
  <c r="V95" i="96"/>
  <c r="V87" i="96"/>
  <c r="V54" i="96"/>
  <c r="V50" i="96"/>
  <c r="V66" i="96"/>
  <c r="V64" i="96"/>
  <c r="V40" i="96"/>
  <c r="V25" i="96"/>
  <c r="N45" i="96"/>
  <c r="Z13" i="93"/>
  <c r="X24" i="93"/>
  <c r="Z24" i="93" s="1"/>
  <c r="L42" i="93"/>
  <c r="X48" i="93"/>
  <c r="Z48" i="93" s="1"/>
  <c r="L54" i="93"/>
  <c r="X64" i="93"/>
  <c r="L13" i="94"/>
  <c r="Z14" i="94"/>
  <c r="J44" i="94"/>
  <c r="N56" i="94"/>
  <c r="J60" i="94"/>
  <c r="N13" i="94"/>
  <c r="L23" i="94"/>
  <c r="N23" i="94" s="1"/>
  <c r="J24" i="94"/>
  <c r="Z45" i="94"/>
  <c r="J47" i="94"/>
  <c r="J53" i="94"/>
  <c r="X56" i="94"/>
  <c r="L63" i="94"/>
  <c r="N63" i="94" s="1"/>
  <c r="T70" i="94"/>
  <c r="V70" i="94" s="1"/>
  <c r="Z23" i="95"/>
  <c r="V32" i="96"/>
  <c r="X50" i="96"/>
  <c r="Z50" i="96"/>
  <c r="J63" i="96"/>
  <c r="N85" i="96"/>
  <c r="H20" i="98"/>
  <c r="J20" i="98" s="1"/>
  <c r="L78" i="93"/>
  <c r="L16" i="94"/>
  <c r="N16" i="94" s="1"/>
  <c r="J17" i="94"/>
  <c r="J27" i="94"/>
  <c r="J37" i="94"/>
  <c r="J40" i="94"/>
  <c r="J50" i="94"/>
  <c r="Z56" i="94"/>
  <c r="J68" i="94"/>
  <c r="L56" i="96"/>
  <c r="N56" i="96" s="1"/>
  <c r="J30" i="94"/>
  <c r="J34" i="94"/>
  <c r="N43" i="94"/>
  <c r="R66" i="95"/>
  <c r="R51" i="95"/>
  <c r="R50" i="95"/>
  <c r="R39" i="95"/>
  <c r="R38" i="95"/>
  <c r="R34" i="95"/>
  <c r="R73" i="95"/>
  <c r="R62" i="95"/>
  <c r="R61" i="95"/>
  <c r="R29" i="95"/>
  <c r="R25" i="95"/>
  <c r="R77" i="95"/>
  <c r="R75" i="95"/>
  <c r="R53" i="95"/>
  <c r="R52" i="95"/>
  <c r="R41" i="95"/>
  <c r="R40" i="95"/>
  <c r="R67" i="95"/>
  <c r="R63" i="95"/>
  <c r="R54" i="95"/>
  <c r="R43" i="95"/>
  <c r="R42" i="95"/>
  <c r="R30" i="95"/>
  <c r="R26" i="95"/>
  <c r="R79" i="95"/>
  <c r="R17" i="95"/>
  <c r="R68" i="95"/>
  <c r="R64" i="95"/>
  <c r="R45" i="95"/>
  <c r="R44" i="95"/>
  <c r="R36" i="95"/>
  <c r="R56" i="95"/>
  <c r="R55" i="95"/>
  <c r="R32" i="95"/>
  <c r="R31" i="95"/>
  <c r="R27" i="95"/>
  <c r="R47" i="95"/>
  <c r="R46" i="95"/>
  <c r="R23" i="95"/>
  <c r="R70" i="95"/>
  <c r="R69" i="95"/>
  <c r="R65" i="95"/>
  <c r="R58" i="95"/>
  <c r="R57" i="95"/>
  <c r="R37" i="95"/>
  <c r="R33" i="95"/>
  <c r="R22" i="95"/>
  <c r="R20" i="95"/>
  <c r="R72" i="95"/>
  <c r="R71" i="95"/>
  <c r="R60" i="95"/>
  <c r="R59" i="95"/>
  <c r="N23" i="96"/>
  <c r="Z58" i="96"/>
  <c r="X58" i="96"/>
  <c r="N22" i="94"/>
  <c r="J52" i="94"/>
  <c r="Z63" i="94"/>
  <c r="L70" i="94"/>
  <c r="N70" i="94" s="1"/>
  <c r="N39" i="94"/>
  <c r="Z53" i="94"/>
  <c r="J65" i="94"/>
  <c r="X83" i="96"/>
  <c r="Z83" i="96" s="1"/>
  <c r="N22" i="95"/>
  <c r="N58" i="95"/>
  <c r="N70" i="95"/>
  <c r="D12" i="96"/>
  <c r="N63" i="96"/>
  <c r="D20" i="98"/>
  <c r="Z22" i="98"/>
  <c r="N45" i="98"/>
  <c r="N56" i="98"/>
  <c r="P90" i="96"/>
  <c r="X90" i="96" s="1"/>
  <c r="Z45" i="98"/>
  <c r="Z13" i="96"/>
  <c r="X56" i="96"/>
  <c r="Z56" i="96" s="1"/>
  <c r="X13" i="98"/>
  <c r="Z13" i="98" s="1"/>
  <c r="V89" i="98"/>
  <c r="V67" i="98"/>
  <c r="V51" i="98"/>
  <c r="V43" i="98"/>
  <c r="V35" i="98"/>
  <c r="V66" i="98"/>
  <c r="V54" i="98"/>
  <c r="V42" i="98"/>
  <c r="V30" i="98"/>
  <c r="V26" i="98"/>
  <c r="V77" i="98"/>
  <c r="V73" i="98"/>
  <c r="V61" i="98"/>
  <c r="V53" i="98"/>
  <c r="V45" i="98"/>
  <c r="V68" i="98"/>
  <c r="V56" i="98"/>
  <c r="V44" i="98"/>
  <c r="V36" i="98"/>
  <c r="V32" i="98"/>
  <c r="V79" i="98"/>
  <c r="V63" i="98"/>
  <c r="V55" i="98"/>
  <c r="V31" i="98"/>
  <c r="V27" i="98"/>
  <c r="V23" i="98"/>
  <c r="V78" i="98"/>
  <c r="V74" i="98"/>
  <c r="V70" i="98"/>
  <c r="V62" i="98"/>
  <c r="V46" i="98"/>
  <c r="V22" i="98"/>
  <c r="V18" i="98"/>
  <c r="V81" i="98"/>
  <c r="V69" i="98"/>
  <c r="V57" i="98"/>
  <c r="V37" i="98"/>
  <c r="V33" i="98"/>
  <c r="V80" i="98"/>
  <c r="V64" i="98"/>
  <c r="V48" i="98"/>
  <c r="V28" i="98"/>
  <c r="V24" i="98"/>
  <c r="V85" i="98"/>
  <c r="V75" i="98"/>
  <c r="V71" i="98"/>
  <c r="V59" i="98"/>
  <c r="V47" i="98"/>
  <c r="V39" i="98"/>
  <c r="V84" i="98"/>
  <c r="V82" i="98"/>
  <c r="V58" i="98"/>
  <c r="V50" i="98"/>
  <c r="V38" i="98"/>
  <c r="V34" i="98"/>
  <c r="V76" i="98"/>
  <c r="V72" i="98"/>
  <c r="V60" i="98"/>
  <c r="V52" i="98"/>
  <c r="V40" i="98"/>
  <c r="V16" i="98"/>
  <c r="T20" i="98"/>
  <c r="V20" i="98" s="1"/>
  <c r="V41" i="98"/>
  <c r="X50" i="98"/>
  <c r="F62" i="98"/>
  <c r="F74" i="98"/>
  <c r="X84" i="98"/>
  <c r="Z84" i="98" s="1"/>
  <c r="Z50" i="98"/>
  <c r="L50" i="96"/>
  <c r="N50" i="96" s="1"/>
  <c r="F80" i="98"/>
  <c r="F79" i="98"/>
  <c r="F64" i="98"/>
  <c r="F63" i="98"/>
  <c r="F28" i="98"/>
  <c r="F24" i="98"/>
  <c r="F23" i="98"/>
  <c r="F75" i="98"/>
  <c r="F71" i="98"/>
  <c r="F70" i="98"/>
  <c r="F47" i="98"/>
  <c r="F22" i="98"/>
  <c r="F20" i="98"/>
  <c r="F82" i="98"/>
  <c r="F81" i="98"/>
  <c r="F58" i="98"/>
  <c r="F38" i="98"/>
  <c r="F34" i="98"/>
  <c r="F94" i="98"/>
  <c r="F65" i="98"/>
  <c r="F49" i="98"/>
  <c r="F48" i="98"/>
  <c r="F29" i="98"/>
  <c r="F25" i="98"/>
  <c r="F87" i="98"/>
  <c r="F85" i="98"/>
  <c r="F76" i="98"/>
  <c r="F72" i="98"/>
  <c r="F60" i="98"/>
  <c r="F59" i="98"/>
  <c r="F40" i="98"/>
  <c r="F39" i="98"/>
  <c r="F89" i="98"/>
  <c r="F84" i="98"/>
  <c r="F51" i="98"/>
  <c r="F50" i="98"/>
  <c r="F35" i="98"/>
  <c r="F66" i="98"/>
  <c r="F42" i="98"/>
  <c r="F41" i="98"/>
  <c r="F30" i="98"/>
  <c r="F26" i="98"/>
  <c r="F77" i="98"/>
  <c r="F73" i="98"/>
  <c r="F61" i="98"/>
  <c r="F53" i="98"/>
  <c r="F52" i="98"/>
  <c r="F17" i="98"/>
  <c r="F16" i="98"/>
  <c r="F68" i="98"/>
  <c r="F67" i="98"/>
  <c r="F44" i="98"/>
  <c r="F43" i="98"/>
  <c r="F36" i="98"/>
  <c r="F55" i="98"/>
  <c r="F54" i="98"/>
  <c r="F31" i="98"/>
  <c r="F27" i="98"/>
  <c r="F69" i="98"/>
  <c r="F57" i="98"/>
  <c r="F56" i="98"/>
  <c r="F37" i="98"/>
  <c r="F33" i="98"/>
  <c r="F32" i="98"/>
  <c r="V29" i="98"/>
  <c r="N32" i="98"/>
  <c r="Z45" i="96"/>
  <c r="N54" i="96"/>
  <c r="Z85" i="96"/>
  <c r="X45" i="96"/>
  <c r="Z81" i="96"/>
  <c r="X85" i="96"/>
  <c r="L91" i="96"/>
  <c r="N39" i="96"/>
  <c r="Z41" i="96"/>
  <c r="L87" i="96"/>
  <c r="N87" i="96" s="1"/>
  <c r="L90" i="96"/>
  <c r="N91" i="96"/>
  <c r="L14" i="98"/>
  <c r="N14" i="98" s="1"/>
  <c r="N48" i="98"/>
  <c r="Z54" i="98"/>
  <c r="Z13" i="99"/>
  <c r="Z19" i="100"/>
  <c r="N67" i="101"/>
  <c r="N26" i="102"/>
  <c r="Z34" i="100"/>
  <c r="X39" i="98"/>
  <c r="Z39" i="98" s="1"/>
  <c r="L45" i="98"/>
  <c r="X59" i="98"/>
  <c r="Z59" i="98" s="1"/>
  <c r="X85" i="98"/>
  <c r="Z85" i="98" s="1"/>
  <c r="V39" i="99"/>
  <c r="L17" i="100"/>
  <c r="Z37" i="101"/>
  <c r="N15" i="102"/>
  <c r="D84" i="98"/>
  <c r="L84" i="98" s="1"/>
  <c r="N84" i="98" s="1"/>
  <c r="P12" i="99"/>
  <c r="V17" i="99"/>
  <c r="V43" i="99"/>
  <c r="Z17" i="100"/>
  <c r="T46" i="100"/>
  <c r="T20" i="99"/>
  <c r="V47" i="99"/>
  <c r="Z47" i="101"/>
  <c r="Z17" i="102"/>
  <c r="D12" i="99"/>
  <c r="L13" i="99"/>
  <c r="V27" i="99"/>
  <c r="V31" i="99"/>
  <c r="H12" i="99"/>
  <c r="N13" i="99"/>
  <c r="Z29" i="100"/>
  <c r="R66" i="101"/>
  <c r="R59" i="101"/>
  <c r="R31" i="101"/>
  <c r="R24" i="101"/>
  <c r="R22" i="101"/>
  <c r="R61" i="101"/>
  <c r="R50" i="101"/>
  <c r="R39" i="101"/>
  <c r="R38" i="101"/>
  <c r="R26" i="101"/>
  <c r="P22" i="101"/>
  <c r="R71" i="101"/>
  <c r="R58" i="101"/>
  <c r="R41" i="101"/>
  <c r="R40" i="101"/>
  <c r="R32" i="101"/>
  <c r="X12" i="101"/>
  <c r="R52" i="101"/>
  <c r="R51" i="101"/>
  <c r="R27" i="101"/>
  <c r="R62" i="101"/>
  <c r="R43" i="101"/>
  <c r="R42" i="101"/>
  <c r="R63" i="101"/>
  <c r="R54" i="101"/>
  <c r="R53" i="101"/>
  <c r="R33" i="101"/>
  <c r="R18" i="101"/>
  <c r="R45" i="101"/>
  <c r="R44" i="101"/>
  <c r="R29" i="101"/>
  <c r="R28" i="101"/>
  <c r="R56" i="101"/>
  <c r="R55" i="101"/>
  <c r="R19" i="101"/>
  <c r="R64" i="101"/>
  <c r="R60" i="101"/>
  <c r="R47" i="101"/>
  <c r="R46" i="101"/>
  <c r="R35" i="101"/>
  <c r="R34" i="101"/>
  <c r="R30" i="101"/>
  <c r="R67" i="101"/>
  <c r="R57" i="101"/>
  <c r="R49" i="101"/>
  <c r="R48" i="101"/>
  <c r="R37" i="101"/>
  <c r="R36" i="101"/>
  <c r="R25" i="101"/>
  <c r="R20" i="101"/>
  <c r="N43" i="101"/>
  <c r="X13" i="99"/>
  <c r="V61" i="101"/>
  <c r="V50" i="101"/>
  <c r="V38" i="101"/>
  <c r="V26" i="101"/>
  <c r="V71" i="101"/>
  <c r="V58" i="101"/>
  <c r="V41" i="101"/>
  <c r="V52" i="101"/>
  <c r="V40" i="101"/>
  <c r="V32" i="101"/>
  <c r="Z12" i="101"/>
  <c r="V51" i="101"/>
  <c r="V43" i="101"/>
  <c r="V27" i="101"/>
  <c r="V63" i="101"/>
  <c r="V62" i="101"/>
  <c r="V54" i="101"/>
  <c r="V42" i="101"/>
  <c r="V18" i="101"/>
  <c r="V59" i="101"/>
  <c r="V53" i="101"/>
  <c r="V45" i="101"/>
  <c r="V33" i="101"/>
  <c r="V29" i="101"/>
  <c r="V56" i="101"/>
  <c r="V44" i="101"/>
  <c r="V28" i="101"/>
  <c r="V55" i="101"/>
  <c r="V47" i="101"/>
  <c r="V35" i="101"/>
  <c r="V19" i="101"/>
  <c r="V67" i="101"/>
  <c r="V64" i="101"/>
  <c r="V60" i="101"/>
  <c r="V46" i="101"/>
  <c r="V34" i="101"/>
  <c r="V30" i="101"/>
  <c r="V66" i="101"/>
  <c r="V57" i="101"/>
  <c r="V49" i="101"/>
  <c r="V37" i="101"/>
  <c r="V25" i="101"/>
  <c r="V48" i="101"/>
  <c r="V36" i="101"/>
  <c r="V24" i="101"/>
  <c r="V22" i="101"/>
  <c r="V20" i="101"/>
  <c r="V39" i="101"/>
  <c r="V31" i="101"/>
  <c r="T22" i="101"/>
  <c r="V53" i="99"/>
  <c r="V51" i="99"/>
  <c r="V49" i="99"/>
  <c r="V41" i="99"/>
  <c r="V33" i="99"/>
  <c r="V40" i="99"/>
  <c r="V28" i="99"/>
  <c r="V24" i="99"/>
  <c r="V42" i="99"/>
  <c r="V34" i="99"/>
  <c r="V60" i="99"/>
  <c r="V57" i="99"/>
  <c r="V55" i="99"/>
  <c r="V45" i="99"/>
  <c r="V29" i="99"/>
  <c r="V25" i="99"/>
  <c r="V44" i="99"/>
  <c r="V16" i="99"/>
  <c r="V35" i="99"/>
  <c r="V46" i="99"/>
  <c r="V37" i="99"/>
  <c r="V48" i="99"/>
  <c r="V36" i="99"/>
  <c r="V32" i="99"/>
  <c r="Z12" i="99"/>
  <c r="V38" i="99"/>
  <c r="V22" i="99"/>
  <c r="V20" i="99"/>
  <c r="V18" i="99"/>
  <c r="X16" i="99"/>
  <c r="L14" i="100"/>
  <c r="R17" i="100"/>
  <c r="R19" i="100"/>
  <c r="V21" i="100"/>
  <c r="V25" i="100"/>
  <c r="N29" i="100"/>
  <c r="R30" i="100"/>
  <c r="V41" i="100"/>
  <c r="V43" i="100"/>
  <c r="F28" i="101"/>
  <c r="N35" i="101"/>
  <c r="Z41" i="101"/>
  <c r="F43" i="101"/>
  <c r="F44" i="101"/>
  <c r="N47" i="101"/>
  <c r="F63" i="101"/>
  <c r="F76" i="101"/>
  <c r="V44" i="102"/>
  <c r="Z51" i="102"/>
  <c r="T12" i="105"/>
  <c r="Z13" i="105"/>
  <c r="X13" i="105"/>
  <c r="D54" i="105"/>
  <c r="R24" i="100"/>
  <c r="R28" i="100"/>
  <c r="R29" i="100"/>
  <c r="V39" i="100"/>
  <c r="X14" i="101"/>
  <c r="Z14" i="101" s="1"/>
  <c r="F41" i="101"/>
  <c r="F42" i="101"/>
  <c r="F59" i="101"/>
  <c r="F73" i="101"/>
  <c r="P12" i="102"/>
  <c r="V30" i="102"/>
  <c r="X53" i="102"/>
  <c r="Z53" i="102" s="1"/>
  <c r="J77" i="104"/>
  <c r="J65" i="104"/>
  <c r="J49" i="104"/>
  <c r="J78" i="104"/>
  <c r="J66" i="104"/>
  <c r="J60" i="104"/>
  <c r="J50" i="104"/>
  <c r="J52" i="104"/>
  <c r="J61" i="104"/>
  <c r="J53" i="104"/>
  <c r="J41" i="104"/>
  <c r="J37" i="104"/>
  <c r="J80" i="104"/>
  <c r="J72" i="104"/>
  <c r="J68" i="104"/>
  <c r="J62" i="104"/>
  <c r="J54" i="104"/>
  <c r="J42" i="104"/>
  <c r="J32" i="104"/>
  <c r="J63" i="104"/>
  <c r="J55" i="104"/>
  <c r="J43" i="104"/>
  <c r="J82" i="104"/>
  <c r="J56" i="104"/>
  <c r="J73" i="104"/>
  <c r="J69" i="104"/>
  <c r="J57" i="104"/>
  <c r="J45" i="104"/>
  <c r="J33" i="104"/>
  <c r="J86" i="104"/>
  <c r="J74" i="104"/>
  <c r="J64" i="104"/>
  <c r="J58" i="104"/>
  <c r="J46" i="104"/>
  <c r="J20" i="104"/>
  <c r="J76" i="104"/>
  <c r="J70" i="104"/>
  <c r="J48" i="104"/>
  <c r="J34" i="104"/>
  <c r="J30" i="104"/>
  <c r="J26" i="104"/>
  <c r="J24" i="104"/>
  <c r="J28" i="104"/>
  <c r="J25" i="104"/>
  <c r="J19" i="104"/>
  <c r="J44" i="104"/>
  <c r="J39" i="104"/>
  <c r="J71" i="104"/>
  <c r="J59" i="104"/>
  <c r="J35" i="104"/>
  <c r="J75" i="104"/>
  <c r="J31" i="104"/>
  <c r="J40" i="104"/>
  <c r="J29" i="104"/>
  <c r="J38" i="104"/>
  <c r="J79" i="104"/>
  <c r="J67" i="104"/>
  <c r="J51" i="104"/>
  <c r="J47" i="104"/>
  <c r="J36" i="104"/>
  <c r="J27" i="104"/>
  <c r="H22" i="104"/>
  <c r="J22" i="104" s="1"/>
  <c r="J18" i="104"/>
  <c r="Z52" i="104"/>
  <c r="R14" i="100"/>
  <c r="V24" i="100"/>
  <c r="V28" i="100"/>
  <c r="R37" i="100"/>
  <c r="R38" i="100"/>
  <c r="V40" i="100"/>
  <c r="D43" i="100"/>
  <c r="L43" i="100" s="1"/>
  <c r="N43" i="100" s="1"/>
  <c r="H12" i="101"/>
  <c r="F27" i="101"/>
  <c r="F51" i="101"/>
  <c r="F62" i="101"/>
  <c r="X66" i="101"/>
  <c r="Z66" i="101" s="1"/>
  <c r="V87" i="102"/>
  <c r="V73" i="102"/>
  <c r="V69" i="102"/>
  <c r="V57" i="102"/>
  <c r="V45" i="102"/>
  <c r="V33" i="102"/>
  <c r="V29" i="102"/>
  <c r="V64" i="102"/>
  <c r="V56" i="102"/>
  <c r="V75" i="102"/>
  <c r="V74" i="102"/>
  <c r="V70" i="102"/>
  <c r="V77" i="102"/>
  <c r="V65" i="102"/>
  <c r="V49" i="102"/>
  <c r="V25" i="102"/>
  <c r="V23" i="102"/>
  <c r="V21" i="102"/>
  <c r="V76" i="102"/>
  <c r="V48" i="102"/>
  <c r="V40" i="102"/>
  <c r="V36" i="102"/>
  <c r="T23" i="102"/>
  <c r="V79" i="102"/>
  <c r="V71" i="102"/>
  <c r="V67" i="102"/>
  <c r="V59" i="102"/>
  <c r="V51" i="102"/>
  <c r="V78" i="102"/>
  <c r="V66" i="102"/>
  <c r="V83" i="102"/>
  <c r="V61" i="102"/>
  <c r="V53" i="102"/>
  <c r="V41" i="102"/>
  <c r="V82" i="102"/>
  <c r="V80" i="102"/>
  <c r="V72" i="102"/>
  <c r="V68" i="102"/>
  <c r="V60" i="102"/>
  <c r="V62" i="102"/>
  <c r="V54" i="102"/>
  <c r="V42" i="102"/>
  <c r="V38" i="102"/>
  <c r="V19" i="102"/>
  <c r="V35" i="102"/>
  <c r="L45" i="102"/>
  <c r="N45" i="102" s="1"/>
  <c r="Z18" i="103"/>
  <c r="F39" i="101"/>
  <c r="F40" i="101"/>
  <c r="N14" i="103"/>
  <c r="L14" i="103"/>
  <c r="V14" i="100"/>
  <c r="R23" i="100"/>
  <c r="R27" i="100"/>
  <c r="R35" i="100"/>
  <c r="R36" i="100"/>
  <c r="V38" i="100"/>
  <c r="X13" i="101"/>
  <c r="Z13" i="101" s="1"/>
  <c r="F22" i="101"/>
  <c r="F24" i="101"/>
  <c r="F71" i="101"/>
  <c r="V43" i="102"/>
  <c r="V50" i="102"/>
  <c r="V52" i="102"/>
  <c r="V58" i="102"/>
  <c r="N46" i="104"/>
  <c r="X12" i="100"/>
  <c r="F17" i="100"/>
  <c r="F19" i="100"/>
  <c r="V23" i="100"/>
  <c r="V27" i="100"/>
  <c r="V35" i="100"/>
  <c r="F25" i="101"/>
  <c r="F26" i="101"/>
  <c r="F37" i="101"/>
  <c r="F38" i="101"/>
  <c r="F49" i="101"/>
  <c r="F50" i="101"/>
  <c r="F58" i="101"/>
  <c r="F61" i="101"/>
  <c r="D69" i="101"/>
  <c r="Z14" i="102"/>
  <c r="X17" i="102"/>
  <c r="L26" i="102"/>
  <c r="V27" i="102"/>
  <c r="V32" i="102"/>
  <c r="X45" i="102"/>
  <c r="Z45" i="102" s="1"/>
  <c r="N47" i="102"/>
  <c r="Z67" i="102"/>
  <c r="R62" i="104"/>
  <c r="R61" i="104"/>
  <c r="R54" i="104"/>
  <c r="R53" i="104"/>
  <c r="R82" i="104"/>
  <c r="R63" i="104"/>
  <c r="R56" i="104"/>
  <c r="R55" i="104"/>
  <c r="R44" i="104"/>
  <c r="R43" i="104"/>
  <c r="R38" i="104"/>
  <c r="R74" i="104"/>
  <c r="R73" i="104"/>
  <c r="R69" i="104"/>
  <c r="R58" i="104"/>
  <c r="R57" i="104"/>
  <c r="R46" i="104"/>
  <c r="R45" i="104"/>
  <c r="R33" i="104"/>
  <c r="R86" i="104"/>
  <c r="R64" i="104"/>
  <c r="R76" i="104"/>
  <c r="R75" i="104"/>
  <c r="R59" i="104"/>
  <c r="R70" i="104"/>
  <c r="R35" i="104"/>
  <c r="R34" i="104"/>
  <c r="R30" i="104"/>
  <c r="R78" i="104"/>
  <c r="R77" i="104"/>
  <c r="R66" i="104"/>
  <c r="R65" i="104"/>
  <c r="R50" i="104"/>
  <c r="R49" i="104"/>
  <c r="R79" i="104"/>
  <c r="R71" i="104"/>
  <c r="R67" i="104"/>
  <c r="R52" i="104"/>
  <c r="R51" i="104"/>
  <c r="R31" i="104"/>
  <c r="R27" i="104"/>
  <c r="R42" i="104"/>
  <c r="R37" i="104"/>
  <c r="R68" i="104"/>
  <c r="R29" i="104"/>
  <c r="R26" i="104"/>
  <c r="R20" i="104"/>
  <c r="R40" i="104"/>
  <c r="R47" i="104"/>
  <c r="R18" i="104"/>
  <c r="R72" i="104"/>
  <c r="R60" i="104"/>
  <c r="R36" i="104"/>
  <c r="R32" i="104"/>
  <c r="P22" i="104"/>
  <c r="R24" i="104"/>
  <c r="R48" i="104"/>
  <c r="R41" i="104"/>
  <c r="R28" i="104"/>
  <c r="R25" i="104"/>
  <c r="X12" i="104"/>
  <c r="R80" i="104"/>
  <c r="Z12" i="100"/>
  <c r="F25" i="100"/>
  <c r="R33" i="100"/>
  <c r="R34" i="100"/>
  <c r="V36" i="100"/>
  <c r="F40" i="100"/>
  <c r="R50" i="100"/>
  <c r="R53" i="100"/>
  <c r="F31" i="101"/>
  <c r="F66" i="101"/>
  <c r="F67" i="101"/>
  <c r="F69" i="101"/>
  <c r="N13" i="102"/>
  <c r="H12" i="102"/>
  <c r="V34" i="102"/>
  <c r="L61" i="102"/>
  <c r="N61" i="102" s="1"/>
  <c r="X82" i="102"/>
  <c r="Z82" i="102" s="1"/>
  <c r="N18" i="104"/>
  <c r="R22" i="100"/>
  <c r="R26" i="100"/>
  <c r="V33" i="100"/>
  <c r="R48" i="100"/>
  <c r="F20" i="101"/>
  <c r="F35" i="101"/>
  <c r="F36" i="101"/>
  <c r="F47" i="101"/>
  <c r="F48" i="101"/>
  <c r="V37" i="102"/>
  <c r="R31" i="100"/>
  <c r="R32" i="100"/>
  <c r="F56" i="101"/>
  <c r="F57" i="101"/>
  <c r="X47" i="102"/>
  <c r="Z47" i="102" s="1"/>
  <c r="Z75" i="102"/>
  <c r="Z15" i="104"/>
  <c r="X15" i="104"/>
  <c r="L20" i="100"/>
  <c r="N20" i="100" s="1"/>
  <c r="V31" i="100"/>
  <c r="X34" i="100"/>
  <c r="L40" i="100"/>
  <c r="R43" i="100"/>
  <c r="F29" i="101"/>
  <c r="F30" i="101"/>
  <c r="F34" i="101"/>
  <c r="F45" i="101"/>
  <c r="F46" i="101"/>
  <c r="X52" i="101"/>
  <c r="Z52" i="101" s="1"/>
  <c r="F60" i="101"/>
  <c r="L66" i="101"/>
  <c r="N66" i="101" s="1"/>
  <c r="L67" i="101"/>
  <c r="Z16" i="102"/>
  <c r="V26" i="102"/>
  <c r="V31" i="102"/>
  <c r="V39" i="102"/>
  <c r="V47" i="102"/>
  <c r="L53" i="102"/>
  <c r="N53" i="102" s="1"/>
  <c r="N57" i="102"/>
  <c r="V63" i="102"/>
  <c r="Z79" i="102"/>
  <c r="N83" i="102"/>
  <c r="P50" i="103"/>
  <c r="Z19" i="103"/>
  <c r="Z38" i="103"/>
  <c r="P17" i="100"/>
  <c r="R21" i="100"/>
  <c r="R25" i="100"/>
  <c r="R41" i="100"/>
  <c r="R44" i="100"/>
  <c r="F18" i="101"/>
  <c r="F19" i="101"/>
  <c r="F54" i="101"/>
  <c r="F55" i="101"/>
  <c r="L63" i="101"/>
  <c r="N63" i="101" s="1"/>
  <c r="D12" i="102"/>
  <c r="V20" i="102"/>
  <c r="X36" i="102"/>
  <c r="Z36" i="102" s="1"/>
  <c r="F14" i="103"/>
  <c r="H16" i="103"/>
  <c r="J18" i="103"/>
  <c r="F22" i="103"/>
  <c r="F30" i="103"/>
  <c r="J36" i="103"/>
  <c r="F46" i="103"/>
  <c r="R50" i="103"/>
  <c r="J57" i="103"/>
  <c r="L18" i="104"/>
  <c r="N24" i="104"/>
  <c r="Z35" i="104"/>
  <c r="X35" i="104"/>
  <c r="Z42" i="104"/>
  <c r="X44" i="104"/>
  <c r="Z44" i="104"/>
  <c r="X52" i="104"/>
  <c r="J14" i="103"/>
  <c r="V23" i="103"/>
  <c r="J25" i="103"/>
  <c r="V26" i="103"/>
  <c r="J30" i="103"/>
  <c r="F35" i="103"/>
  <c r="V37" i="103"/>
  <c r="V38" i="103"/>
  <c r="J40" i="103"/>
  <c r="V42" i="103"/>
  <c r="V50" i="103"/>
  <c r="J54" i="103"/>
  <c r="L74" i="104"/>
  <c r="N74" i="104" s="1"/>
  <c r="F29" i="103"/>
  <c r="V31" i="103"/>
  <c r="J35" i="103"/>
  <c r="J45" i="103"/>
  <c r="Z48" i="104"/>
  <c r="Z28" i="105"/>
  <c r="F40" i="103"/>
  <c r="F24" i="103"/>
  <c r="F20" i="103"/>
  <c r="F19" i="103"/>
  <c r="F37" i="103"/>
  <c r="F36" i="103"/>
  <c r="F21" i="103"/>
  <c r="F28" i="103"/>
  <c r="F44" i="103"/>
  <c r="V48" i="103"/>
  <c r="F52" i="103"/>
  <c r="N58" i="104"/>
  <c r="J41" i="103"/>
  <c r="J31" i="103"/>
  <c r="J50" i="103"/>
  <c r="J48" i="103"/>
  <c r="J38" i="103"/>
  <c r="N12" i="103"/>
  <c r="T16" i="103"/>
  <c r="V18" i="103"/>
  <c r="V19" i="103"/>
  <c r="J21" i="103"/>
  <c r="V22" i="103"/>
  <c r="V25" i="103"/>
  <c r="J34" i="103"/>
  <c r="F39" i="103"/>
  <c r="V41" i="103"/>
  <c r="J44" i="103"/>
  <c r="V46" i="103"/>
  <c r="J52" i="103"/>
  <c r="V57" i="103"/>
  <c r="D12" i="104"/>
  <c r="Z62" i="104"/>
  <c r="L12" i="103"/>
  <c r="V16" i="103"/>
  <c r="X19" i="103"/>
  <c r="J24" i="103"/>
  <c r="F27" i="103"/>
  <c r="J28" i="103"/>
  <c r="F33" i="103"/>
  <c r="V36" i="103"/>
  <c r="J39" i="103"/>
  <c r="F43" i="103"/>
  <c r="L35" i="104"/>
  <c r="N35" i="104" s="1"/>
  <c r="X82" i="104"/>
  <c r="Z82" i="104"/>
  <c r="Z14" i="105"/>
  <c r="H82" i="102"/>
  <c r="R45" i="103"/>
  <c r="R44" i="103"/>
  <c r="R57" i="103"/>
  <c r="R54" i="103"/>
  <c r="R30" i="103"/>
  <c r="R29" i="103"/>
  <c r="R18" i="103"/>
  <c r="R16" i="103"/>
  <c r="R14" i="103"/>
  <c r="V14" i="103"/>
  <c r="R21" i="103"/>
  <c r="J27" i="103"/>
  <c r="L28" i="103"/>
  <c r="N28" i="103" s="1"/>
  <c r="V29" i="103"/>
  <c r="V30" i="103"/>
  <c r="L32" i="103"/>
  <c r="N32" i="103" s="1"/>
  <c r="J33" i="103"/>
  <c r="F38" i="103"/>
  <c r="N43" i="103"/>
  <c r="F50" i="103"/>
  <c r="L13" i="104"/>
  <c r="N13" i="104" s="1"/>
  <c r="Z18" i="104"/>
  <c r="L46" i="104"/>
  <c r="V35" i="103"/>
  <c r="V40" i="103"/>
  <c r="V32" i="103"/>
  <c r="V24" i="103"/>
  <c r="V20" i="103"/>
  <c r="V21" i="103"/>
  <c r="F32" i="103"/>
  <c r="J43" i="103"/>
  <c r="V44" i="103"/>
  <c r="V45" i="103"/>
  <c r="X12" i="103"/>
  <c r="J20" i="103"/>
  <c r="F23" i="103"/>
  <c r="F26" i="103"/>
  <c r="L38" i="103"/>
  <c r="N38" i="103" s="1"/>
  <c r="F42" i="103"/>
  <c r="F48" i="103"/>
  <c r="V52" i="103"/>
  <c r="T12" i="104"/>
  <c r="L15" i="104"/>
  <c r="N15" i="104" s="1"/>
  <c r="N54" i="104"/>
  <c r="X56" i="104"/>
  <c r="Z56" i="104" s="1"/>
  <c r="X75" i="102"/>
  <c r="L83" i="102"/>
  <c r="Z12" i="103"/>
  <c r="D16" i="103"/>
  <c r="F18" i="103"/>
  <c r="J23" i="103"/>
  <c r="J26" i="103"/>
  <c r="J32" i="103"/>
  <c r="V33" i="103"/>
  <c r="Z34" i="103"/>
  <c r="J37" i="103"/>
  <c r="V39" i="103"/>
  <c r="F41" i="103"/>
  <c r="J42" i="103"/>
  <c r="L50" i="104"/>
  <c r="N50" i="104"/>
  <c r="F16" i="103"/>
  <c r="J19" i="103"/>
  <c r="V27" i="103"/>
  <c r="V28" i="103"/>
  <c r="F31" i="103"/>
  <c r="V34" i="103"/>
  <c r="X38" i="103"/>
  <c r="F57" i="103"/>
  <c r="Z13" i="104"/>
  <c r="N48" i="104"/>
  <c r="Z54" i="104"/>
  <c r="L66" i="104"/>
  <c r="N66" i="104" s="1"/>
  <c r="L78" i="104"/>
  <c r="N78" i="104"/>
  <c r="H12" i="105"/>
  <c r="Z32" i="105"/>
  <c r="X52" i="105"/>
  <c r="V39" i="106"/>
  <c r="V16" i="107"/>
  <c r="Z17" i="108"/>
  <c r="L17" i="105"/>
  <c r="N17" i="105" s="1"/>
  <c r="F26" i="105"/>
  <c r="F30" i="105"/>
  <c r="X34" i="105"/>
  <c r="Z67" i="106"/>
  <c r="X19" i="107"/>
  <c r="Z19" i="107" s="1"/>
  <c r="P12" i="105"/>
  <c r="F39" i="105"/>
  <c r="F19" i="106"/>
  <c r="F85" i="106"/>
  <c r="F83" i="106"/>
  <c r="F74" i="106"/>
  <c r="F70" i="106"/>
  <c r="F58" i="106"/>
  <c r="F57" i="106"/>
  <c r="F46" i="106"/>
  <c r="F45" i="106"/>
  <c r="F38" i="106"/>
  <c r="F87" i="106"/>
  <c r="F65" i="106"/>
  <c r="F33" i="106"/>
  <c r="F29" i="106"/>
  <c r="F25" i="106"/>
  <c r="F24" i="106"/>
  <c r="F60" i="106"/>
  <c r="F59" i="106"/>
  <c r="F48" i="106"/>
  <c r="F47" i="106"/>
  <c r="F23" i="106"/>
  <c r="F21" i="106"/>
  <c r="F75" i="106"/>
  <c r="F71" i="106"/>
  <c r="F39" i="106"/>
  <c r="F35" i="106"/>
  <c r="F34" i="106"/>
  <c r="D21" i="106"/>
  <c r="F92" i="106"/>
  <c r="F89" i="106"/>
  <c r="F66" i="106"/>
  <c r="F50" i="106"/>
  <c r="F49" i="106"/>
  <c r="F30" i="106"/>
  <c r="F26" i="106"/>
  <c r="F77" i="106"/>
  <c r="F76" i="106"/>
  <c r="F61" i="106"/>
  <c r="F72" i="106"/>
  <c r="F68" i="106"/>
  <c r="F67" i="106"/>
  <c r="F52" i="106"/>
  <c r="F51" i="106"/>
  <c r="F40" i="106"/>
  <c r="F36" i="106"/>
  <c r="L12" i="106"/>
  <c r="F79" i="106"/>
  <c r="F78" i="106"/>
  <c r="F31" i="106"/>
  <c r="F27" i="106"/>
  <c r="F62" i="106"/>
  <c r="F54" i="106"/>
  <c r="F53" i="106"/>
  <c r="F42" i="106"/>
  <c r="F41" i="106"/>
  <c r="F18" i="106"/>
  <c r="F17" i="106"/>
  <c r="F81" i="106"/>
  <c r="F80" i="106"/>
  <c r="F73" i="106"/>
  <c r="F69" i="106"/>
  <c r="F37" i="106"/>
  <c r="V67" i="106"/>
  <c r="V75" i="106"/>
  <c r="R79" i="108"/>
  <c r="R78" i="108"/>
  <c r="R62" i="108"/>
  <c r="R51" i="108"/>
  <c r="R50" i="108"/>
  <c r="R30" i="108"/>
  <c r="R26" i="108"/>
  <c r="R73" i="108"/>
  <c r="R81" i="108"/>
  <c r="R80" i="108"/>
  <c r="R69" i="108"/>
  <c r="R68" i="108"/>
  <c r="R63" i="108"/>
  <c r="R65" i="108"/>
  <c r="R64" i="108"/>
  <c r="R57" i="108"/>
  <c r="R56" i="108"/>
  <c r="R45" i="108"/>
  <c r="R44" i="108"/>
  <c r="R32" i="108"/>
  <c r="R28" i="108"/>
  <c r="R85" i="108"/>
  <c r="R66" i="108"/>
  <c r="R59" i="108"/>
  <c r="R58" i="108"/>
  <c r="R47" i="108"/>
  <c r="R46" i="108"/>
  <c r="R38" i="108"/>
  <c r="R23" i="108"/>
  <c r="R21" i="108"/>
  <c r="R74" i="108"/>
  <c r="R55" i="108"/>
  <c r="R37" i="108"/>
  <c r="R29" i="108"/>
  <c r="R72" i="108"/>
  <c r="R70" i="108"/>
  <c r="R61" i="108"/>
  <c r="R52" i="108"/>
  <c r="R48" i="108"/>
  <c r="R40" i="108"/>
  <c r="R35" i="108"/>
  <c r="R24" i="108"/>
  <c r="R77" i="108"/>
  <c r="R49" i="108"/>
  <c r="R27" i="108"/>
  <c r="R18" i="108"/>
  <c r="R41" i="108"/>
  <c r="R89" i="108"/>
  <c r="R82" i="108"/>
  <c r="R75" i="108"/>
  <c r="R53" i="108"/>
  <c r="R25" i="108"/>
  <c r="R36" i="108"/>
  <c r="R33" i="108"/>
  <c r="R19" i="108"/>
  <c r="X12" i="108"/>
  <c r="Z12" i="108" s="1"/>
  <c r="R71" i="108"/>
  <c r="R42" i="108"/>
  <c r="R54" i="108"/>
  <c r="R39" i="108"/>
  <c r="R83" i="108"/>
  <c r="R43" i="108"/>
  <c r="R34" i="108"/>
  <c r="R31" i="108"/>
  <c r="J57" i="108"/>
  <c r="R76" i="108"/>
  <c r="Z34" i="105"/>
  <c r="F48" i="105"/>
  <c r="H12" i="106"/>
  <c r="N13" i="106"/>
  <c r="L13" i="106"/>
  <c r="F63" i="106"/>
  <c r="V76" i="108"/>
  <c r="V72" i="108"/>
  <c r="V81" i="108"/>
  <c r="V73" i="108"/>
  <c r="V69" i="108"/>
  <c r="V53" i="108"/>
  <c r="V41" i="108"/>
  <c r="V17" i="108"/>
  <c r="V80" i="108"/>
  <c r="V68" i="108"/>
  <c r="V52" i="108"/>
  <c r="V63" i="108"/>
  <c r="V82" i="108"/>
  <c r="V74" i="108"/>
  <c r="V70" i="108"/>
  <c r="V85" i="108"/>
  <c r="V83" i="108"/>
  <c r="V75" i="108"/>
  <c r="V71" i="108"/>
  <c r="V59" i="108"/>
  <c r="V47" i="108"/>
  <c r="V23" i="108"/>
  <c r="V21" i="108"/>
  <c r="V19" i="108"/>
  <c r="V77" i="108"/>
  <c r="V61" i="108"/>
  <c r="V49" i="108"/>
  <c r="V33" i="108"/>
  <c r="V29" i="108"/>
  <c r="V25" i="108"/>
  <c r="V24" i="108"/>
  <c r="V79" i="108"/>
  <c r="V48" i="108"/>
  <c r="V44" i="108"/>
  <c r="V40" i="108"/>
  <c r="V35" i="108"/>
  <c r="V58" i="108"/>
  <c r="V32" i="108"/>
  <c r="V27" i="108"/>
  <c r="V18" i="108"/>
  <c r="V45" i="108"/>
  <c r="V89" i="108"/>
  <c r="V66" i="108"/>
  <c r="V56" i="108"/>
  <c r="V38" i="108"/>
  <c r="V30" i="108"/>
  <c r="V64" i="108"/>
  <c r="V36" i="108"/>
  <c r="V62" i="108"/>
  <c r="V57" i="108"/>
  <c r="V50" i="108"/>
  <c r="V42" i="108"/>
  <c r="V28" i="108"/>
  <c r="V54" i="108"/>
  <c r="V51" i="108"/>
  <c r="V46" i="108"/>
  <c r="V43" i="108"/>
  <c r="V39" i="108"/>
  <c r="V34" i="108"/>
  <c r="V78" i="108"/>
  <c r="V65" i="108"/>
  <c r="V31" i="108"/>
  <c r="V67" i="108"/>
  <c r="V60" i="108"/>
  <c r="V55" i="108"/>
  <c r="V26" i="108"/>
  <c r="T21" i="108"/>
  <c r="Z59" i="108"/>
  <c r="F21" i="105"/>
  <c r="F23" i="105"/>
  <c r="F25" i="105"/>
  <c r="N24" i="106"/>
  <c r="F32" i="106"/>
  <c r="Z34" i="106"/>
  <c r="F56" i="106"/>
  <c r="P24" i="107"/>
  <c r="X16" i="107"/>
  <c r="N41" i="108"/>
  <c r="F24" i="105"/>
  <c r="F29" i="105"/>
  <c r="V78" i="106"/>
  <c r="V66" i="106"/>
  <c r="V50" i="106"/>
  <c r="V30" i="106"/>
  <c r="V26" i="106"/>
  <c r="V77" i="106"/>
  <c r="V61" i="106"/>
  <c r="V53" i="106"/>
  <c r="V41" i="106"/>
  <c r="V17" i="106"/>
  <c r="V80" i="106"/>
  <c r="V72" i="106"/>
  <c r="V68" i="106"/>
  <c r="V52" i="106"/>
  <c r="V40" i="106"/>
  <c r="V36" i="106"/>
  <c r="V79" i="106"/>
  <c r="V63" i="106"/>
  <c r="V55" i="106"/>
  <c r="V43" i="106"/>
  <c r="V31" i="106"/>
  <c r="V27" i="106"/>
  <c r="V62" i="106"/>
  <c r="V54" i="106"/>
  <c r="V42" i="106"/>
  <c r="V18" i="106"/>
  <c r="V83" i="106"/>
  <c r="V81" i="106"/>
  <c r="V73" i="106"/>
  <c r="V69" i="106"/>
  <c r="V57" i="106"/>
  <c r="V45" i="106"/>
  <c r="V37" i="106"/>
  <c r="V64" i="106"/>
  <c r="V56" i="106"/>
  <c r="V44" i="106"/>
  <c r="V32" i="106"/>
  <c r="V28" i="106"/>
  <c r="V24" i="106"/>
  <c r="V59" i="106"/>
  <c r="V47" i="106"/>
  <c r="V23" i="106"/>
  <c r="V21" i="106"/>
  <c r="V19" i="106"/>
  <c r="V74" i="106"/>
  <c r="V70" i="106"/>
  <c r="V58" i="106"/>
  <c r="V46" i="106"/>
  <c r="V38" i="106"/>
  <c r="V34" i="106"/>
  <c r="T21" i="106"/>
  <c r="V87" i="106"/>
  <c r="V65" i="106"/>
  <c r="V49" i="106"/>
  <c r="V33" i="106"/>
  <c r="V29" i="106"/>
  <c r="V25" i="106"/>
  <c r="V76" i="106"/>
  <c r="V60" i="106"/>
  <c r="V48" i="106"/>
  <c r="F43" i="106"/>
  <c r="R67" i="108"/>
  <c r="H37" i="109"/>
  <c r="N16" i="109"/>
  <c r="F38" i="105"/>
  <c r="F43" i="105"/>
  <c r="N45" i="106"/>
  <c r="F19" i="105"/>
  <c r="F28" i="105"/>
  <c r="F31" i="105"/>
  <c r="V71" i="106"/>
  <c r="J85" i="108"/>
  <c r="J59" i="108"/>
  <c r="J47" i="108"/>
  <c r="J33" i="108"/>
  <c r="J29" i="108"/>
  <c r="J25" i="108"/>
  <c r="J23" i="108"/>
  <c r="J21" i="108"/>
  <c r="J76" i="108"/>
  <c r="J72" i="108"/>
  <c r="J60" i="108"/>
  <c r="J89" i="108"/>
  <c r="J77" i="108"/>
  <c r="J67" i="108"/>
  <c r="J61" i="108"/>
  <c r="J78" i="108"/>
  <c r="J62" i="108"/>
  <c r="J81" i="108"/>
  <c r="J69" i="108"/>
  <c r="J63" i="108"/>
  <c r="J53" i="108"/>
  <c r="J41" i="108"/>
  <c r="J31" i="108"/>
  <c r="J27" i="108"/>
  <c r="J55" i="108"/>
  <c r="J43" i="108"/>
  <c r="J37" i="108"/>
  <c r="J54" i="108"/>
  <c r="J83" i="108"/>
  <c r="J65" i="108"/>
  <c r="J51" i="108"/>
  <c r="J34" i="108"/>
  <c r="J26" i="108"/>
  <c r="H21" i="108"/>
  <c r="J74" i="108"/>
  <c r="J17" i="108"/>
  <c r="J79" i="108"/>
  <c r="J44" i="108"/>
  <c r="J35" i="108"/>
  <c r="J70" i="108"/>
  <c r="J58" i="108"/>
  <c r="J52" i="108"/>
  <c r="J48" i="108"/>
  <c r="J40" i="108"/>
  <c r="J32" i="108"/>
  <c r="J49" i="108"/>
  <c r="J24" i="108"/>
  <c r="J18" i="108"/>
  <c r="J68" i="108"/>
  <c r="J66" i="108"/>
  <c r="J56" i="108"/>
  <c r="J45" i="108"/>
  <c r="J38" i="108"/>
  <c r="J82" i="108"/>
  <c r="J75" i="108"/>
  <c r="J30" i="108"/>
  <c r="J73" i="108"/>
  <c r="J64" i="108"/>
  <c r="J19" i="108"/>
  <c r="J71" i="108"/>
  <c r="J50" i="108"/>
  <c r="J36" i="108"/>
  <c r="J28" i="108"/>
  <c r="R60" i="108"/>
  <c r="N14" i="106"/>
  <c r="L14" i="106"/>
  <c r="X76" i="106"/>
  <c r="P21" i="108"/>
  <c r="L13" i="105"/>
  <c r="N13" i="105" s="1"/>
  <c r="L28" i="105"/>
  <c r="N28" i="105" s="1"/>
  <c r="L40" i="105"/>
  <c r="P12" i="106"/>
  <c r="X14" i="106"/>
  <c r="Z14" i="106" s="1"/>
  <c r="F64" i="106"/>
  <c r="Z76" i="106"/>
  <c r="V37" i="108"/>
  <c r="J46" i="108"/>
  <c r="J80" i="108"/>
  <c r="F41" i="105"/>
  <c r="F40" i="105"/>
  <c r="F50" i="105"/>
  <c r="F49" i="105"/>
  <c r="F45" i="105"/>
  <c r="F44" i="105"/>
  <c r="F33" i="105"/>
  <c r="F32" i="105"/>
  <c r="F54" i="105"/>
  <c r="F52" i="105"/>
  <c r="F35" i="105"/>
  <c r="F34" i="105"/>
  <c r="F27" i="105"/>
  <c r="F56" i="105"/>
  <c r="F46" i="105"/>
  <c r="F37" i="105"/>
  <c r="F36" i="105"/>
  <c r="F61" i="105"/>
  <c r="F58" i="105"/>
  <c r="F17" i="105"/>
  <c r="F18" i="105"/>
  <c r="N40" i="105"/>
  <c r="F42" i="105"/>
  <c r="F55" i="106"/>
  <c r="T16" i="107"/>
  <c r="V24" i="107"/>
  <c r="V22" i="107"/>
  <c r="V20" i="107"/>
  <c r="V31" i="107"/>
  <c r="V28" i="107"/>
  <c r="V26" i="107"/>
  <c r="Z12" i="107"/>
  <c r="V19" i="107"/>
  <c r="R17" i="108"/>
  <c r="N23" i="108"/>
  <c r="J42" i="108"/>
  <c r="X12" i="107"/>
  <c r="X14" i="107"/>
  <c r="Z13" i="108"/>
  <c r="Z65" i="108"/>
  <c r="Z43" i="108"/>
  <c r="Z51" i="108"/>
  <c r="F20" i="109"/>
  <c r="D16" i="107"/>
  <c r="L14" i="108"/>
  <c r="N14" i="108" s="1"/>
  <c r="N45" i="108"/>
  <c r="L53" i="108"/>
  <c r="Z57" i="108"/>
  <c r="R28" i="107"/>
  <c r="R31" i="107"/>
  <c r="N49" i="108"/>
  <c r="X51" i="108"/>
  <c r="Z34" i="109"/>
  <c r="F71" i="110"/>
  <c r="F54" i="110"/>
  <c r="F53" i="110"/>
  <c r="F34" i="110"/>
  <c r="F30" i="110"/>
  <c r="F29" i="110"/>
  <c r="F75" i="110"/>
  <c r="F70" i="110"/>
  <c r="F61" i="110"/>
  <c r="F25" i="110"/>
  <c r="F21" i="110"/>
  <c r="F69" i="110"/>
  <c r="F44" i="110"/>
  <c r="F55" i="110"/>
  <c r="F35" i="110"/>
  <c r="F31" i="110"/>
  <c r="F62" i="110"/>
  <c r="F46" i="110"/>
  <c r="F45" i="110"/>
  <c r="F26" i="110"/>
  <c r="F22" i="110"/>
  <c r="F37" i="110"/>
  <c r="F36" i="110"/>
  <c r="F56" i="110"/>
  <c r="F48" i="110"/>
  <c r="F47" i="110"/>
  <c r="F32" i="110"/>
  <c r="L12" i="110"/>
  <c r="F63" i="110"/>
  <c r="F39" i="110"/>
  <c r="F38" i="110"/>
  <c r="F27" i="110"/>
  <c r="F65" i="110"/>
  <c r="F64" i="110"/>
  <c r="F41" i="110"/>
  <c r="F40" i="110"/>
  <c r="F33" i="110"/>
  <c r="F67" i="110"/>
  <c r="F42" i="110"/>
  <c r="F51" i="110"/>
  <c r="F20" i="110"/>
  <c r="F60" i="110"/>
  <c r="F15" i="110"/>
  <c r="F49" i="110"/>
  <c r="F24" i="110"/>
  <c r="F58" i="110"/>
  <c r="F43" i="110"/>
  <c r="F52" i="110"/>
  <c r="F17" i="110"/>
  <c r="F23" i="110"/>
  <c r="D17" i="110"/>
  <c r="F66" i="110"/>
  <c r="F50" i="110"/>
  <c r="F28" i="110"/>
  <c r="F59" i="110"/>
  <c r="F57" i="110"/>
  <c r="H16" i="107"/>
  <c r="F19" i="107"/>
  <c r="R26" i="107"/>
  <c r="L79" i="108"/>
  <c r="L14" i="109"/>
  <c r="Z16" i="109"/>
  <c r="F19" i="109"/>
  <c r="N30" i="109"/>
  <c r="L30" i="109"/>
  <c r="J75" i="110"/>
  <c r="J69" i="110"/>
  <c r="J61" i="110"/>
  <c r="J25" i="110"/>
  <c r="J21" i="110"/>
  <c r="J19" i="110"/>
  <c r="J15" i="110"/>
  <c r="J44" i="110"/>
  <c r="J55" i="110"/>
  <c r="J45" i="110"/>
  <c r="J35" i="110"/>
  <c r="J31" i="110"/>
  <c r="J62" i="110"/>
  <c r="J46" i="110"/>
  <c r="J36" i="110"/>
  <c r="J26" i="110"/>
  <c r="J22" i="110"/>
  <c r="J47" i="110"/>
  <c r="J37" i="110"/>
  <c r="J56" i="110"/>
  <c r="J48" i="110"/>
  <c r="J38" i="110"/>
  <c r="J32" i="110"/>
  <c r="N12" i="110"/>
  <c r="J63" i="110"/>
  <c r="J57" i="110"/>
  <c r="J49" i="110"/>
  <c r="J39" i="110"/>
  <c r="J27" i="110"/>
  <c r="J23" i="110"/>
  <c r="J64" i="110"/>
  <c r="J58" i="110"/>
  <c r="J50" i="110"/>
  <c r="J40" i="110"/>
  <c r="J66" i="110"/>
  <c r="J60" i="110"/>
  <c r="J52" i="110"/>
  <c r="J42" i="110"/>
  <c r="J28" i="110"/>
  <c r="J24" i="110"/>
  <c r="J65" i="110"/>
  <c r="J29" i="110"/>
  <c r="J43" i="110"/>
  <c r="J33" i="110"/>
  <c r="J71" i="110"/>
  <c r="H17" i="110"/>
  <c r="J54" i="110"/>
  <c r="J41" i="110"/>
  <c r="J59" i="110"/>
  <c r="J30" i="110"/>
  <c r="J70" i="110"/>
  <c r="J67" i="110"/>
  <c r="J53" i="110"/>
  <c r="J51" i="110"/>
  <c r="J20" i="110"/>
  <c r="L78" i="106"/>
  <c r="N78" i="106" s="1"/>
  <c r="N77" i="108"/>
  <c r="L15" i="106"/>
  <c r="N15" i="106" s="1"/>
  <c r="D12" i="108"/>
  <c r="L34" i="108"/>
  <c r="N34" i="108" s="1"/>
  <c r="X59" i="108"/>
  <c r="J19" i="109"/>
  <c r="R22" i="107"/>
  <c r="R24" i="107"/>
  <c r="N13" i="108"/>
  <c r="N55" i="108"/>
  <c r="Z33" i="109"/>
  <c r="Z49" i="108"/>
  <c r="N65" i="108"/>
  <c r="X79" i="108"/>
  <c r="Z79" i="108" s="1"/>
  <c r="F37" i="109"/>
  <c r="F39" i="109"/>
  <c r="F44" i="109"/>
  <c r="F35" i="109"/>
  <c r="D16" i="109"/>
  <c r="F34" i="109"/>
  <c r="F25" i="109"/>
  <c r="F33" i="109"/>
  <c r="F26" i="109"/>
  <c r="F22" i="109"/>
  <c r="F28" i="109"/>
  <c r="F27" i="109"/>
  <c r="L12" i="109"/>
  <c r="F23" i="109"/>
  <c r="F41" i="109"/>
  <c r="F29" i="109"/>
  <c r="F31" i="109"/>
  <c r="F30" i="109"/>
  <c r="F18" i="109"/>
  <c r="F16" i="109"/>
  <c r="F14" i="109"/>
  <c r="T41" i="109"/>
  <c r="F24" i="109"/>
  <c r="N29" i="110"/>
  <c r="X55" i="108"/>
  <c r="Z55" i="108" s="1"/>
  <c r="Z61" i="108"/>
  <c r="X85" i="108"/>
  <c r="J39" i="109"/>
  <c r="J33" i="109"/>
  <c r="J25" i="109"/>
  <c r="J21" i="109"/>
  <c r="J26" i="109"/>
  <c r="J22" i="109"/>
  <c r="J27" i="109"/>
  <c r="J28" i="109"/>
  <c r="N12" i="109"/>
  <c r="J41" i="109"/>
  <c r="J23" i="109"/>
  <c r="J29" i="109"/>
  <c r="J30" i="109"/>
  <c r="J24" i="109"/>
  <c r="J20" i="109"/>
  <c r="J18" i="109"/>
  <c r="J16" i="109"/>
  <c r="J14" i="109"/>
  <c r="J37" i="109"/>
  <c r="J34" i="109"/>
  <c r="J31" i="109"/>
  <c r="J44" i="109"/>
  <c r="L43" i="108"/>
  <c r="N43" i="108" s="1"/>
  <c r="N57" i="108"/>
  <c r="X61" i="108"/>
  <c r="V22" i="109"/>
  <c r="V26" i="109"/>
  <c r="N15" i="110"/>
  <c r="V45" i="110"/>
  <c r="R21" i="109"/>
  <c r="R25" i="109"/>
  <c r="P33" i="109"/>
  <c r="X33" i="109" s="1"/>
  <c r="R44" i="109"/>
  <c r="V55" i="110"/>
  <c r="X70" i="110"/>
  <c r="Z70" i="110" s="1"/>
  <c r="P69" i="110"/>
  <c r="X69" i="110" s="1"/>
  <c r="N59" i="110"/>
  <c r="L13" i="110"/>
  <c r="N13" i="110" s="1"/>
  <c r="V25" i="110"/>
  <c r="V46" i="110"/>
  <c r="V75" i="110"/>
  <c r="P16" i="109"/>
  <c r="R20" i="109"/>
  <c r="R24" i="109"/>
  <c r="R35" i="109"/>
  <c r="X19" i="110"/>
  <c r="V38" i="110"/>
  <c r="V61" i="110"/>
  <c r="N64" i="110"/>
  <c r="L66" i="110"/>
  <c r="N66" i="110" s="1"/>
  <c r="R29" i="109"/>
  <c r="R30" i="109"/>
  <c r="R41" i="109"/>
  <c r="P12" i="110"/>
  <c r="X13" i="110"/>
  <c r="Z13" i="110" s="1"/>
  <c r="R19" i="109"/>
  <c r="Z19" i="110"/>
  <c r="X36" i="110"/>
  <c r="Z36" i="110" s="1"/>
  <c r="V14" i="109"/>
  <c r="V16" i="109"/>
  <c r="V18" i="109"/>
  <c r="R23" i="109"/>
  <c r="V30" i="109"/>
  <c r="V21" i="110"/>
  <c r="L29" i="110"/>
  <c r="V35" i="110"/>
  <c r="Z69" i="110"/>
  <c r="N71" i="110"/>
  <c r="X47" i="110"/>
  <c r="Z47" i="110" s="1"/>
  <c r="V57" i="110"/>
  <c r="V49" i="110"/>
  <c r="V37" i="110"/>
  <c r="V64" i="110"/>
  <c r="V56" i="110"/>
  <c r="V48" i="110"/>
  <c r="V40" i="110"/>
  <c r="V32" i="110"/>
  <c r="V63" i="110"/>
  <c r="V59" i="110"/>
  <c r="V51" i="110"/>
  <c r="V39" i="110"/>
  <c r="V27" i="110"/>
  <c r="V23" i="110"/>
  <c r="V66" i="110"/>
  <c r="V58" i="110"/>
  <c r="V50" i="110"/>
  <c r="V42" i="110"/>
  <c r="V71" i="110"/>
  <c r="V65" i="110"/>
  <c r="V53" i="110"/>
  <c r="V41" i="110"/>
  <c r="V33" i="110"/>
  <c r="V29" i="110"/>
  <c r="V70" i="110"/>
  <c r="V60" i="110"/>
  <c r="V52" i="110"/>
  <c r="V28" i="110"/>
  <c r="V24" i="110"/>
  <c r="V20" i="110"/>
  <c r="V69" i="110"/>
  <c r="V67" i="110"/>
  <c r="V43" i="110"/>
  <c r="V19" i="110"/>
  <c r="V17" i="110"/>
  <c r="V15" i="110"/>
  <c r="V54" i="110"/>
  <c r="V34" i="110"/>
  <c r="V30" i="110"/>
  <c r="V44" i="110"/>
  <c r="V36" i="110"/>
  <c r="V62" i="110"/>
  <c r="R22" i="109"/>
  <c r="R26" i="109"/>
  <c r="T17" i="110"/>
  <c r="N20" i="110"/>
  <c r="V31" i="110"/>
  <c r="Z45" i="110"/>
  <c r="V47" i="110"/>
  <c r="N51" i="110"/>
  <c r="N70" i="110"/>
  <c r="T105" i="64" l="1"/>
  <c r="X101" i="64"/>
  <c r="Z101" i="64" s="1"/>
  <c r="P105" i="64"/>
  <c r="T124" i="85"/>
  <c r="V82" i="73"/>
  <c r="V80" i="73"/>
  <c r="V86" i="73"/>
  <c r="V64" i="73"/>
  <c r="V56" i="73"/>
  <c r="V77" i="73"/>
  <c r="V73" i="73"/>
  <c r="V61" i="73"/>
  <c r="V53" i="73"/>
  <c r="V76" i="73"/>
  <c r="V60" i="73"/>
  <c r="V59" i="73"/>
  <c r="V40" i="73"/>
  <c r="V35" i="73"/>
  <c r="V31" i="73"/>
  <c r="V22" i="73"/>
  <c r="V70" i="73"/>
  <c r="V69" i="73"/>
  <c r="V65" i="73"/>
  <c r="V51" i="73"/>
  <c r="V50" i="73"/>
  <c r="V45" i="73"/>
  <c r="V44" i="73"/>
  <c r="V36" i="73"/>
  <c r="V32" i="73"/>
  <c r="V41" i="73"/>
  <c r="V23" i="73"/>
  <c r="V79" i="73"/>
  <c r="V78" i="73"/>
  <c r="V74" i="73"/>
  <c r="V38" i="73"/>
  <c r="V71" i="73"/>
  <c r="V37" i="73"/>
  <c r="V33" i="73"/>
  <c r="V29" i="73"/>
  <c r="V67" i="73"/>
  <c r="V66" i="73"/>
  <c r="V58" i="73"/>
  <c r="V57" i="73"/>
  <c r="V52" i="73"/>
  <c r="V47" i="73"/>
  <c r="V46" i="73"/>
  <c r="V28" i="73"/>
  <c r="V24" i="73"/>
  <c r="V62" i="73"/>
  <c r="V42" i="73"/>
  <c r="V39" i="73"/>
  <c r="T26" i="73"/>
  <c r="V75" i="73"/>
  <c r="V72" i="73"/>
  <c r="V34" i="73"/>
  <c r="V30" i="73"/>
  <c r="V68" i="73"/>
  <c r="V63" i="73"/>
  <c r="V54" i="73"/>
  <c r="V49" i="73"/>
  <c r="V48" i="73"/>
  <c r="V43" i="73"/>
  <c r="V55" i="73"/>
  <c r="J65" i="48"/>
  <c r="J59" i="48"/>
  <c r="J51" i="48"/>
  <c r="J41" i="48"/>
  <c r="J33" i="48"/>
  <c r="J66" i="48"/>
  <c r="J60" i="48"/>
  <c r="J52" i="48"/>
  <c r="J42" i="48"/>
  <c r="J28" i="48"/>
  <c r="J24" i="48"/>
  <c r="J71" i="48"/>
  <c r="J67" i="48"/>
  <c r="J53" i="48"/>
  <c r="J43" i="48"/>
  <c r="J29" i="48"/>
  <c r="J75" i="48"/>
  <c r="J69" i="48"/>
  <c r="J61" i="48"/>
  <c r="J25" i="48"/>
  <c r="J21" i="48"/>
  <c r="J19" i="48"/>
  <c r="J17" i="48"/>
  <c r="J15" i="48"/>
  <c r="J44" i="48"/>
  <c r="J62" i="48"/>
  <c r="J46" i="48"/>
  <c r="J36" i="48"/>
  <c r="J26" i="48"/>
  <c r="J22" i="48"/>
  <c r="J47" i="48"/>
  <c r="J37" i="48"/>
  <c r="J56" i="48"/>
  <c r="J48" i="48"/>
  <c r="J38" i="48"/>
  <c r="J32" i="48"/>
  <c r="J64" i="48"/>
  <c r="J58" i="48"/>
  <c r="J50" i="48"/>
  <c r="J40" i="48"/>
  <c r="J54" i="48"/>
  <c r="J45" i="48"/>
  <c r="H17" i="48"/>
  <c r="J31" i="48"/>
  <c r="J27" i="48"/>
  <c r="J70" i="48"/>
  <c r="J35" i="48"/>
  <c r="J63" i="48"/>
  <c r="J57" i="48"/>
  <c r="J39" i="48"/>
  <c r="J55" i="48"/>
  <c r="J30" i="48"/>
  <c r="J49" i="48"/>
  <c r="J34" i="48"/>
  <c r="J20" i="48"/>
  <c r="J23" i="48"/>
  <c r="N69" i="48"/>
  <c r="P37" i="109"/>
  <c r="X16" i="109"/>
  <c r="T87" i="108"/>
  <c r="P54" i="103"/>
  <c r="T85" i="102"/>
  <c r="R63" i="102"/>
  <c r="R62" i="102"/>
  <c r="R55" i="102"/>
  <c r="R54" i="102"/>
  <c r="R43" i="102"/>
  <c r="R42" i="102"/>
  <c r="R38" i="102"/>
  <c r="R19" i="102"/>
  <c r="R87" i="102"/>
  <c r="R73" i="102"/>
  <c r="R69" i="102"/>
  <c r="R64" i="102"/>
  <c r="R57" i="102"/>
  <c r="R56" i="102"/>
  <c r="R75" i="102"/>
  <c r="R74" i="102"/>
  <c r="R70" i="102"/>
  <c r="R58" i="102"/>
  <c r="R47" i="102"/>
  <c r="R46" i="102"/>
  <c r="R34" i="102"/>
  <c r="R30" i="102"/>
  <c r="R65" i="102"/>
  <c r="R26" i="102"/>
  <c r="R21" i="102"/>
  <c r="R77" i="102"/>
  <c r="R76" i="102"/>
  <c r="R49" i="102"/>
  <c r="R48" i="102"/>
  <c r="R71" i="102"/>
  <c r="R59" i="102"/>
  <c r="R79" i="102"/>
  <c r="R78" i="102"/>
  <c r="R67" i="102"/>
  <c r="R66" i="102"/>
  <c r="R51" i="102"/>
  <c r="R50" i="102"/>
  <c r="R82" i="102"/>
  <c r="R44" i="102"/>
  <c r="R68" i="102"/>
  <c r="R25" i="102"/>
  <c r="R20" i="102"/>
  <c r="R61" i="102"/>
  <c r="R39" i="102"/>
  <c r="R31" i="102"/>
  <c r="R45" i="102"/>
  <c r="R37" i="102"/>
  <c r="R29" i="102"/>
  <c r="R40" i="102"/>
  <c r="R32" i="102"/>
  <c r="R27" i="102"/>
  <c r="R72" i="102"/>
  <c r="R52" i="102"/>
  <c r="X12" i="102"/>
  <c r="Z12" i="102" s="1"/>
  <c r="R80" i="102"/>
  <c r="R60" i="102"/>
  <c r="R35" i="102"/>
  <c r="R23" i="102"/>
  <c r="R83" i="102"/>
  <c r="R53" i="102"/>
  <c r="R41" i="102"/>
  <c r="R36" i="102"/>
  <c r="R33" i="102"/>
  <c r="R28" i="102"/>
  <c r="P23" i="102"/>
  <c r="J36" i="99"/>
  <c r="N12" i="99"/>
  <c r="J48" i="99"/>
  <c r="J38" i="99"/>
  <c r="J32" i="99"/>
  <c r="J18" i="99"/>
  <c r="J49" i="99"/>
  <c r="J39" i="99"/>
  <c r="J33" i="99"/>
  <c r="J23" i="99"/>
  <c r="J40" i="99"/>
  <c r="J28" i="99"/>
  <c r="J24" i="99"/>
  <c r="J22" i="99"/>
  <c r="J20" i="99"/>
  <c r="J53" i="99"/>
  <c r="J51" i="99"/>
  <c r="J41" i="99"/>
  <c r="J42" i="99"/>
  <c r="J55" i="99"/>
  <c r="J43" i="99"/>
  <c r="J29" i="99"/>
  <c r="J25" i="99"/>
  <c r="J44" i="99"/>
  <c r="J46" i="99"/>
  <c r="J30" i="99"/>
  <c r="J26" i="99"/>
  <c r="J16" i="99"/>
  <c r="J37" i="99"/>
  <c r="J60" i="99"/>
  <c r="J57" i="99"/>
  <c r="J35" i="99"/>
  <c r="J45" i="99"/>
  <c r="J31" i="99"/>
  <c r="J27" i="99"/>
  <c r="H20" i="99"/>
  <c r="J47" i="99"/>
  <c r="J17" i="99"/>
  <c r="J34" i="99"/>
  <c r="F71" i="93"/>
  <c r="F76" i="93"/>
  <c r="F75" i="93"/>
  <c r="F63" i="93"/>
  <c r="F47" i="93"/>
  <c r="F46" i="93"/>
  <c r="F87" i="93"/>
  <c r="F72" i="93"/>
  <c r="F38" i="93"/>
  <c r="F34" i="93"/>
  <c r="F33" i="93"/>
  <c r="F78" i="93"/>
  <c r="F69" i="93"/>
  <c r="F65" i="93"/>
  <c r="F64" i="93"/>
  <c r="F57" i="93"/>
  <c r="F49" i="93"/>
  <c r="F48" i="93"/>
  <c r="F29" i="93"/>
  <c r="F25" i="93"/>
  <c r="F24" i="93"/>
  <c r="F23" i="93"/>
  <c r="F21" i="93"/>
  <c r="F80" i="93"/>
  <c r="F73" i="93"/>
  <c r="F59" i="93"/>
  <c r="F58" i="93"/>
  <c r="F51" i="93"/>
  <c r="F50" i="93"/>
  <c r="F39" i="93"/>
  <c r="F35" i="93"/>
  <c r="D21" i="93"/>
  <c r="F74" i="93"/>
  <c r="F70" i="93"/>
  <c r="F66" i="93"/>
  <c r="F30" i="93"/>
  <c r="F26" i="93"/>
  <c r="F61" i="93"/>
  <c r="F60" i="93"/>
  <c r="F53" i="93"/>
  <c r="F52" i="93"/>
  <c r="F41" i="93"/>
  <c r="F40" i="93"/>
  <c r="F82" i="93"/>
  <c r="F36" i="93"/>
  <c r="L12" i="93"/>
  <c r="N12" i="93" s="1"/>
  <c r="F67" i="93"/>
  <c r="F55" i="93"/>
  <c r="F54" i="93"/>
  <c r="F43" i="93"/>
  <c r="F42" i="93"/>
  <c r="F31" i="93"/>
  <c r="F27" i="93"/>
  <c r="F62" i="93"/>
  <c r="F18" i="93"/>
  <c r="F17" i="93"/>
  <c r="F84" i="93"/>
  <c r="F68" i="93"/>
  <c r="F56" i="93"/>
  <c r="F32" i="93"/>
  <c r="F28" i="93"/>
  <c r="F45" i="93"/>
  <c r="F19" i="93"/>
  <c r="F44" i="93"/>
  <c r="F37" i="93"/>
  <c r="P96" i="92"/>
  <c r="X16" i="92"/>
  <c r="P33" i="83"/>
  <c r="Z63" i="79"/>
  <c r="X20" i="80"/>
  <c r="P73" i="80"/>
  <c r="Z20" i="80"/>
  <c r="T73" i="80"/>
  <c r="J102" i="77"/>
  <c r="J92" i="77"/>
  <c r="J113" i="77"/>
  <c r="J107" i="77"/>
  <c r="J106" i="77"/>
  <c r="J74" i="77"/>
  <c r="J50" i="77"/>
  <c r="J46" i="77"/>
  <c r="J42" i="77"/>
  <c r="J105" i="77"/>
  <c r="J101" i="77"/>
  <c r="J91" i="77"/>
  <c r="J81" i="77"/>
  <c r="J71" i="77"/>
  <c r="J57" i="77"/>
  <c r="J96" i="77"/>
  <c r="J65" i="77"/>
  <c r="J62" i="77"/>
  <c r="J52" i="77"/>
  <c r="J49" i="77"/>
  <c r="J93" i="77"/>
  <c r="J89" i="77"/>
  <c r="J79" i="77"/>
  <c r="J70" i="77"/>
  <c r="J59" i="77"/>
  <c r="J100" i="77"/>
  <c r="J85" i="77"/>
  <c r="J103" i="77"/>
  <c r="J97" i="77"/>
  <c r="J90" i="77"/>
  <c r="J80" i="77"/>
  <c r="J75" i="77"/>
  <c r="J66" i="77"/>
  <c r="J47" i="77"/>
  <c r="J41" i="77"/>
  <c r="J38" i="77"/>
  <c r="J94" i="77"/>
  <c r="J86" i="77"/>
  <c r="J67" i="77"/>
  <c r="J63" i="77"/>
  <c r="H54" i="77"/>
  <c r="J54" i="77" s="1"/>
  <c r="J44" i="77"/>
  <c r="J60" i="77"/>
  <c r="J56" i="77"/>
  <c r="J76" i="77"/>
  <c r="J68" i="77"/>
  <c r="J39" i="77"/>
  <c r="J108" i="77"/>
  <c r="J98" i="77"/>
  <c r="J95" i="77"/>
  <c r="J82" i="77"/>
  <c r="J51" i="77"/>
  <c r="J109" i="77"/>
  <c r="J87" i="77"/>
  <c r="J83" i="77"/>
  <c r="J77" i="77"/>
  <c r="J64" i="77"/>
  <c r="J48" i="77"/>
  <c r="J45" i="77"/>
  <c r="J72" i="77"/>
  <c r="J61" i="77"/>
  <c r="J58" i="77"/>
  <c r="J99" i="77"/>
  <c r="J73" i="77"/>
  <c r="J43" i="77"/>
  <c r="J40" i="77"/>
  <c r="J69" i="77"/>
  <c r="J78" i="77"/>
  <c r="J84" i="77"/>
  <c r="J88" i="77"/>
  <c r="T94" i="74"/>
  <c r="X16" i="68"/>
  <c r="P61" i="68"/>
  <c r="D128" i="69"/>
  <c r="L76" i="69"/>
  <c r="X16" i="59"/>
  <c r="P65" i="59"/>
  <c r="H78" i="56"/>
  <c r="P76" i="57"/>
  <c r="T33" i="55"/>
  <c r="Z16" i="55"/>
  <c r="F100" i="51"/>
  <c r="F99" i="51"/>
  <c r="F113" i="51"/>
  <c r="F106" i="51"/>
  <c r="F98" i="51"/>
  <c r="F80" i="51"/>
  <c r="F79" i="51"/>
  <c r="F52" i="51"/>
  <c r="F48" i="51"/>
  <c r="F44" i="51"/>
  <c r="F40" i="51"/>
  <c r="F103" i="51"/>
  <c r="F91" i="51"/>
  <c r="F90" i="51"/>
  <c r="F71" i="51"/>
  <c r="F82" i="51"/>
  <c r="F81" i="51"/>
  <c r="F66" i="51"/>
  <c r="F62" i="51"/>
  <c r="F58" i="51"/>
  <c r="F57" i="51"/>
  <c r="F93" i="51"/>
  <c r="F92" i="51"/>
  <c r="F56" i="51"/>
  <c r="F49" i="51"/>
  <c r="F45" i="51"/>
  <c r="F41" i="51"/>
  <c r="F84" i="51"/>
  <c r="F83" i="51"/>
  <c r="F72" i="51"/>
  <c r="F68" i="51"/>
  <c r="F67" i="51"/>
  <c r="D54" i="51"/>
  <c r="F54" i="51" s="1"/>
  <c r="L12" i="51"/>
  <c r="N12" i="51" s="1"/>
  <c r="F105" i="51"/>
  <c r="F95" i="51"/>
  <c r="F94" i="51"/>
  <c r="F63" i="51"/>
  <c r="F59" i="51"/>
  <c r="F109" i="51"/>
  <c r="F108" i="51"/>
  <c r="F107" i="51"/>
  <c r="F74" i="51"/>
  <c r="F73" i="51"/>
  <c r="F50" i="51"/>
  <c r="F46" i="51"/>
  <c r="F85" i="51"/>
  <c r="F69" i="51"/>
  <c r="F101" i="51"/>
  <c r="F96" i="51"/>
  <c r="F76" i="51"/>
  <c r="F75" i="51"/>
  <c r="F64" i="51"/>
  <c r="F60" i="51"/>
  <c r="F102" i="51"/>
  <c r="F87" i="51"/>
  <c r="F86" i="51"/>
  <c r="F51" i="51"/>
  <c r="F47" i="51"/>
  <c r="F43" i="51"/>
  <c r="F39" i="51"/>
  <c r="F38" i="51"/>
  <c r="F89" i="51"/>
  <c r="F88" i="51"/>
  <c r="F65" i="51"/>
  <c r="F61" i="51"/>
  <c r="F42" i="51"/>
  <c r="F78" i="51"/>
  <c r="F77" i="51"/>
  <c r="F70" i="51"/>
  <c r="F97" i="51"/>
  <c r="P134" i="39"/>
  <c r="T94" i="45"/>
  <c r="L268" i="12"/>
  <c r="X308" i="3"/>
  <c r="Z308" i="3" s="1"/>
  <c r="T27" i="113"/>
  <c r="Z18" i="113"/>
  <c r="T27" i="111"/>
  <c r="Z18" i="111"/>
  <c r="H27" i="112"/>
  <c r="N18" i="112"/>
  <c r="L18" i="47"/>
  <c r="D27" i="47"/>
  <c r="L18" i="50"/>
  <c r="D27" i="50"/>
  <c r="X18" i="26"/>
  <c r="P27" i="26"/>
  <c r="X18" i="25"/>
  <c r="P27" i="25"/>
  <c r="T27" i="29"/>
  <c r="Z18" i="29"/>
  <c r="T27" i="14"/>
  <c r="Z18" i="14"/>
  <c r="L18" i="7"/>
  <c r="D27" i="7"/>
  <c r="D57" i="61"/>
  <c r="P73" i="58"/>
  <c r="X16" i="58"/>
  <c r="L18" i="19"/>
  <c r="D27" i="19"/>
  <c r="L18" i="22"/>
  <c r="D27" i="22"/>
  <c r="F66" i="108"/>
  <c r="F65" i="108"/>
  <c r="F58" i="108"/>
  <c r="F57" i="108"/>
  <c r="F46" i="108"/>
  <c r="F45" i="108"/>
  <c r="F38" i="108"/>
  <c r="F87" i="108"/>
  <c r="F85" i="108"/>
  <c r="F76" i="108"/>
  <c r="F72" i="108"/>
  <c r="F60" i="108"/>
  <c r="F59" i="108"/>
  <c r="F89" i="108"/>
  <c r="F67" i="108"/>
  <c r="F94" i="108"/>
  <c r="F91" i="108"/>
  <c r="F80" i="108"/>
  <c r="F79" i="108"/>
  <c r="F68" i="108"/>
  <c r="F52" i="108"/>
  <c r="F51" i="108"/>
  <c r="F40" i="108"/>
  <c r="F36" i="108"/>
  <c r="F82" i="108"/>
  <c r="F81" i="108"/>
  <c r="F74" i="108"/>
  <c r="F70" i="108"/>
  <c r="F69" i="108"/>
  <c r="F54" i="108"/>
  <c r="F53" i="108"/>
  <c r="F42" i="108"/>
  <c r="F41" i="108"/>
  <c r="F18" i="108"/>
  <c r="F17" i="108"/>
  <c r="F39" i="108"/>
  <c r="F31" i="108"/>
  <c r="F83" i="108"/>
  <c r="F43" i="108"/>
  <c r="F37" i="108"/>
  <c r="F26" i="108"/>
  <c r="F63" i="108"/>
  <c r="F47" i="108"/>
  <c r="F34" i="108"/>
  <c r="F29" i="108"/>
  <c r="F21" i="108"/>
  <c r="F55" i="108"/>
  <c r="D21" i="108"/>
  <c r="F61" i="108"/>
  <c r="F44" i="108"/>
  <c r="F35" i="108"/>
  <c r="F77" i="108"/>
  <c r="F48" i="108"/>
  <c r="F32" i="108"/>
  <c r="F27" i="108"/>
  <c r="F23" i="108"/>
  <c r="F56" i="108"/>
  <c r="F49" i="108"/>
  <c r="F25" i="108"/>
  <c r="F24" i="108"/>
  <c r="F75" i="108"/>
  <c r="F30" i="108"/>
  <c r="F73" i="108"/>
  <c r="F64" i="108"/>
  <c r="F62" i="108"/>
  <c r="F33" i="108"/>
  <c r="F19" i="108"/>
  <c r="F50" i="108"/>
  <c r="L12" i="108"/>
  <c r="N12" i="108" s="1"/>
  <c r="F28" i="108"/>
  <c r="F71" i="108"/>
  <c r="F78" i="108"/>
  <c r="N16" i="107"/>
  <c r="H24" i="107"/>
  <c r="R76" i="106"/>
  <c r="R75" i="106"/>
  <c r="R71" i="106"/>
  <c r="R39" i="106"/>
  <c r="R35" i="106"/>
  <c r="R67" i="106"/>
  <c r="R66" i="106"/>
  <c r="R51" i="106"/>
  <c r="R50" i="106"/>
  <c r="R30" i="106"/>
  <c r="R26" i="106"/>
  <c r="R78" i="106"/>
  <c r="R77" i="106"/>
  <c r="R61" i="106"/>
  <c r="R72" i="106"/>
  <c r="R68" i="106"/>
  <c r="R53" i="106"/>
  <c r="R52" i="106"/>
  <c r="R41" i="106"/>
  <c r="R40" i="106"/>
  <c r="R36" i="106"/>
  <c r="R17" i="106"/>
  <c r="X12" i="106"/>
  <c r="Z12" i="106" s="1"/>
  <c r="R80" i="106"/>
  <c r="R79" i="106"/>
  <c r="R31" i="106"/>
  <c r="R27" i="106"/>
  <c r="R63" i="106"/>
  <c r="R62" i="106"/>
  <c r="R55" i="106"/>
  <c r="R54" i="106"/>
  <c r="R43" i="106"/>
  <c r="R42" i="106"/>
  <c r="R18" i="106"/>
  <c r="R81" i="106"/>
  <c r="R73" i="106"/>
  <c r="R69" i="106"/>
  <c r="R37" i="106"/>
  <c r="R83" i="106"/>
  <c r="R64" i="106"/>
  <c r="R57" i="106"/>
  <c r="R56" i="106"/>
  <c r="R45" i="106"/>
  <c r="R44" i="106"/>
  <c r="R32" i="106"/>
  <c r="R28" i="106"/>
  <c r="R24" i="106"/>
  <c r="R19" i="106"/>
  <c r="R74" i="106"/>
  <c r="R70" i="106"/>
  <c r="R59" i="106"/>
  <c r="R58" i="106"/>
  <c r="R47" i="106"/>
  <c r="R46" i="106"/>
  <c r="R38" i="106"/>
  <c r="R23" i="106"/>
  <c r="R87" i="106"/>
  <c r="R65" i="106"/>
  <c r="R34" i="106"/>
  <c r="R33" i="106"/>
  <c r="R29" i="106"/>
  <c r="R25" i="106"/>
  <c r="P21" i="106"/>
  <c r="R48" i="106"/>
  <c r="R49" i="106"/>
  <c r="R60" i="106"/>
  <c r="J74" i="106"/>
  <c r="J70" i="106"/>
  <c r="J58" i="106"/>
  <c r="J46" i="106"/>
  <c r="J38" i="106"/>
  <c r="J24" i="106"/>
  <c r="J87" i="106"/>
  <c r="J65" i="106"/>
  <c r="J59" i="106"/>
  <c r="J47" i="106"/>
  <c r="J33" i="106"/>
  <c r="J29" i="106"/>
  <c r="J25" i="106"/>
  <c r="J23" i="106"/>
  <c r="J60" i="106"/>
  <c r="J48" i="106"/>
  <c r="J34" i="106"/>
  <c r="J75" i="106"/>
  <c r="J71" i="106"/>
  <c r="J49" i="106"/>
  <c r="J39" i="106"/>
  <c r="J35" i="106"/>
  <c r="J76" i="106"/>
  <c r="J66" i="106"/>
  <c r="J50" i="106"/>
  <c r="J30" i="106"/>
  <c r="J26" i="106"/>
  <c r="J77" i="106"/>
  <c r="J67" i="106"/>
  <c r="J61" i="106"/>
  <c r="J51" i="106"/>
  <c r="J78" i="106"/>
  <c r="J72" i="106"/>
  <c r="J68" i="106"/>
  <c r="J52" i="106"/>
  <c r="J40" i="106"/>
  <c r="J36" i="106"/>
  <c r="N12" i="106"/>
  <c r="J79" i="106"/>
  <c r="J53" i="106"/>
  <c r="J41" i="106"/>
  <c r="J31" i="106"/>
  <c r="J27" i="106"/>
  <c r="J17" i="106"/>
  <c r="J80" i="106"/>
  <c r="J62" i="106"/>
  <c r="J54" i="106"/>
  <c r="J42" i="106"/>
  <c r="J18" i="106"/>
  <c r="J81" i="106"/>
  <c r="J73" i="106"/>
  <c r="J69" i="106"/>
  <c r="J63" i="106"/>
  <c r="J55" i="106"/>
  <c r="J43" i="106"/>
  <c r="J37" i="106"/>
  <c r="J64" i="106"/>
  <c r="J56" i="106"/>
  <c r="J44" i="106"/>
  <c r="J32" i="106"/>
  <c r="J28" i="106"/>
  <c r="J57" i="106"/>
  <c r="J45" i="106"/>
  <c r="H21" i="106"/>
  <c r="J21" i="106" s="1"/>
  <c r="J83" i="106"/>
  <c r="J19" i="106"/>
  <c r="V37" i="105"/>
  <c r="V40" i="105"/>
  <c r="V42" i="105"/>
  <c r="V30" i="105"/>
  <c r="V49" i="105"/>
  <c r="V41" i="105"/>
  <c r="V48" i="105"/>
  <c r="V44" i="105"/>
  <c r="V32" i="105"/>
  <c r="V43" i="105"/>
  <c r="V52" i="105"/>
  <c r="V50" i="105"/>
  <c r="V38" i="105"/>
  <c r="V35" i="105"/>
  <c r="V29" i="105"/>
  <c r="V25" i="105"/>
  <c r="V36" i="105"/>
  <c r="V33" i="105"/>
  <c r="V26" i="105"/>
  <c r="V17" i="105"/>
  <c r="V46" i="105"/>
  <c r="V39" i="105"/>
  <c r="V56" i="105"/>
  <c r="V34" i="105"/>
  <c r="V18" i="105"/>
  <c r="V27" i="105"/>
  <c r="V28" i="105"/>
  <c r="V45" i="105"/>
  <c r="V31" i="105"/>
  <c r="V24" i="105"/>
  <c r="V23" i="105"/>
  <c r="V19" i="105"/>
  <c r="V47" i="105"/>
  <c r="T21" i="105"/>
  <c r="J69" i="95"/>
  <c r="J65" i="95"/>
  <c r="J57" i="95"/>
  <c r="J47" i="95"/>
  <c r="J37" i="95"/>
  <c r="J33" i="95"/>
  <c r="J23" i="95"/>
  <c r="J70" i="95"/>
  <c r="J58" i="95"/>
  <c r="J48" i="95"/>
  <c r="J28" i="95"/>
  <c r="J24" i="95"/>
  <c r="J22" i="95"/>
  <c r="J71" i="95"/>
  <c r="J59" i="95"/>
  <c r="J49" i="95"/>
  <c r="J72" i="95"/>
  <c r="J66" i="95"/>
  <c r="J60" i="95"/>
  <c r="J50" i="95"/>
  <c r="J73" i="95"/>
  <c r="J61" i="95"/>
  <c r="J51" i="95"/>
  <c r="J39" i="95"/>
  <c r="J29" i="95"/>
  <c r="J25" i="95"/>
  <c r="J62" i="95"/>
  <c r="J52" i="95"/>
  <c r="J40" i="95"/>
  <c r="J75" i="95"/>
  <c r="J67" i="95"/>
  <c r="J63" i="95"/>
  <c r="J53" i="95"/>
  <c r="J41" i="95"/>
  <c r="J35" i="95"/>
  <c r="J54" i="95"/>
  <c r="J42" i="95"/>
  <c r="J30" i="95"/>
  <c r="J26" i="95"/>
  <c r="J16" i="95"/>
  <c r="J79" i="95"/>
  <c r="J43" i="95"/>
  <c r="J68" i="95"/>
  <c r="J64" i="95"/>
  <c r="J44" i="95"/>
  <c r="J36" i="95"/>
  <c r="J56" i="95"/>
  <c r="J46" i="95"/>
  <c r="J32" i="95"/>
  <c r="J18" i="95"/>
  <c r="J27" i="95"/>
  <c r="J45" i="95"/>
  <c r="J34" i="95"/>
  <c r="J38" i="95"/>
  <c r="J17" i="95"/>
  <c r="J31" i="95"/>
  <c r="H20" i="95"/>
  <c r="J55" i="95"/>
  <c r="H96" i="92"/>
  <c r="N16" i="92"/>
  <c r="T77" i="89"/>
  <c r="V84" i="88"/>
  <c r="V82" i="88"/>
  <c r="V62" i="88"/>
  <c r="V54" i="88"/>
  <c r="V30" i="88"/>
  <c r="V26" i="88"/>
  <c r="V73" i="88"/>
  <c r="V69" i="88"/>
  <c r="V45" i="88"/>
  <c r="V17" i="88"/>
  <c r="V64" i="88"/>
  <c r="V56" i="88"/>
  <c r="V36" i="88"/>
  <c r="V32" i="88"/>
  <c r="V75" i="88"/>
  <c r="V63" i="88"/>
  <c r="V47" i="88"/>
  <c r="V31" i="88"/>
  <c r="V27" i="88"/>
  <c r="V23" i="88"/>
  <c r="V88" i="88"/>
  <c r="V74" i="88"/>
  <c r="V70" i="88"/>
  <c r="V58" i="88"/>
  <c r="V46" i="88"/>
  <c r="V38" i="88"/>
  <c r="V22" i="88"/>
  <c r="V18" i="88"/>
  <c r="V77" i="88"/>
  <c r="V65" i="88"/>
  <c r="V57" i="88"/>
  <c r="V49" i="88"/>
  <c r="V37" i="88"/>
  <c r="V33" i="88"/>
  <c r="T20" i="88"/>
  <c r="V20" i="88" s="1"/>
  <c r="V76" i="88"/>
  <c r="V60" i="88"/>
  <c r="V48" i="88"/>
  <c r="V40" i="88"/>
  <c r="V28" i="88"/>
  <c r="V79" i="88"/>
  <c r="V71" i="88"/>
  <c r="V67" i="88"/>
  <c r="V59" i="88"/>
  <c r="V51" i="88"/>
  <c r="V39" i="88"/>
  <c r="V78" i="88"/>
  <c r="V66" i="88"/>
  <c r="V50" i="88"/>
  <c r="V42" i="88"/>
  <c r="V34" i="88"/>
  <c r="V81" i="88"/>
  <c r="V61" i="88"/>
  <c r="V53" i="88"/>
  <c r="V41" i="88"/>
  <c r="V29" i="88"/>
  <c r="V25" i="88"/>
  <c r="V55" i="88"/>
  <c r="V43" i="88"/>
  <c r="V35" i="88"/>
  <c r="V68" i="88"/>
  <c r="V16" i="88"/>
  <c r="V80" i="88"/>
  <c r="V44" i="88"/>
  <c r="V72" i="88"/>
  <c r="X12" i="88"/>
  <c r="Z12" i="88" s="1"/>
  <c r="V52" i="88"/>
  <c r="V24" i="88"/>
  <c r="D124" i="85"/>
  <c r="J120" i="85"/>
  <c r="J88" i="85"/>
  <c r="J126" i="85"/>
  <c r="J112" i="85"/>
  <c r="J108" i="85"/>
  <c r="J92" i="85"/>
  <c r="J80" i="85"/>
  <c r="J72" i="85"/>
  <c r="J113" i="85"/>
  <c r="J119" i="85"/>
  <c r="J105" i="85"/>
  <c r="J87" i="85"/>
  <c r="J75" i="85"/>
  <c r="J69" i="85"/>
  <c r="J65" i="85"/>
  <c r="J111" i="85"/>
  <c r="J90" i="85"/>
  <c r="J85" i="85"/>
  <c r="J74" i="85"/>
  <c r="J61" i="85"/>
  <c r="J122" i="85"/>
  <c r="J118" i="85"/>
  <c r="J99" i="85"/>
  <c r="J95" i="85"/>
  <c r="J60" i="85"/>
  <c r="H58" i="85"/>
  <c r="J50" i="85"/>
  <c r="J46" i="85"/>
  <c r="J42" i="85"/>
  <c r="J115" i="85"/>
  <c r="J109" i="85"/>
  <c r="J106" i="85"/>
  <c r="J86" i="85"/>
  <c r="J81" i="85"/>
  <c r="J68" i="85"/>
  <c r="J62" i="85"/>
  <c r="J54" i="85"/>
  <c r="J100" i="85"/>
  <c r="J91" i="85"/>
  <c r="J38" i="85"/>
  <c r="J103" i="85"/>
  <c r="J96" i="85"/>
  <c r="J51" i="85"/>
  <c r="J47" i="85"/>
  <c r="J43" i="85"/>
  <c r="J39" i="85"/>
  <c r="J82" i="85"/>
  <c r="J76" i="85"/>
  <c r="J116" i="85"/>
  <c r="J107" i="85"/>
  <c r="J101" i="85"/>
  <c r="J77" i="85"/>
  <c r="J66" i="85"/>
  <c r="J63" i="85"/>
  <c r="J55" i="85"/>
  <c r="J104" i="85"/>
  <c r="J97" i="85"/>
  <c r="J83" i="85"/>
  <c r="J73" i="85"/>
  <c r="J52" i="85"/>
  <c r="J48" i="85"/>
  <c r="J44" i="85"/>
  <c r="J40" i="85"/>
  <c r="J110" i="85"/>
  <c r="J93" i="85"/>
  <c r="J78" i="85"/>
  <c r="J70" i="85"/>
  <c r="J98" i="85"/>
  <c r="J89" i="85"/>
  <c r="J84" i="85"/>
  <c r="J56" i="85"/>
  <c r="J114" i="85"/>
  <c r="J102" i="85"/>
  <c r="J94" i="85"/>
  <c r="J71" i="85"/>
  <c r="J53" i="85"/>
  <c r="N12" i="85"/>
  <c r="J67" i="85"/>
  <c r="J117" i="85"/>
  <c r="J64" i="85"/>
  <c r="J45" i="85"/>
  <c r="J79" i="85"/>
  <c r="J49" i="85"/>
  <c r="J41" i="85"/>
  <c r="F63" i="79"/>
  <c r="F54" i="79"/>
  <c r="F53" i="79"/>
  <c r="F29" i="79"/>
  <c r="F22" i="79"/>
  <c r="F45" i="79"/>
  <c r="F41" i="79"/>
  <c r="D27" i="79"/>
  <c r="F56" i="79"/>
  <c r="F55" i="79"/>
  <c r="F36" i="79"/>
  <c r="F47" i="79"/>
  <c r="F46" i="79"/>
  <c r="F23" i="79"/>
  <c r="F58" i="79"/>
  <c r="F57" i="79"/>
  <c r="F42" i="79"/>
  <c r="F49" i="79"/>
  <c r="F48" i="79"/>
  <c r="F37" i="79"/>
  <c r="F33" i="79"/>
  <c r="F68" i="79"/>
  <c r="F59" i="79"/>
  <c r="F51" i="79"/>
  <c r="F50" i="79"/>
  <c r="F43" i="79"/>
  <c r="F72" i="79"/>
  <c r="F67" i="79"/>
  <c r="F38" i="79"/>
  <c r="F34" i="79"/>
  <c r="F66" i="79"/>
  <c r="F61" i="79"/>
  <c r="F60" i="79"/>
  <c r="F25" i="79"/>
  <c r="F21" i="79"/>
  <c r="F20" i="79"/>
  <c r="F64" i="79"/>
  <c r="F35" i="79"/>
  <c r="F31" i="79"/>
  <c r="F30" i="79"/>
  <c r="F39" i="79"/>
  <c r="F65" i="79"/>
  <c r="F52" i="79"/>
  <c r="L12" i="79"/>
  <c r="F40" i="79"/>
  <c r="F24" i="79"/>
  <c r="F32" i="79"/>
  <c r="F44" i="79"/>
  <c r="J69" i="76"/>
  <c r="J63" i="76"/>
  <c r="J53" i="76"/>
  <c r="J74" i="76"/>
  <c r="J60" i="76"/>
  <c r="J48" i="76"/>
  <c r="J66" i="76"/>
  <c r="J51" i="76"/>
  <c r="J57" i="76"/>
  <c r="J46" i="76"/>
  <c r="J52" i="76"/>
  <c r="J41" i="76"/>
  <c r="J37" i="76"/>
  <c r="J62" i="76"/>
  <c r="J77" i="76"/>
  <c r="J76" i="76"/>
  <c r="J58" i="76"/>
  <c r="J70" i="76"/>
  <c r="J67" i="76"/>
  <c r="J47" i="76"/>
  <c r="J42" i="76"/>
  <c r="J38" i="76"/>
  <c r="J59" i="76"/>
  <c r="J54" i="76"/>
  <c r="J43" i="76"/>
  <c r="J71" i="76"/>
  <c r="J64" i="76"/>
  <c r="J44" i="76"/>
  <c r="J34" i="76"/>
  <c r="J39" i="76"/>
  <c r="J35" i="76"/>
  <c r="J33" i="76"/>
  <c r="J29" i="76"/>
  <c r="J72" i="76"/>
  <c r="J68" i="76"/>
  <c r="J65" i="76"/>
  <c r="J55" i="76"/>
  <c r="J49" i="76"/>
  <c r="H31" i="76"/>
  <c r="J61" i="76"/>
  <c r="J56" i="76"/>
  <c r="J40" i="76"/>
  <c r="J36" i="76"/>
  <c r="J81" i="76"/>
  <c r="J45" i="76"/>
  <c r="J73" i="76"/>
  <c r="J50" i="76"/>
  <c r="R92" i="74"/>
  <c r="R73" i="74"/>
  <c r="R61" i="74"/>
  <c r="R57" i="74"/>
  <c r="R83" i="74"/>
  <c r="R96" i="74"/>
  <c r="R49" i="74"/>
  <c r="R45" i="74"/>
  <c r="R41" i="74"/>
  <c r="R37" i="74"/>
  <c r="R85" i="74"/>
  <c r="R84" i="74"/>
  <c r="R77" i="74"/>
  <c r="R76" i="74"/>
  <c r="R68" i="74"/>
  <c r="R87" i="74"/>
  <c r="R86" i="74"/>
  <c r="R79" i="74"/>
  <c r="R78" i="74"/>
  <c r="R55" i="74"/>
  <c r="R50" i="74"/>
  <c r="R46" i="74"/>
  <c r="R42" i="74"/>
  <c r="R38" i="74"/>
  <c r="R70" i="74"/>
  <c r="R89" i="74"/>
  <c r="R88" i="74"/>
  <c r="R81" i="74"/>
  <c r="R80" i="74"/>
  <c r="R65" i="74"/>
  <c r="R64" i="74"/>
  <c r="R60" i="74"/>
  <c r="R56" i="74"/>
  <c r="P52" i="74"/>
  <c r="R52" i="74" s="1"/>
  <c r="R90" i="74"/>
  <c r="R82" i="74"/>
  <c r="R66" i="74"/>
  <c r="R35" i="74"/>
  <c r="R47" i="74"/>
  <c r="R62" i="74"/>
  <c r="R58" i="74"/>
  <c r="R43" i="74"/>
  <c r="R36" i="74"/>
  <c r="R71" i="74"/>
  <c r="R75" i="74"/>
  <c r="R67" i="74"/>
  <c r="R69" i="74"/>
  <c r="R54" i="74"/>
  <c r="R39" i="74"/>
  <c r="R63" i="74"/>
  <c r="R48" i="74"/>
  <c r="R59" i="74"/>
  <c r="R44" i="74"/>
  <c r="R72" i="74"/>
  <c r="R74" i="74"/>
  <c r="R40" i="74"/>
  <c r="X12" i="74"/>
  <c r="Z12" i="74" s="1"/>
  <c r="F116" i="71"/>
  <c r="F107" i="71"/>
  <c r="F95" i="71"/>
  <c r="F94" i="71"/>
  <c r="F59" i="71"/>
  <c r="F55" i="71"/>
  <c r="F51" i="71"/>
  <c r="F47" i="71"/>
  <c r="F102" i="71"/>
  <c r="F86" i="71"/>
  <c r="F85" i="71"/>
  <c r="F78" i="71"/>
  <c r="F109" i="71"/>
  <c r="F108" i="71"/>
  <c r="F97" i="71"/>
  <c r="F96" i="71"/>
  <c r="F73" i="71"/>
  <c r="F69" i="71"/>
  <c r="F65" i="71"/>
  <c r="F64" i="71"/>
  <c r="F104" i="71"/>
  <c r="F103" i="71"/>
  <c r="F88" i="71"/>
  <c r="F87" i="71"/>
  <c r="F63" i="71"/>
  <c r="F61" i="71"/>
  <c r="F56" i="71"/>
  <c r="F52" i="71"/>
  <c r="F48" i="71"/>
  <c r="F44" i="71"/>
  <c r="F43" i="71"/>
  <c r="F79" i="71"/>
  <c r="F75" i="71"/>
  <c r="F74" i="71"/>
  <c r="D61" i="71"/>
  <c r="F110" i="71"/>
  <c r="F98" i="71"/>
  <c r="F90" i="71"/>
  <c r="F89" i="71"/>
  <c r="F70" i="71"/>
  <c r="F66" i="71"/>
  <c r="F105" i="71"/>
  <c r="F81" i="71"/>
  <c r="F80" i="71"/>
  <c r="F112" i="71"/>
  <c r="F111" i="71"/>
  <c r="F76" i="71"/>
  <c r="L12" i="71"/>
  <c r="F99" i="71"/>
  <c r="F91" i="71"/>
  <c r="F83" i="71"/>
  <c r="F82" i="71"/>
  <c r="F71" i="71"/>
  <c r="F67" i="71"/>
  <c r="F119" i="71"/>
  <c r="F114" i="71"/>
  <c r="F113" i="71"/>
  <c r="F106" i="71"/>
  <c r="F58" i="71"/>
  <c r="F54" i="71"/>
  <c r="F50" i="71"/>
  <c r="F46" i="71"/>
  <c r="F117" i="71"/>
  <c r="F84" i="71"/>
  <c r="F72" i="71"/>
  <c r="F68" i="71"/>
  <c r="F93" i="71"/>
  <c r="F53" i="71"/>
  <c r="F123" i="71"/>
  <c r="F100" i="71"/>
  <c r="F45" i="71"/>
  <c r="F118" i="71"/>
  <c r="F101" i="71"/>
  <c r="F57" i="71"/>
  <c r="F77" i="71"/>
  <c r="F49" i="71"/>
  <c r="F92" i="71"/>
  <c r="H84" i="73"/>
  <c r="J88" i="74"/>
  <c r="J80" i="74"/>
  <c r="J70" i="74"/>
  <c r="J64" i="74"/>
  <c r="J60" i="74"/>
  <c r="J56" i="74"/>
  <c r="J54" i="74"/>
  <c r="J89" i="74"/>
  <c r="J81" i="74"/>
  <c r="J71" i="74"/>
  <c r="J65" i="74"/>
  <c r="J90" i="74"/>
  <c r="J82" i="74"/>
  <c r="J72" i="74"/>
  <c r="J92" i="74"/>
  <c r="J48" i="74"/>
  <c r="J44" i="74"/>
  <c r="J40" i="74"/>
  <c r="J36" i="74"/>
  <c r="J83" i="74"/>
  <c r="J67" i="74"/>
  <c r="J75" i="74"/>
  <c r="J49" i="74"/>
  <c r="J45" i="74"/>
  <c r="J41" i="74"/>
  <c r="J37" i="74"/>
  <c r="J84" i="74"/>
  <c r="J76" i="74"/>
  <c r="J85" i="74"/>
  <c r="J77" i="74"/>
  <c r="J63" i="74"/>
  <c r="J59" i="74"/>
  <c r="J87" i="74"/>
  <c r="J79" i="74"/>
  <c r="J69" i="74"/>
  <c r="J55" i="74"/>
  <c r="J68" i="74"/>
  <c r="J42" i="74"/>
  <c r="J74" i="74"/>
  <c r="J66" i="74"/>
  <c r="J35" i="74"/>
  <c r="J96" i="74"/>
  <c r="H52" i="74"/>
  <c r="J47" i="74"/>
  <c r="J78" i="74"/>
  <c r="J62" i="74"/>
  <c r="J38" i="74"/>
  <c r="J58" i="74"/>
  <c r="J73" i="74"/>
  <c r="J43" i="74"/>
  <c r="J86" i="74"/>
  <c r="J39" i="74"/>
  <c r="J61" i="74"/>
  <c r="J57" i="74"/>
  <c r="J50" i="74"/>
  <c r="J46" i="74"/>
  <c r="L16" i="58"/>
  <c r="D73" i="58"/>
  <c r="X120" i="42"/>
  <c r="V118" i="36"/>
  <c r="V110" i="36"/>
  <c r="V106" i="36"/>
  <c r="V102" i="36"/>
  <c r="V90" i="36"/>
  <c r="V82" i="36"/>
  <c r="V62" i="36"/>
  <c r="V54" i="36"/>
  <c r="V42" i="36"/>
  <c r="V38" i="36"/>
  <c r="V34" i="36"/>
  <c r="V101" i="36"/>
  <c r="V89" i="36"/>
  <c r="V85" i="36"/>
  <c r="V73" i="36"/>
  <c r="V61" i="36"/>
  <c r="V53" i="36"/>
  <c r="V33" i="36"/>
  <c r="V31" i="36"/>
  <c r="V29" i="36"/>
  <c r="V126" i="36"/>
  <c r="V120" i="36"/>
  <c r="V112" i="36"/>
  <c r="V96" i="36"/>
  <c r="V84" i="36"/>
  <c r="V64" i="36"/>
  <c r="V56" i="36"/>
  <c r="V48" i="36"/>
  <c r="V44" i="36"/>
  <c r="V125" i="36"/>
  <c r="V119" i="36"/>
  <c r="V111" i="36"/>
  <c r="V107" i="36"/>
  <c r="V103" i="36"/>
  <c r="V91" i="36"/>
  <c r="V75" i="36"/>
  <c r="V63" i="36"/>
  <c r="V55" i="36"/>
  <c r="V43" i="36"/>
  <c r="V39" i="36"/>
  <c r="V35" i="36"/>
  <c r="V124" i="36"/>
  <c r="V114" i="36"/>
  <c r="V86" i="36"/>
  <c r="V74" i="36"/>
  <c r="V66" i="36"/>
  <c r="V58" i="36"/>
  <c r="V123" i="36"/>
  <c r="V121" i="36"/>
  <c r="V113" i="36"/>
  <c r="V97" i="36"/>
  <c r="V93" i="36"/>
  <c r="V77" i="36"/>
  <c r="V65" i="36"/>
  <c r="V57" i="36"/>
  <c r="V49" i="36"/>
  <c r="V45" i="36"/>
  <c r="V130" i="36"/>
  <c r="V116" i="36"/>
  <c r="V108" i="36"/>
  <c r="V104" i="36"/>
  <c r="V92" i="36"/>
  <c r="V115" i="36"/>
  <c r="V99" i="36"/>
  <c r="V87" i="36"/>
  <c r="V79" i="36"/>
  <c r="V67" i="36"/>
  <c r="V59" i="36"/>
  <c r="V27" i="36"/>
  <c r="V98" i="36"/>
  <c r="V94" i="36"/>
  <c r="V78" i="36"/>
  <c r="V70" i="36"/>
  <c r="V50" i="36"/>
  <c r="V46" i="36"/>
  <c r="V117" i="36"/>
  <c r="V109" i="36"/>
  <c r="V105" i="36"/>
  <c r="V81" i="36"/>
  <c r="V69" i="36"/>
  <c r="V41" i="36"/>
  <c r="V37" i="36"/>
  <c r="V95" i="36"/>
  <c r="V83" i="36"/>
  <c r="V71" i="36"/>
  <c r="V51" i="36"/>
  <c r="V47" i="36"/>
  <c r="V68" i="36"/>
  <c r="V76" i="36"/>
  <c r="V52" i="36"/>
  <c r="V88" i="36"/>
  <c r="V80" i="36"/>
  <c r="V60" i="36"/>
  <c r="V40" i="36"/>
  <c r="V100" i="36"/>
  <c r="T31" i="36"/>
  <c r="V28" i="36"/>
  <c r="V36" i="36"/>
  <c r="V72" i="36"/>
  <c r="R95" i="36"/>
  <c r="R72" i="36"/>
  <c r="R71" i="36"/>
  <c r="R52" i="36"/>
  <c r="R51" i="36"/>
  <c r="R47" i="36"/>
  <c r="R118" i="36"/>
  <c r="R110" i="36"/>
  <c r="R106" i="36"/>
  <c r="R83" i="36"/>
  <c r="R82" i="36"/>
  <c r="R42" i="36"/>
  <c r="R38" i="36"/>
  <c r="R102" i="36"/>
  <c r="R101" i="36"/>
  <c r="R90" i="36"/>
  <c r="R89" i="36"/>
  <c r="R73" i="36"/>
  <c r="R62" i="36"/>
  <c r="R61" i="36"/>
  <c r="R54" i="36"/>
  <c r="R53" i="36"/>
  <c r="R34" i="36"/>
  <c r="R96" i="36"/>
  <c r="R85" i="36"/>
  <c r="R84" i="36"/>
  <c r="R48" i="36"/>
  <c r="R33" i="36"/>
  <c r="X12" i="36"/>
  <c r="Z12" i="36" s="1"/>
  <c r="R126" i="36"/>
  <c r="R120" i="36"/>
  <c r="R119" i="36"/>
  <c r="R112" i="36"/>
  <c r="R111" i="36"/>
  <c r="R107" i="36"/>
  <c r="R103" i="36"/>
  <c r="R91" i="36"/>
  <c r="R64" i="36"/>
  <c r="R63" i="36"/>
  <c r="R56" i="36"/>
  <c r="R55" i="36"/>
  <c r="R44" i="36"/>
  <c r="R43" i="36"/>
  <c r="R39" i="36"/>
  <c r="R35" i="36"/>
  <c r="P31" i="36"/>
  <c r="R31" i="36" s="1"/>
  <c r="R125" i="36"/>
  <c r="R86" i="36"/>
  <c r="R75" i="36"/>
  <c r="R74" i="36"/>
  <c r="R124" i="36"/>
  <c r="R121" i="36"/>
  <c r="R114" i="36"/>
  <c r="R113" i="36"/>
  <c r="R97" i="36"/>
  <c r="R130" i="36"/>
  <c r="R123" i="36"/>
  <c r="R108" i="36"/>
  <c r="R104" i="36"/>
  <c r="R93" i="36"/>
  <c r="R92" i="36"/>
  <c r="R77" i="36"/>
  <c r="R76" i="36"/>
  <c r="R40" i="36"/>
  <c r="R36" i="36"/>
  <c r="R116" i="36"/>
  <c r="R115" i="36"/>
  <c r="R87" i="36"/>
  <c r="R68" i="36"/>
  <c r="R67" i="36"/>
  <c r="R59" i="36"/>
  <c r="R99" i="36"/>
  <c r="R98" i="36"/>
  <c r="R94" i="36"/>
  <c r="R79" i="36"/>
  <c r="R78" i="36"/>
  <c r="R50" i="36"/>
  <c r="R46" i="36"/>
  <c r="R27" i="36"/>
  <c r="R100" i="36"/>
  <c r="R88" i="36"/>
  <c r="R81" i="36"/>
  <c r="R80" i="36"/>
  <c r="R60" i="36"/>
  <c r="R28" i="36"/>
  <c r="R109" i="36"/>
  <c r="R70" i="36"/>
  <c r="R66" i="36"/>
  <c r="R41" i="36"/>
  <c r="R29" i="36"/>
  <c r="R58" i="36"/>
  <c r="R45" i="36"/>
  <c r="R117" i="36"/>
  <c r="R105" i="36"/>
  <c r="R37" i="36"/>
  <c r="R69" i="36"/>
  <c r="R65" i="36"/>
  <c r="R49" i="36"/>
  <c r="R57" i="36"/>
  <c r="N92" i="33"/>
  <c r="F141" i="30"/>
  <c r="F140" i="30"/>
  <c r="F129" i="30"/>
  <c r="F128" i="30"/>
  <c r="F105" i="30"/>
  <c r="F104" i="30"/>
  <c r="F69" i="30"/>
  <c r="F65" i="30"/>
  <c r="F61" i="30"/>
  <c r="F57" i="30"/>
  <c r="F53" i="30"/>
  <c r="F49" i="30"/>
  <c r="F116" i="30"/>
  <c r="F115" i="30"/>
  <c r="F96" i="30"/>
  <c r="F95" i="30"/>
  <c r="F88" i="30"/>
  <c r="L12" i="30"/>
  <c r="N12" i="30" s="1"/>
  <c r="F143" i="30"/>
  <c r="F142" i="30"/>
  <c r="F135" i="30"/>
  <c r="F123" i="30"/>
  <c r="F83" i="30"/>
  <c r="F79" i="30"/>
  <c r="F130" i="30"/>
  <c r="F118" i="30"/>
  <c r="F117" i="30"/>
  <c r="F106" i="30"/>
  <c r="F98" i="30"/>
  <c r="F97" i="30"/>
  <c r="F70" i="30"/>
  <c r="F66" i="30"/>
  <c r="F62" i="30"/>
  <c r="F58" i="30"/>
  <c r="F54" i="30"/>
  <c r="F50" i="30"/>
  <c r="F125" i="30"/>
  <c r="F124" i="30"/>
  <c r="F89" i="30"/>
  <c r="F85" i="30"/>
  <c r="F84" i="30"/>
  <c r="F144" i="30"/>
  <c r="F136" i="30"/>
  <c r="F132" i="30"/>
  <c r="F131" i="30"/>
  <c r="F108" i="30"/>
  <c r="F107" i="30"/>
  <c r="F80" i="30"/>
  <c r="F76" i="30"/>
  <c r="F75" i="30"/>
  <c r="F146" i="30"/>
  <c r="F145" i="30"/>
  <c r="F126" i="30"/>
  <c r="F110" i="30"/>
  <c r="F109" i="30"/>
  <c r="F90" i="30"/>
  <c r="F86" i="30"/>
  <c r="D72" i="30"/>
  <c r="F72" i="30" s="1"/>
  <c r="F137" i="30"/>
  <c r="F133" i="30"/>
  <c r="F101" i="30"/>
  <c r="F100" i="30"/>
  <c r="F81" i="30"/>
  <c r="F77" i="30"/>
  <c r="F149" i="30"/>
  <c r="F120" i="30"/>
  <c r="F112" i="30"/>
  <c r="F111" i="30"/>
  <c r="F92" i="30"/>
  <c r="F91" i="30"/>
  <c r="F68" i="30"/>
  <c r="F64" i="30"/>
  <c r="F60" i="30"/>
  <c r="F56" i="30"/>
  <c r="F52" i="30"/>
  <c r="F48" i="30"/>
  <c r="F134" i="30"/>
  <c r="F122" i="30"/>
  <c r="F121" i="30"/>
  <c r="F114" i="30"/>
  <c r="F113" i="30"/>
  <c r="F94" i="30"/>
  <c r="F93" i="30"/>
  <c r="F82" i="30"/>
  <c r="F78" i="30"/>
  <c r="F102" i="30"/>
  <c r="F148" i="30"/>
  <c r="F139" i="30"/>
  <c r="F153" i="30"/>
  <c r="F46" i="30"/>
  <c r="F74" i="30"/>
  <c r="F99" i="30"/>
  <c r="F63" i="30"/>
  <c r="F55" i="30"/>
  <c r="F103" i="30"/>
  <c r="F47" i="30"/>
  <c r="F138" i="30"/>
  <c r="F127" i="30"/>
  <c r="F87" i="30"/>
  <c r="F119" i="30"/>
  <c r="F67" i="30"/>
  <c r="F59" i="30"/>
  <c r="F51" i="30"/>
  <c r="X268" i="12"/>
  <c r="X18" i="113"/>
  <c r="P27" i="113"/>
  <c r="H27" i="53"/>
  <c r="N18" i="53"/>
  <c r="X18" i="46"/>
  <c r="P27" i="46"/>
  <c r="H27" i="49"/>
  <c r="N18" i="49"/>
  <c r="L18" i="38"/>
  <c r="D27" i="38"/>
  <c r="H27" i="29"/>
  <c r="N18" i="29"/>
  <c r="L18" i="25"/>
  <c r="D27" i="25"/>
  <c r="T27" i="16"/>
  <c r="Z18" i="16"/>
  <c r="H27" i="17"/>
  <c r="N18" i="17"/>
  <c r="T27" i="13"/>
  <c r="Z18" i="13"/>
  <c r="X18" i="11"/>
  <c r="P27" i="11"/>
  <c r="T27" i="5"/>
  <c r="Z18" i="5"/>
  <c r="H27" i="8"/>
  <c r="N18" i="8"/>
  <c r="X20" i="98"/>
  <c r="Z20" i="98" s="1"/>
  <c r="P87" i="98"/>
  <c r="Z18" i="26"/>
  <c r="T27" i="26"/>
  <c r="T27" i="22"/>
  <c r="Z18" i="22"/>
  <c r="L18" i="13"/>
  <c r="D27" i="13"/>
  <c r="T27" i="8"/>
  <c r="Z18" i="8"/>
  <c r="P28" i="107"/>
  <c r="D85" i="106"/>
  <c r="D50" i="103"/>
  <c r="L16" i="103"/>
  <c r="P84" i="104"/>
  <c r="R39" i="99"/>
  <c r="R38" i="99"/>
  <c r="R23" i="99"/>
  <c r="R49" i="99"/>
  <c r="R33" i="99"/>
  <c r="R22" i="99"/>
  <c r="R51" i="99"/>
  <c r="R43" i="99"/>
  <c r="R42" i="99"/>
  <c r="R34" i="99"/>
  <c r="R55" i="99"/>
  <c r="R29" i="99"/>
  <c r="R25" i="99"/>
  <c r="R45" i="99"/>
  <c r="R44" i="99"/>
  <c r="R46" i="99"/>
  <c r="R30" i="99"/>
  <c r="R26" i="99"/>
  <c r="R17" i="99"/>
  <c r="R48" i="99"/>
  <c r="R47" i="99"/>
  <c r="R32" i="99"/>
  <c r="R31" i="99"/>
  <c r="R27" i="99"/>
  <c r="R35" i="99"/>
  <c r="R40" i="99"/>
  <c r="P20" i="99"/>
  <c r="X12" i="99"/>
  <c r="R36" i="99"/>
  <c r="R41" i="99"/>
  <c r="R37" i="99"/>
  <c r="R28" i="99"/>
  <c r="R24" i="99"/>
  <c r="R18" i="99"/>
  <c r="R16" i="99"/>
  <c r="F54" i="89"/>
  <c r="F53" i="89"/>
  <c r="F42" i="89"/>
  <c r="F41" i="89"/>
  <c r="F30" i="89"/>
  <c r="F73" i="89"/>
  <c r="F65" i="89"/>
  <c r="F61" i="89"/>
  <c r="F60" i="89"/>
  <c r="F77" i="89"/>
  <c r="F75" i="89"/>
  <c r="F66" i="89"/>
  <c r="F62" i="89"/>
  <c r="F46" i="89"/>
  <c r="F45" i="89"/>
  <c r="F18" i="89"/>
  <c r="F79" i="89"/>
  <c r="F37" i="89"/>
  <c r="F33" i="89"/>
  <c r="F32" i="89"/>
  <c r="F68" i="89"/>
  <c r="F67" i="89"/>
  <c r="F56" i="89"/>
  <c r="F48" i="89"/>
  <c r="F47" i="89"/>
  <c r="F63" i="89"/>
  <c r="F84" i="89"/>
  <c r="F81" i="89"/>
  <c r="F70" i="89"/>
  <c r="F69" i="89"/>
  <c r="F58" i="89"/>
  <c r="F57" i="89"/>
  <c r="F59" i="89"/>
  <c r="F35" i="89"/>
  <c r="F72" i="89"/>
  <c r="F44" i="89"/>
  <c r="F25" i="89"/>
  <c r="F50" i="89"/>
  <c r="F38" i="89"/>
  <c r="F64" i="89"/>
  <c r="F28" i="89"/>
  <c r="F51" i="89"/>
  <c r="F39" i="89"/>
  <c r="F36" i="89"/>
  <c r="F20" i="89"/>
  <c r="F71" i="89"/>
  <c r="F26" i="89"/>
  <c r="D20" i="89"/>
  <c r="F22" i="89"/>
  <c r="F43" i="89"/>
  <c r="F40" i="89"/>
  <c r="F34" i="89"/>
  <c r="F31" i="89"/>
  <c r="F23" i="89"/>
  <c r="F16" i="89"/>
  <c r="F55" i="89"/>
  <c r="F52" i="89"/>
  <c r="F49" i="89"/>
  <c r="F29" i="89"/>
  <c r="F24" i="89"/>
  <c r="F17" i="89"/>
  <c r="L12" i="89"/>
  <c r="N12" i="89" s="1"/>
  <c r="F27" i="89"/>
  <c r="D86" i="84"/>
  <c r="H77" i="89"/>
  <c r="H73" i="58"/>
  <c r="N16" i="58"/>
  <c r="H65" i="59"/>
  <c r="N16" i="59"/>
  <c r="L16" i="56"/>
  <c r="D74" i="56"/>
  <c r="X16" i="54"/>
  <c r="P22" i="54"/>
  <c r="P111" i="51"/>
  <c r="X148" i="30"/>
  <c r="Z148" i="30" s="1"/>
  <c r="H151" i="30"/>
  <c r="F93" i="33"/>
  <c r="F84" i="33"/>
  <c r="F80" i="33"/>
  <c r="F79" i="33"/>
  <c r="F60" i="33"/>
  <c r="F56" i="33"/>
  <c r="F98" i="33"/>
  <c r="F96" i="33"/>
  <c r="F83" i="33"/>
  <c r="F94" i="33"/>
  <c r="F77" i="33"/>
  <c r="F76" i="33"/>
  <c r="F53" i="33"/>
  <c r="F49" i="33"/>
  <c r="F102" i="33"/>
  <c r="F95" i="33"/>
  <c r="F92" i="33"/>
  <c r="F71" i="33"/>
  <c r="F66" i="33"/>
  <c r="F57" i="33"/>
  <c r="F81" i="33"/>
  <c r="F48" i="33"/>
  <c r="F67" i="33"/>
  <c r="F61" i="33"/>
  <c r="F54" i="33"/>
  <c r="F51" i="33"/>
  <c r="F86" i="33"/>
  <c r="F82" i="33"/>
  <c r="F72" i="33"/>
  <c r="F68" i="33"/>
  <c r="F62" i="33"/>
  <c r="F45" i="33"/>
  <c r="F44" i="33"/>
  <c r="D42" i="33"/>
  <c r="F38" i="33"/>
  <c r="F89" i="33"/>
  <c r="F58" i="33"/>
  <c r="F55" i="33"/>
  <c r="F73" i="33"/>
  <c r="F46" i="33"/>
  <c r="F78" i="33"/>
  <c r="F69" i="33"/>
  <c r="F63" i="33"/>
  <c r="F52" i="33"/>
  <c r="F97" i="33"/>
  <c r="F90" i="33"/>
  <c r="F87" i="33"/>
  <c r="F59" i="33"/>
  <c r="F39" i="33"/>
  <c r="F36" i="33"/>
  <c r="F35" i="33"/>
  <c r="F74" i="33"/>
  <c r="F70" i="33"/>
  <c r="F64" i="33"/>
  <c r="F75" i="33"/>
  <c r="F47" i="33"/>
  <c r="L12" i="33"/>
  <c r="F88" i="33"/>
  <c r="F65" i="33"/>
  <c r="F37" i="33"/>
  <c r="F50" i="33"/>
  <c r="F85" i="33"/>
  <c r="F40" i="33"/>
  <c r="X117" i="27"/>
  <c r="R109" i="27"/>
  <c r="R108" i="27"/>
  <c r="R97" i="27"/>
  <c r="R96" i="27"/>
  <c r="R65" i="27"/>
  <c r="R60" i="27"/>
  <c r="R81" i="27"/>
  <c r="R80" i="27"/>
  <c r="R76" i="27"/>
  <c r="X12" i="27"/>
  <c r="Z12" i="27" s="1"/>
  <c r="R112" i="27"/>
  <c r="R111" i="27"/>
  <c r="R99" i="27"/>
  <c r="R91" i="27"/>
  <c r="R71" i="27"/>
  <c r="R67" i="27"/>
  <c r="R120" i="27"/>
  <c r="R114" i="27"/>
  <c r="R113" i="27"/>
  <c r="R119" i="27"/>
  <c r="R118" i="27"/>
  <c r="R115" i="27"/>
  <c r="R107" i="27"/>
  <c r="R86" i="27"/>
  <c r="R85" i="27"/>
  <c r="R73" i="27"/>
  <c r="R69" i="27"/>
  <c r="R124" i="27"/>
  <c r="R117" i="27"/>
  <c r="R78" i="27"/>
  <c r="R66" i="27"/>
  <c r="R98" i="27"/>
  <c r="R95" i="27"/>
  <c r="R55" i="27"/>
  <c r="R45" i="27"/>
  <c r="R100" i="27"/>
  <c r="R92" i="27"/>
  <c r="R90" i="27"/>
  <c r="R84" i="27"/>
  <c r="R58" i="27"/>
  <c r="R52" i="27"/>
  <c r="R105" i="27"/>
  <c r="R87" i="27"/>
  <c r="P62" i="27"/>
  <c r="R49" i="27"/>
  <c r="R46" i="27"/>
  <c r="R93" i="27"/>
  <c r="R82" i="27"/>
  <c r="R56" i="27"/>
  <c r="R110" i="27"/>
  <c r="R103" i="27"/>
  <c r="R101" i="27"/>
  <c r="R88" i="27"/>
  <c r="R79" i="27"/>
  <c r="R74" i="27"/>
  <c r="R59" i="27"/>
  <c r="R77" i="27"/>
  <c r="R64" i="27"/>
  <c r="R53" i="27"/>
  <c r="R50" i="27"/>
  <c r="R47" i="27"/>
  <c r="R83" i="27"/>
  <c r="R72" i="27"/>
  <c r="R106" i="27"/>
  <c r="R75" i="27"/>
  <c r="R70" i="27"/>
  <c r="R44" i="27"/>
  <c r="R102" i="27"/>
  <c r="R89" i="27"/>
  <c r="R68" i="27"/>
  <c r="R48" i="27"/>
  <c r="R104" i="27"/>
  <c r="R94" i="27"/>
  <c r="R57" i="27"/>
  <c r="R54" i="27"/>
  <c r="R51" i="27"/>
  <c r="D93" i="9"/>
  <c r="L16" i="9"/>
  <c r="L308" i="3"/>
  <c r="N308" i="3" s="1"/>
  <c r="T27" i="52"/>
  <c r="Z18" i="52"/>
  <c r="X18" i="52"/>
  <c r="P27" i="52"/>
  <c r="H27" i="47"/>
  <c r="N18" i="47"/>
  <c r="X18" i="35"/>
  <c r="P27" i="35"/>
  <c r="D27" i="35"/>
  <c r="L18" i="35"/>
  <c r="X18" i="31"/>
  <c r="P27" i="31"/>
  <c r="T27" i="25"/>
  <c r="Z18" i="25"/>
  <c r="H27" i="25"/>
  <c r="N18" i="25"/>
  <c r="L18" i="14"/>
  <c r="D27" i="14"/>
  <c r="H27" i="20"/>
  <c r="N18" i="20"/>
  <c r="P27" i="14"/>
  <c r="X18" i="14"/>
  <c r="D87" i="98"/>
  <c r="L20" i="98"/>
  <c r="T27" i="23"/>
  <c r="Z18" i="23"/>
  <c r="T44" i="109"/>
  <c r="H73" i="110"/>
  <c r="H41" i="109"/>
  <c r="H84" i="104"/>
  <c r="F60" i="99"/>
  <c r="F57" i="99"/>
  <c r="F46" i="99"/>
  <c r="F45" i="99"/>
  <c r="F30" i="99"/>
  <c r="F26" i="99"/>
  <c r="F17" i="99"/>
  <c r="F16" i="99"/>
  <c r="F47" i="99"/>
  <c r="F31" i="99"/>
  <c r="F27" i="99"/>
  <c r="F38" i="99"/>
  <c r="F37" i="99"/>
  <c r="F18" i="99"/>
  <c r="F49" i="99"/>
  <c r="F48" i="99"/>
  <c r="F33" i="99"/>
  <c r="F32" i="99"/>
  <c r="F40" i="99"/>
  <c r="F39" i="99"/>
  <c r="F28" i="99"/>
  <c r="F24" i="99"/>
  <c r="F23" i="99"/>
  <c r="F53" i="99"/>
  <c r="F51" i="99"/>
  <c r="F42" i="99"/>
  <c r="F41" i="99"/>
  <c r="F34" i="99"/>
  <c r="F55" i="99"/>
  <c r="F29" i="99"/>
  <c r="F25" i="99"/>
  <c r="F35" i="99"/>
  <c r="F22" i="99"/>
  <c r="F44" i="99"/>
  <c r="F20" i="99"/>
  <c r="L12" i="99"/>
  <c r="D20" i="99"/>
  <c r="F43" i="99"/>
  <c r="F36" i="99"/>
  <c r="V75" i="95"/>
  <c r="V73" i="95"/>
  <c r="V61" i="95"/>
  <c r="V53" i="95"/>
  <c r="V41" i="95"/>
  <c r="V29" i="95"/>
  <c r="V25" i="95"/>
  <c r="V52" i="95"/>
  <c r="V40" i="95"/>
  <c r="V16" i="95"/>
  <c r="V67" i="95"/>
  <c r="V63" i="95"/>
  <c r="V43" i="95"/>
  <c r="V35" i="95"/>
  <c r="V54" i="95"/>
  <c r="V79" i="95"/>
  <c r="V45" i="95"/>
  <c r="V17" i="95"/>
  <c r="V68" i="95"/>
  <c r="V64" i="95"/>
  <c r="V56" i="95"/>
  <c r="V44" i="95"/>
  <c r="V36" i="95"/>
  <c r="V32" i="95"/>
  <c r="V55" i="95"/>
  <c r="V47" i="95"/>
  <c r="V31" i="95"/>
  <c r="V70" i="95"/>
  <c r="V58" i="95"/>
  <c r="V46" i="95"/>
  <c r="V22" i="95"/>
  <c r="V18" i="95"/>
  <c r="V69" i="95"/>
  <c r="V65" i="95"/>
  <c r="V57" i="95"/>
  <c r="V49" i="95"/>
  <c r="V37" i="95"/>
  <c r="V33" i="95"/>
  <c r="V72" i="95"/>
  <c r="V60" i="95"/>
  <c r="V48" i="95"/>
  <c r="V28" i="95"/>
  <c r="V24" i="95"/>
  <c r="V66" i="95"/>
  <c r="V62" i="95"/>
  <c r="V50" i="95"/>
  <c r="V38" i="95"/>
  <c r="V34" i="95"/>
  <c r="V71" i="95"/>
  <c r="V59" i="95"/>
  <c r="X12" i="95"/>
  <c r="Z12" i="95" s="1"/>
  <c r="V23" i="95"/>
  <c r="V51" i="95"/>
  <c r="V26" i="95"/>
  <c r="T20" i="95"/>
  <c r="V42" i="95"/>
  <c r="V39" i="95"/>
  <c r="V27" i="95"/>
  <c r="V30" i="95"/>
  <c r="H80" i="93"/>
  <c r="F93" i="88"/>
  <c r="F90" i="88"/>
  <c r="F71" i="88"/>
  <c r="F59" i="88"/>
  <c r="F58" i="88"/>
  <c r="F39" i="88"/>
  <c r="F38" i="88"/>
  <c r="F22" i="88"/>
  <c r="F20" i="88"/>
  <c r="F78" i="88"/>
  <c r="F77" i="88"/>
  <c r="F66" i="88"/>
  <c r="F50" i="88"/>
  <c r="F49" i="88"/>
  <c r="F34" i="88"/>
  <c r="D20" i="88"/>
  <c r="F61" i="88"/>
  <c r="F60" i="88"/>
  <c r="F41" i="88"/>
  <c r="F40" i="88"/>
  <c r="F29" i="88"/>
  <c r="F25" i="88"/>
  <c r="F80" i="88"/>
  <c r="F79" i="88"/>
  <c r="F72" i="88"/>
  <c r="F68" i="88"/>
  <c r="F67" i="88"/>
  <c r="F52" i="88"/>
  <c r="F51" i="88"/>
  <c r="F43" i="88"/>
  <c r="F42" i="88"/>
  <c r="F35" i="88"/>
  <c r="F82" i="88"/>
  <c r="F81" i="88"/>
  <c r="F62" i="88"/>
  <c r="F54" i="88"/>
  <c r="F53" i="88"/>
  <c r="F30" i="88"/>
  <c r="F26" i="88"/>
  <c r="F73" i="88"/>
  <c r="F69" i="88"/>
  <c r="F45" i="88"/>
  <c r="F44" i="88"/>
  <c r="F56" i="88"/>
  <c r="F55" i="88"/>
  <c r="F36" i="88"/>
  <c r="L12" i="88"/>
  <c r="F86" i="88"/>
  <c r="F84" i="88"/>
  <c r="F63" i="88"/>
  <c r="F31" i="88"/>
  <c r="F27" i="88"/>
  <c r="F88" i="88"/>
  <c r="F74" i="88"/>
  <c r="F70" i="88"/>
  <c r="F46" i="88"/>
  <c r="F18" i="88"/>
  <c r="F76" i="88"/>
  <c r="F75" i="88"/>
  <c r="F48" i="88"/>
  <c r="F47" i="88"/>
  <c r="F28" i="88"/>
  <c r="F24" i="88"/>
  <c r="F23" i="88"/>
  <c r="F57" i="88"/>
  <c r="F17" i="88"/>
  <c r="F64" i="88"/>
  <c r="F32" i="88"/>
  <c r="F37" i="88"/>
  <c r="F65" i="88"/>
  <c r="F33" i="88"/>
  <c r="F16" i="88"/>
  <c r="T80" i="81"/>
  <c r="F62" i="76"/>
  <c r="F67" i="76"/>
  <c r="F59" i="76"/>
  <c r="F58" i="76"/>
  <c r="F47" i="76"/>
  <c r="F73" i="76"/>
  <c r="F61" i="76"/>
  <c r="F50" i="76"/>
  <c r="F40" i="76"/>
  <c r="F36" i="76"/>
  <c r="F74" i="76"/>
  <c r="F66" i="76"/>
  <c r="F56" i="76"/>
  <c r="F51" i="76"/>
  <c r="F69" i="76"/>
  <c r="F57" i="76"/>
  <c r="F46" i="76"/>
  <c r="F41" i="76"/>
  <c r="F37" i="76"/>
  <c r="F52" i="76"/>
  <c r="F53" i="76"/>
  <c r="F77" i="76"/>
  <c r="F76" i="76"/>
  <c r="F70" i="76"/>
  <c r="F42" i="76"/>
  <c r="F38" i="76"/>
  <c r="F63" i="76"/>
  <c r="F64" i="76"/>
  <c r="F54" i="76"/>
  <c r="F48" i="76"/>
  <c r="F44" i="76"/>
  <c r="F43" i="76"/>
  <c r="L12" i="76"/>
  <c r="N12" i="76" s="1"/>
  <c r="F71" i="76"/>
  <c r="F39" i="76"/>
  <c r="F35" i="76"/>
  <c r="F34" i="76"/>
  <c r="F81" i="76"/>
  <c r="F65" i="76"/>
  <c r="F45" i="76"/>
  <c r="D31" i="76"/>
  <c r="F68" i="76"/>
  <c r="F29" i="76"/>
  <c r="F60" i="76"/>
  <c r="F72" i="76"/>
  <c r="F55" i="76"/>
  <c r="F49" i="76"/>
  <c r="F33" i="76"/>
  <c r="F31" i="76"/>
  <c r="F69" i="74"/>
  <c r="F88" i="74"/>
  <c r="F87" i="74"/>
  <c r="F80" i="74"/>
  <c r="F79" i="74"/>
  <c r="F64" i="74"/>
  <c r="F90" i="74"/>
  <c r="F89" i="74"/>
  <c r="F82" i="74"/>
  <c r="F81" i="74"/>
  <c r="F73" i="74"/>
  <c r="F72" i="74"/>
  <c r="F61" i="74"/>
  <c r="F57" i="74"/>
  <c r="F48" i="74"/>
  <c r="F44" i="74"/>
  <c r="F96" i="74"/>
  <c r="F74" i="74"/>
  <c r="F62" i="74"/>
  <c r="F58" i="74"/>
  <c r="F84" i="74"/>
  <c r="F76" i="74"/>
  <c r="F75" i="74"/>
  <c r="F68" i="74"/>
  <c r="F86" i="74"/>
  <c r="F85" i="74"/>
  <c r="F78" i="74"/>
  <c r="F77" i="74"/>
  <c r="F50" i="74"/>
  <c r="F46" i="74"/>
  <c r="F42" i="74"/>
  <c r="F38" i="74"/>
  <c r="F92" i="74"/>
  <c r="F70" i="74"/>
  <c r="L12" i="74"/>
  <c r="N12" i="74" s="1"/>
  <c r="F66" i="74"/>
  <c r="F40" i="74"/>
  <c r="F52" i="74"/>
  <c r="F49" i="74"/>
  <c r="F47" i="74"/>
  <c r="F35" i="74"/>
  <c r="F60" i="74"/>
  <c r="F56" i="74"/>
  <c r="D52" i="74"/>
  <c r="F45" i="74"/>
  <c r="F71" i="74"/>
  <c r="F36" i="74"/>
  <c r="F43" i="74"/>
  <c r="F67" i="74"/>
  <c r="F41" i="74"/>
  <c r="F65" i="74"/>
  <c r="F83" i="74"/>
  <c r="F63" i="74"/>
  <c r="F54" i="74"/>
  <c r="F39" i="74"/>
  <c r="F55" i="74"/>
  <c r="F37" i="74"/>
  <c r="F59" i="74"/>
  <c r="H74" i="70"/>
  <c r="H128" i="69"/>
  <c r="N76" i="69"/>
  <c r="T74" i="70"/>
  <c r="N96" i="64"/>
  <c r="D101" i="64"/>
  <c r="L17" i="64"/>
  <c r="T78" i="56"/>
  <c r="H111" i="51"/>
  <c r="R89" i="45"/>
  <c r="R92" i="45"/>
  <c r="R96" i="45"/>
  <c r="R86" i="45"/>
  <c r="R85" i="45"/>
  <c r="R69" i="45"/>
  <c r="R41" i="45"/>
  <c r="R26" i="45"/>
  <c r="R80" i="45"/>
  <c r="R76" i="45"/>
  <c r="R61" i="45"/>
  <c r="R60" i="45"/>
  <c r="R49" i="45"/>
  <c r="R48" i="45"/>
  <c r="R37" i="45"/>
  <c r="R36" i="45"/>
  <c r="R32" i="45"/>
  <c r="R28" i="45"/>
  <c r="P24" i="45"/>
  <c r="R24" i="45" s="1"/>
  <c r="R90" i="45"/>
  <c r="R87" i="45"/>
  <c r="R71" i="45"/>
  <c r="R70" i="45"/>
  <c r="R63" i="45"/>
  <c r="R62" i="45"/>
  <c r="R51" i="45"/>
  <c r="R50" i="45"/>
  <c r="R42" i="45"/>
  <c r="R38" i="45"/>
  <c r="R81" i="45"/>
  <c r="R77" i="45"/>
  <c r="R33" i="45"/>
  <c r="R29" i="45"/>
  <c r="R88" i="45"/>
  <c r="R72" i="45"/>
  <c r="R65" i="45"/>
  <c r="R64" i="45"/>
  <c r="R53" i="45"/>
  <c r="R52" i="45"/>
  <c r="R43" i="45"/>
  <c r="R39" i="45"/>
  <c r="R20" i="45"/>
  <c r="R82" i="45"/>
  <c r="R78" i="45"/>
  <c r="R67" i="45"/>
  <c r="R66" i="45"/>
  <c r="R55" i="45"/>
  <c r="R54" i="45"/>
  <c r="R34" i="45"/>
  <c r="R30" i="45"/>
  <c r="R73" i="45"/>
  <c r="R21" i="45"/>
  <c r="R68" i="45"/>
  <c r="R57" i="45"/>
  <c r="R56" i="45"/>
  <c r="R45" i="45"/>
  <c r="R44" i="45"/>
  <c r="R40" i="45"/>
  <c r="X12" i="45"/>
  <c r="Z12" i="45" s="1"/>
  <c r="R75" i="45"/>
  <c r="R74" i="45"/>
  <c r="R59" i="45"/>
  <c r="R58" i="45"/>
  <c r="R47" i="45"/>
  <c r="R46" i="45"/>
  <c r="R27" i="45"/>
  <c r="R22" i="45"/>
  <c r="R83" i="45"/>
  <c r="R35" i="45"/>
  <c r="R84" i="45"/>
  <c r="R79" i="45"/>
  <c r="R31" i="45"/>
  <c r="J129" i="39"/>
  <c r="J121" i="39"/>
  <c r="J99" i="39"/>
  <c r="J93" i="39"/>
  <c r="J108" i="39"/>
  <c r="J102" i="39"/>
  <c r="J96" i="39"/>
  <c r="J118" i="39"/>
  <c r="J83" i="39"/>
  <c r="J75" i="39"/>
  <c r="J57" i="39"/>
  <c r="J53" i="39"/>
  <c r="J132" i="39"/>
  <c r="J130" i="39"/>
  <c r="J114" i="39"/>
  <c r="J107" i="39"/>
  <c r="J84" i="39"/>
  <c r="J76" i="39"/>
  <c r="J48" i="39"/>
  <c r="J44" i="39"/>
  <c r="J34" i="39"/>
  <c r="J131" i="39"/>
  <c r="J119" i="39"/>
  <c r="J111" i="39"/>
  <c r="J85" i="39"/>
  <c r="J77" i="39"/>
  <c r="J67" i="39"/>
  <c r="J35" i="39"/>
  <c r="J124" i="39"/>
  <c r="J104" i="39"/>
  <c r="J101" i="39"/>
  <c r="J97" i="39"/>
  <c r="J86" i="39"/>
  <c r="J78" i="39"/>
  <c r="J58" i="39"/>
  <c r="J54" i="39"/>
  <c r="J120" i="39"/>
  <c r="J87" i="39"/>
  <c r="J59" i="39"/>
  <c r="J49" i="39"/>
  <c r="J45" i="39"/>
  <c r="J115" i="39"/>
  <c r="J105" i="39"/>
  <c r="J94" i="39"/>
  <c r="J88" i="39"/>
  <c r="J68" i="39"/>
  <c r="J60" i="39"/>
  <c r="J36" i="39"/>
  <c r="J125" i="39"/>
  <c r="J112" i="39"/>
  <c r="J109" i="39"/>
  <c r="J89" i="39"/>
  <c r="J79" i="39"/>
  <c r="J69" i="39"/>
  <c r="J61" i="39"/>
  <c r="J55" i="39"/>
  <c r="J41" i="39"/>
  <c r="J136" i="39"/>
  <c r="J126" i="39"/>
  <c r="J98" i="39"/>
  <c r="J90" i="39"/>
  <c r="J80" i="39"/>
  <c r="J70" i="39"/>
  <c r="J62" i="39"/>
  <c r="J50" i="39"/>
  <c r="J46" i="39"/>
  <c r="J42" i="39"/>
  <c r="J40" i="39"/>
  <c r="J122" i="39"/>
  <c r="J116" i="39"/>
  <c r="J106" i="39"/>
  <c r="J91" i="39"/>
  <c r="J81" i="39"/>
  <c r="J71" i="39"/>
  <c r="J63" i="39"/>
  <c r="J51" i="39"/>
  <c r="H38" i="39"/>
  <c r="J38" i="39" s="1"/>
  <c r="J127" i="39"/>
  <c r="J113" i="39"/>
  <c r="J72" i="39"/>
  <c r="J64" i="39"/>
  <c r="J56" i="39"/>
  <c r="J52" i="39"/>
  <c r="N12" i="39"/>
  <c r="J123" i="39"/>
  <c r="J117" i="39"/>
  <c r="J103" i="39"/>
  <c r="J100" i="39"/>
  <c r="J82" i="39"/>
  <c r="J74" i="39"/>
  <c r="J66" i="39"/>
  <c r="J95" i="39"/>
  <c r="J65" i="39"/>
  <c r="J110" i="39"/>
  <c r="J43" i="39"/>
  <c r="J92" i="39"/>
  <c r="J73" i="39"/>
  <c r="J47" i="39"/>
  <c r="D134" i="39"/>
  <c r="L38" i="39"/>
  <c r="R113" i="24"/>
  <c r="R112" i="24"/>
  <c r="R92" i="24"/>
  <c r="R88" i="24"/>
  <c r="R145" i="24"/>
  <c r="R131" i="24"/>
  <c r="R124" i="24"/>
  <c r="R123" i="24"/>
  <c r="R104" i="24"/>
  <c r="R103" i="24"/>
  <c r="R79" i="24"/>
  <c r="R75" i="24"/>
  <c r="R71" i="24"/>
  <c r="R67" i="24"/>
  <c r="R63" i="24"/>
  <c r="R59" i="24"/>
  <c r="R115" i="24"/>
  <c r="R114" i="24"/>
  <c r="R98" i="24"/>
  <c r="R125" i="24"/>
  <c r="R106" i="24"/>
  <c r="R105" i="24"/>
  <c r="R93" i="24"/>
  <c r="R89" i="24"/>
  <c r="R133" i="24"/>
  <c r="R132" i="24"/>
  <c r="R117" i="24"/>
  <c r="R116" i="24"/>
  <c r="R80" i="24"/>
  <c r="R76" i="24"/>
  <c r="R72" i="24"/>
  <c r="R68" i="24"/>
  <c r="R64" i="24"/>
  <c r="R60" i="24"/>
  <c r="R107" i="24"/>
  <c r="R99" i="24"/>
  <c r="R135" i="24"/>
  <c r="R134" i="24"/>
  <c r="R127" i="24"/>
  <c r="R126" i="24"/>
  <c r="R119" i="24"/>
  <c r="R118" i="24"/>
  <c r="R94" i="24"/>
  <c r="R90" i="24"/>
  <c r="R86" i="24"/>
  <c r="R81" i="24"/>
  <c r="R77" i="24"/>
  <c r="R73" i="24"/>
  <c r="R69" i="24"/>
  <c r="R65" i="24"/>
  <c r="R61" i="24"/>
  <c r="R137" i="24"/>
  <c r="R136" i="24"/>
  <c r="R129" i="24"/>
  <c r="R128" i="24"/>
  <c r="R121" i="24"/>
  <c r="R120" i="24"/>
  <c r="R109" i="24"/>
  <c r="R108" i="24"/>
  <c r="R100" i="24"/>
  <c r="R85" i="24"/>
  <c r="R57" i="24"/>
  <c r="X12" i="24"/>
  <c r="R96" i="24"/>
  <c r="R95" i="24"/>
  <c r="R91" i="24"/>
  <c r="R87" i="24"/>
  <c r="P83" i="24"/>
  <c r="R83" i="24" s="1"/>
  <c r="R140" i="24"/>
  <c r="R102" i="24"/>
  <c r="R101" i="24"/>
  <c r="R97" i="24"/>
  <c r="R58" i="24"/>
  <c r="R74" i="24"/>
  <c r="R130" i="24"/>
  <c r="R66" i="24"/>
  <c r="R138" i="24"/>
  <c r="R110" i="24"/>
  <c r="R122" i="24"/>
  <c r="R62" i="24"/>
  <c r="R141" i="24"/>
  <c r="R78" i="24"/>
  <c r="R70" i="24"/>
  <c r="R111" i="24"/>
  <c r="J81" i="33"/>
  <c r="J71" i="33"/>
  <c r="J61" i="33"/>
  <c r="J51" i="33"/>
  <c r="J47" i="33"/>
  <c r="J98" i="33"/>
  <c r="J86" i="33"/>
  <c r="J82" i="33"/>
  <c r="J102" i="33"/>
  <c r="J96" i="33"/>
  <c r="J88" i="33"/>
  <c r="J94" i="33"/>
  <c r="J90" i="33"/>
  <c r="J92" i="33"/>
  <c r="J84" i="33"/>
  <c r="J68" i="33"/>
  <c r="J54" i="33"/>
  <c r="J40" i="33"/>
  <c r="J36" i="33"/>
  <c r="J67" i="33"/>
  <c r="J48" i="33"/>
  <c r="J42" i="33"/>
  <c r="J77" i="33"/>
  <c r="J72" i="33"/>
  <c r="J45" i="33"/>
  <c r="J44" i="33"/>
  <c r="H42" i="33"/>
  <c r="J89" i="33"/>
  <c r="J62" i="33"/>
  <c r="J38" i="33"/>
  <c r="J58" i="33"/>
  <c r="J55" i="33"/>
  <c r="J73" i="33"/>
  <c r="J69" i="33"/>
  <c r="J63" i="33"/>
  <c r="J46" i="33"/>
  <c r="J97" i="33"/>
  <c r="J93" i="33"/>
  <c r="J87" i="33"/>
  <c r="J78" i="33"/>
  <c r="J52" i="33"/>
  <c r="J49" i="33"/>
  <c r="J35" i="33"/>
  <c r="J74" i="33"/>
  <c r="J59" i="33"/>
  <c r="J39" i="33"/>
  <c r="J79" i="33"/>
  <c r="J70" i="33"/>
  <c r="J64" i="33"/>
  <c r="J56" i="33"/>
  <c r="J83" i="33"/>
  <c r="J75" i="33"/>
  <c r="N12" i="33"/>
  <c r="J85" i="33"/>
  <c r="J80" i="33"/>
  <c r="J65" i="33"/>
  <c r="J50" i="33"/>
  <c r="J76" i="33"/>
  <c r="J66" i="33"/>
  <c r="J57" i="33"/>
  <c r="J53" i="33"/>
  <c r="J60" i="33"/>
  <c r="J95" i="33"/>
  <c r="J37" i="33"/>
  <c r="T151" i="30"/>
  <c r="V285" i="18"/>
  <c r="V275" i="18"/>
  <c r="V263" i="18"/>
  <c r="V296" i="18"/>
  <c r="V284" i="18"/>
  <c r="V282" i="18"/>
  <c r="V274" i="18"/>
  <c r="V258" i="18"/>
  <c r="V246" i="18"/>
  <c r="V226" i="18"/>
  <c r="V218" i="18"/>
  <c r="V206" i="18"/>
  <c r="V295" i="18"/>
  <c r="V277" i="18"/>
  <c r="V269" i="18"/>
  <c r="V265" i="18"/>
  <c r="V253" i="18"/>
  <c r="V294" i="18"/>
  <c r="V293" i="18"/>
  <c r="V259" i="18"/>
  <c r="V239" i="18"/>
  <c r="V227" i="18"/>
  <c r="V219" i="18"/>
  <c r="V203" i="18"/>
  <c r="V199" i="18"/>
  <c r="V300" i="18"/>
  <c r="V292" i="18"/>
  <c r="V278" i="18"/>
  <c r="V270" i="18"/>
  <c r="V266" i="18"/>
  <c r="V254" i="18"/>
  <c r="V238" i="18"/>
  <c r="V230" i="18"/>
  <c r="V222" i="18"/>
  <c r="V290" i="18"/>
  <c r="V272" i="18"/>
  <c r="V260" i="18"/>
  <c r="V256" i="18"/>
  <c r="V240" i="18"/>
  <c r="V232" i="18"/>
  <c r="V204" i="18"/>
  <c r="V200" i="18"/>
  <c r="V289" i="18"/>
  <c r="V279" i="18"/>
  <c r="V271" i="18"/>
  <c r="V267" i="18"/>
  <c r="V255" i="18"/>
  <c r="V243" i="18"/>
  <c r="V231" i="18"/>
  <c r="V288" i="18"/>
  <c r="V262" i="18"/>
  <c r="V286" i="18"/>
  <c r="V280" i="18"/>
  <c r="V268" i="18"/>
  <c r="V264" i="18"/>
  <c r="V252" i="18"/>
  <c r="V244" i="18"/>
  <c r="V224" i="18"/>
  <c r="V216" i="18"/>
  <c r="V196" i="18"/>
  <c r="V192" i="18"/>
  <c r="V188" i="18"/>
  <c r="V184" i="18"/>
  <c r="V180" i="18"/>
  <c r="V176" i="18"/>
  <c r="V172" i="18"/>
  <c r="V168" i="18"/>
  <c r="V164" i="18"/>
  <c r="V160" i="18"/>
  <c r="V156" i="18"/>
  <c r="V152" i="18"/>
  <c r="V261" i="18"/>
  <c r="V234" i="18"/>
  <c r="V215" i="18"/>
  <c r="V205" i="18"/>
  <c r="T194" i="18"/>
  <c r="V186" i="18"/>
  <c r="V166" i="18"/>
  <c r="V163" i="18"/>
  <c r="V153" i="18"/>
  <c r="V150" i="18"/>
  <c r="V247" i="18"/>
  <c r="V183" i="18"/>
  <c r="V147" i="18"/>
  <c r="V140" i="18"/>
  <c r="V287" i="18"/>
  <c r="V276" i="18"/>
  <c r="V245" i="18"/>
  <c r="V221" i="18"/>
  <c r="V197" i="18"/>
  <c r="V190" i="18"/>
  <c r="V173" i="18"/>
  <c r="V170" i="18"/>
  <c r="V249" i="18"/>
  <c r="V236" i="18"/>
  <c r="V187" i="18"/>
  <c r="V167" i="18"/>
  <c r="V157" i="18"/>
  <c r="V154" i="18"/>
  <c r="V151" i="18"/>
  <c r="V144" i="18"/>
  <c r="V137" i="18"/>
  <c r="V134" i="18"/>
  <c r="V242" i="18"/>
  <c r="V229" i="18"/>
  <c r="V213" i="18"/>
  <c r="V177" i="18"/>
  <c r="V225" i="18"/>
  <c r="V211" i="18"/>
  <c r="V209" i="18"/>
  <c r="V207" i="18"/>
  <c r="V198" i="18"/>
  <c r="V191" i="18"/>
  <c r="V174" i="18"/>
  <c r="V171" i="18"/>
  <c r="V148" i="18"/>
  <c r="V141" i="18"/>
  <c r="V273" i="18"/>
  <c r="V251" i="18"/>
  <c r="V237" i="18"/>
  <c r="V161" i="18"/>
  <c r="V158" i="18"/>
  <c r="V155" i="18"/>
  <c r="V138" i="18"/>
  <c r="V217" i="18"/>
  <c r="V201" i="18"/>
  <c r="V181" i="18"/>
  <c r="V178" i="18"/>
  <c r="V145" i="18"/>
  <c r="V135" i="18"/>
  <c r="V281" i="18"/>
  <c r="V235" i="18"/>
  <c r="V220" i="18"/>
  <c r="V175" i="18"/>
  <c r="V142" i="18"/>
  <c r="V248" i="18"/>
  <c r="V241" i="18"/>
  <c r="V233" i="18"/>
  <c r="V228" i="18"/>
  <c r="V185" i="18"/>
  <c r="V165" i="18"/>
  <c r="V162" i="18"/>
  <c r="V159" i="18"/>
  <c r="V149" i="18"/>
  <c r="V139" i="18"/>
  <c r="V291" i="18"/>
  <c r="V223" i="18"/>
  <c r="V210" i="18"/>
  <c r="V208" i="18"/>
  <c r="V189" i="18"/>
  <c r="V169" i="18"/>
  <c r="V143" i="18"/>
  <c r="V136" i="18"/>
  <c r="V257" i="18"/>
  <c r="V202" i="18"/>
  <c r="V179" i="18"/>
  <c r="V182" i="18"/>
  <c r="V212" i="18"/>
  <c r="V146" i="18"/>
  <c r="V214" i="18"/>
  <c r="V250" i="18"/>
  <c r="R287" i="18"/>
  <c r="R281" i="18"/>
  <c r="R280" i="18"/>
  <c r="R268" i="18"/>
  <c r="R286" i="18"/>
  <c r="R264" i="18"/>
  <c r="R263" i="18"/>
  <c r="R252" i="18"/>
  <c r="R251" i="18"/>
  <c r="R235" i="18"/>
  <c r="R211" i="18"/>
  <c r="R285" i="18"/>
  <c r="R282" i="18"/>
  <c r="R275" i="18"/>
  <c r="R274" i="18"/>
  <c r="R258" i="18"/>
  <c r="R247" i="18"/>
  <c r="R246" i="18"/>
  <c r="R296" i="18"/>
  <c r="R284" i="18"/>
  <c r="R295" i="18"/>
  <c r="R277" i="18"/>
  <c r="R276" i="18"/>
  <c r="R248" i="18"/>
  <c r="R237" i="18"/>
  <c r="R236" i="18"/>
  <c r="R212" i="18"/>
  <c r="R208" i="18"/>
  <c r="R294" i="18"/>
  <c r="R259" i="18"/>
  <c r="R228" i="18"/>
  <c r="R227" i="18"/>
  <c r="R220" i="18"/>
  <c r="R219" i="18"/>
  <c r="R292" i="18"/>
  <c r="R249" i="18"/>
  <c r="R230" i="18"/>
  <c r="R229" i="18"/>
  <c r="R222" i="18"/>
  <c r="R221" i="18"/>
  <c r="R213" i="18"/>
  <c r="R209" i="18"/>
  <c r="R291" i="18"/>
  <c r="R261" i="18"/>
  <c r="R260" i="18"/>
  <c r="R241" i="18"/>
  <c r="R240" i="18"/>
  <c r="R290" i="18"/>
  <c r="R279" i="18"/>
  <c r="R272" i="18"/>
  <c r="R271" i="18"/>
  <c r="R267" i="18"/>
  <c r="R288" i="18"/>
  <c r="R273" i="18"/>
  <c r="R257" i="18"/>
  <c r="R234" i="18"/>
  <c r="R233" i="18"/>
  <c r="R205" i="18"/>
  <c r="R201" i="18"/>
  <c r="R238" i="18"/>
  <c r="R223" i="18"/>
  <c r="R218" i="18"/>
  <c r="R210" i="18"/>
  <c r="R189" i="18"/>
  <c r="R169" i="18"/>
  <c r="R143" i="18"/>
  <c r="R136" i="18"/>
  <c r="R244" i="18"/>
  <c r="R186" i="18"/>
  <c r="R176" i="18"/>
  <c r="R166" i="18"/>
  <c r="R163" i="18"/>
  <c r="R153" i="18"/>
  <c r="R150" i="18"/>
  <c r="R278" i="18"/>
  <c r="R270" i="18"/>
  <c r="R255" i="18"/>
  <c r="R239" i="18"/>
  <c r="R231" i="18"/>
  <c r="R215" i="18"/>
  <c r="P194" i="18"/>
  <c r="R183" i="18"/>
  <c r="R160" i="18"/>
  <c r="R147" i="18"/>
  <c r="R140" i="18"/>
  <c r="R289" i="18"/>
  <c r="R203" i="18"/>
  <c r="R200" i="18"/>
  <c r="R196" i="18"/>
  <c r="R190" i="18"/>
  <c r="R180" i="18"/>
  <c r="R173" i="18"/>
  <c r="R170" i="18"/>
  <c r="R253" i="18"/>
  <c r="R245" i="18"/>
  <c r="R206" i="18"/>
  <c r="R197" i="18"/>
  <c r="R187" i="18"/>
  <c r="R167" i="18"/>
  <c r="R157" i="18"/>
  <c r="R154" i="18"/>
  <c r="R151" i="18"/>
  <c r="R144" i="18"/>
  <c r="R137" i="18"/>
  <c r="R265" i="18"/>
  <c r="R256" i="18"/>
  <c r="R242" i="18"/>
  <c r="R232" i="18"/>
  <c r="R224" i="18"/>
  <c r="R177" i="18"/>
  <c r="R164" i="18"/>
  <c r="R134" i="18"/>
  <c r="R198" i="18"/>
  <c r="R191" i="18"/>
  <c r="R184" i="18"/>
  <c r="R174" i="18"/>
  <c r="R171" i="18"/>
  <c r="R148" i="18"/>
  <c r="R141" i="18"/>
  <c r="R225" i="18"/>
  <c r="R216" i="18"/>
  <c r="R207" i="18"/>
  <c r="R161" i="18"/>
  <c r="R158" i="18"/>
  <c r="R155" i="18"/>
  <c r="R138" i="18"/>
  <c r="R300" i="18"/>
  <c r="R269" i="18"/>
  <c r="R243" i="18"/>
  <c r="R204" i="18"/>
  <c r="R188" i="18"/>
  <c r="R181" i="18"/>
  <c r="R178" i="18"/>
  <c r="R168" i="18"/>
  <c r="R152" i="18"/>
  <c r="R145" i="18"/>
  <c r="R135" i="18"/>
  <c r="R262" i="18"/>
  <c r="R254" i="18"/>
  <c r="R217" i="18"/>
  <c r="R175" i="18"/>
  <c r="R142" i="18"/>
  <c r="R266" i="18"/>
  <c r="R250" i="18"/>
  <c r="R226" i="18"/>
  <c r="R214" i="18"/>
  <c r="R202" i="18"/>
  <c r="R182" i="18"/>
  <c r="R179" i="18"/>
  <c r="R156" i="18"/>
  <c r="R146" i="18"/>
  <c r="R185" i="18"/>
  <c r="R159" i="18"/>
  <c r="R192" i="18"/>
  <c r="R139" i="18"/>
  <c r="R199" i="18"/>
  <c r="R149" i="18"/>
  <c r="R165" i="18"/>
  <c r="R172" i="18"/>
  <c r="R293" i="18"/>
  <c r="R162" i="18"/>
  <c r="X12" i="18"/>
  <c r="Z12" i="18" s="1"/>
  <c r="Z268" i="12"/>
  <c r="P26" i="6"/>
  <c r="N17" i="100"/>
  <c r="H46" i="100"/>
  <c r="L18" i="113"/>
  <c r="D27" i="113"/>
  <c r="L18" i="53"/>
  <c r="D27" i="53"/>
  <c r="X18" i="53"/>
  <c r="P27" i="53"/>
  <c r="H27" i="52"/>
  <c r="N18" i="52"/>
  <c r="L18" i="44"/>
  <c r="D27" i="44"/>
  <c r="D27" i="46"/>
  <c r="L18" i="46"/>
  <c r="L18" i="37"/>
  <c r="D27" i="37"/>
  <c r="H27" i="34"/>
  <c r="N18" i="34"/>
  <c r="D27" i="26"/>
  <c r="L18" i="26"/>
  <c r="T27" i="19"/>
  <c r="Z18" i="19"/>
  <c r="X18" i="19"/>
  <c r="P27" i="19"/>
  <c r="L18" i="20"/>
  <c r="D27" i="20"/>
  <c r="P27" i="4"/>
  <c r="X18" i="4"/>
  <c r="L18" i="5"/>
  <c r="D27" i="5"/>
  <c r="F93" i="96"/>
  <c r="F91" i="96"/>
  <c r="F70" i="96"/>
  <c r="F69" i="96"/>
  <c r="F71" i="96"/>
  <c r="F51" i="96"/>
  <c r="F50" i="96"/>
  <c r="F35" i="96"/>
  <c r="F84" i="96"/>
  <c r="F83" i="96"/>
  <c r="F44" i="96"/>
  <c r="F43" i="96"/>
  <c r="F88" i="96"/>
  <c r="F87" i="96"/>
  <c r="F68" i="96"/>
  <c r="F64" i="96"/>
  <c r="F63" i="96"/>
  <c r="F95" i="96"/>
  <c r="F90" i="96"/>
  <c r="F86" i="96"/>
  <c r="F53" i="96"/>
  <c r="F46" i="96"/>
  <c r="F38" i="96"/>
  <c r="F74" i="96"/>
  <c r="F24" i="96"/>
  <c r="F23" i="96"/>
  <c r="F77" i="96"/>
  <c r="F66" i="96"/>
  <c r="F57" i="96"/>
  <c r="F39" i="96"/>
  <c r="F31" i="96"/>
  <c r="F22" i="96"/>
  <c r="F20" i="96"/>
  <c r="F61" i="96"/>
  <c r="F40" i="96"/>
  <c r="F28" i="96"/>
  <c r="D20" i="96"/>
  <c r="F80" i="96"/>
  <c r="F54" i="96"/>
  <c r="F47" i="96"/>
  <c r="F25" i="96"/>
  <c r="F75" i="96"/>
  <c r="F58" i="96"/>
  <c r="F36" i="96"/>
  <c r="F32" i="96"/>
  <c r="F97" i="96"/>
  <c r="F59" i="96"/>
  <c r="F55" i="96"/>
  <c r="F41" i="96"/>
  <c r="F33" i="96"/>
  <c r="F81" i="96"/>
  <c r="F78" i="96"/>
  <c r="F72" i="96"/>
  <c r="F67" i="96"/>
  <c r="F29" i="96"/>
  <c r="F26" i="96"/>
  <c r="F73" i="96"/>
  <c r="F65" i="96"/>
  <c r="F62" i="96"/>
  <c r="F48" i="96"/>
  <c r="F17" i="96"/>
  <c r="F16" i="96"/>
  <c r="F85" i="96"/>
  <c r="F45" i="96"/>
  <c r="F42" i="96"/>
  <c r="F37" i="96"/>
  <c r="F34" i="96"/>
  <c r="L12" i="96"/>
  <c r="N12" i="96" s="1"/>
  <c r="F79" i="96"/>
  <c r="F60" i="96"/>
  <c r="F56" i="96"/>
  <c r="F52" i="96"/>
  <c r="F27" i="96"/>
  <c r="F18" i="96"/>
  <c r="F100" i="96"/>
  <c r="F76" i="96"/>
  <c r="F30" i="96"/>
  <c r="F82" i="96"/>
  <c r="F49" i="96"/>
  <c r="J78" i="88"/>
  <c r="J66" i="88"/>
  <c r="J60" i="88"/>
  <c r="J50" i="88"/>
  <c r="J40" i="88"/>
  <c r="J34" i="88"/>
  <c r="J79" i="88"/>
  <c r="J67" i="88"/>
  <c r="J61" i="88"/>
  <c r="J51" i="88"/>
  <c r="J41" i="88"/>
  <c r="J29" i="88"/>
  <c r="J25" i="88"/>
  <c r="J80" i="88"/>
  <c r="J72" i="88"/>
  <c r="J68" i="88"/>
  <c r="J52" i="88"/>
  <c r="J42" i="88"/>
  <c r="J81" i="88"/>
  <c r="J53" i="88"/>
  <c r="J43" i="88"/>
  <c r="J35" i="88"/>
  <c r="J82" i="88"/>
  <c r="J62" i="88"/>
  <c r="J54" i="88"/>
  <c r="J44" i="88"/>
  <c r="J30" i="88"/>
  <c r="J26" i="88"/>
  <c r="J16" i="88"/>
  <c r="J73" i="88"/>
  <c r="J69" i="88"/>
  <c r="J55" i="88"/>
  <c r="J45" i="88"/>
  <c r="J17" i="88"/>
  <c r="J84" i="88"/>
  <c r="J56" i="88"/>
  <c r="J36" i="88"/>
  <c r="J63" i="88"/>
  <c r="J31" i="88"/>
  <c r="J27" i="88"/>
  <c r="J88" i="88"/>
  <c r="J74" i="88"/>
  <c r="J70" i="88"/>
  <c r="J64" i="88"/>
  <c r="J46" i="88"/>
  <c r="J32" i="88"/>
  <c r="J18" i="88"/>
  <c r="J75" i="88"/>
  <c r="J65" i="88"/>
  <c r="J57" i="88"/>
  <c r="J47" i="88"/>
  <c r="J37" i="88"/>
  <c r="J33" i="88"/>
  <c r="J23" i="88"/>
  <c r="J77" i="88"/>
  <c r="J71" i="88"/>
  <c r="J59" i="88"/>
  <c r="J49" i="88"/>
  <c r="J39" i="88"/>
  <c r="H20" i="88"/>
  <c r="J20" i="88" s="1"/>
  <c r="J22" i="88"/>
  <c r="J24" i="88"/>
  <c r="J76" i="88"/>
  <c r="J58" i="88"/>
  <c r="J48" i="88"/>
  <c r="J28" i="88"/>
  <c r="J38" i="88"/>
  <c r="N12" i="88"/>
  <c r="H29" i="83"/>
  <c r="P86" i="88"/>
  <c r="X20" i="88"/>
  <c r="R67" i="89"/>
  <c r="R66" i="89"/>
  <c r="R62" i="89"/>
  <c r="R47" i="89"/>
  <c r="R46" i="89"/>
  <c r="R79" i="89"/>
  <c r="R71" i="89"/>
  <c r="R70" i="89"/>
  <c r="R58" i="89"/>
  <c r="R51" i="89"/>
  <c r="R50" i="89"/>
  <c r="R39" i="89"/>
  <c r="R38" i="89"/>
  <c r="R34" i="89"/>
  <c r="R29" i="89"/>
  <c r="R25" i="89"/>
  <c r="R72" i="89"/>
  <c r="R64" i="89"/>
  <c r="R53" i="89"/>
  <c r="R52" i="89"/>
  <c r="R41" i="89"/>
  <c r="R40" i="89"/>
  <c r="R60" i="89"/>
  <c r="R59" i="89"/>
  <c r="R73" i="89"/>
  <c r="R55" i="89"/>
  <c r="R32" i="89"/>
  <c r="R31" i="89"/>
  <c r="R27" i="89"/>
  <c r="R45" i="89"/>
  <c r="R33" i="89"/>
  <c r="R30" i="89"/>
  <c r="R56" i="89"/>
  <c r="R48" i="89"/>
  <c r="R42" i="89"/>
  <c r="R36" i="89"/>
  <c r="R28" i="89"/>
  <c r="P20" i="89"/>
  <c r="R20" i="89" s="1"/>
  <c r="R54" i="89"/>
  <c r="R22" i="89"/>
  <c r="R16" i="89"/>
  <c r="R26" i="89"/>
  <c r="R23" i="89"/>
  <c r="R43" i="89"/>
  <c r="R69" i="89"/>
  <c r="R24" i="89"/>
  <c r="R17" i="89"/>
  <c r="X12" i="89"/>
  <c r="Z12" i="89" s="1"/>
  <c r="R49" i="89"/>
  <c r="R37" i="89"/>
  <c r="R65" i="89"/>
  <c r="R61" i="89"/>
  <c r="R57" i="89"/>
  <c r="R63" i="89"/>
  <c r="R35" i="89"/>
  <c r="R18" i="89"/>
  <c r="R75" i="89"/>
  <c r="R68" i="89"/>
  <c r="R44" i="89"/>
  <c r="D80" i="81"/>
  <c r="L20" i="81"/>
  <c r="V81" i="84"/>
  <c r="V73" i="84"/>
  <c r="V61" i="84"/>
  <c r="V53" i="84"/>
  <c r="V45" i="84"/>
  <c r="V17" i="84"/>
  <c r="V80" i="84"/>
  <c r="V68" i="84"/>
  <c r="V56" i="84"/>
  <c r="V44" i="84"/>
  <c r="V36" i="84"/>
  <c r="V32" i="84"/>
  <c r="Z12" i="84"/>
  <c r="V63" i="84"/>
  <c r="V55" i="84"/>
  <c r="V31" i="84"/>
  <c r="V27" i="84"/>
  <c r="V23" i="84"/>
  <c r="V84" i="84"/>
  <c r="V82" i="84"/>
  <c r="V74" i="84"/>
  <c r="V70" i="84"/>
  <c r="V58" i="84"/>
  <c r="V46" i="84"/>
  <c r="V22" i="84"/>
  <c r="V18" i="84"/>
  <c r="V69" i="84"/>
  <c r="V57" i="84"/>
  <c r="V37" i="84"/>
  <c r="V33" i="84"/>
  <c r="T20" i="84"/>
  <c r="V20" i="84" s="1"/>
  <c r="V64" i="84"/>
  <c r="V48" i="84"/>
  <c r="V28" i="84"/>
  <c r="V24" i="84"/>
  <c r="V75" i="84"/>
  <c r="V71" i="84"/>
  <c r="V59" i="84"/>
  <c r="V88" i="84"/>
  <c r="V50" i="84"/>
  <c r="V38" i="84"/>
  <c r="V34" i="84"/>
  <c r="V77" i="84"/>
  <c r="V65" i="84"/>
  <c r="V49" i="84"/>
  <c r="V41" i="84"/>
  <c r="V29" i="84"/>
  <c r="V25" i="84"/>
  <c r="V76" i="84"/>
  <c r="V72" i="84"/>
  <c r="V60" i="84"/>
  <c r="V52" i="84"/>
  <c r="V40" i="84"/>
  <c r="V16" i="84"/>
  <c r="V78" i="84"/>
  <c r="V66" i="84"/>
  <c r="V62" i="84"/>
  <c r="V54" i="84"/>
  <c r="V42" i="84"/>
  <c r="V30" i="84"/>
  <c r="V26" i="84"/>
  <c r="V39" i="84"/>
  <c r="V43" i="84"/>
  <c r="V79" i="84"/>
  <c r="V67" i="84"/>
  <c r="V47" i="84"/>
  <c r="V51" i="84"/>
  <c r="V35" i="84"/>
  <c r="L21" i="83"/>
  <c r="N21" i="83" s="1"/>
  <c r="D29" i="83"/>
  <c r="H115" i="75"/>
  <c r="L112" i="75"/>
  <c r="J108" i="71"/>
  <c r="J102" i="71"/>
  <c r="J96" i="71"/>
  <c r="J86" i="71"/>
  <c r="J78" i="71"/>
  <c r="J64" i="71"/>
  <c r="J109" i="71"/>
  <c r="J103" i="71"/>
  <c r="J97" i="71"/>
  <c r="J87" i="71"/>
  <c r="J73" i="71"/>
  <c r="J69" i="71"/>
  <c r="J65" i="71"/>
  <c r="J63" i="71"/>
  <c r="J43" i="71"/>
  <c r="J104" i="71"/>
  <c r="J88" i="71"/>
  <c r="J74" i="71"/>
  <c r="H61" i="71"/>
  <c r="J56" i="71"/>
  <c r="J52" i="71"/>
  <c r="J48" i="71"/>
  <c r="J44" i="71"/>
  <c r="J89" i="71"/>
  <c r="J79" i="71"/>
  <c r="J75" i="71"/>
  <c r="J110" i="71"/>
  <c r="J98" i="71"/>
  <c r="J90" i="71"/>
  <c r="J80" i="71"/>
  <c r="J70" i="71"/>
  <c r="J66" i="71"/>
  <c r="J111" i="71"/>
  <c r="J105" i="71"/>
  <c r="J81" i="71"/>
  <c r="J57" i="71"/>
  <c r="J53" i="71"/>
  <c r="J49" i="71"/>
  <c r="J45" i="71"/>
  <c r="J112" i="71"/>
  <c r="J82" i="71"/>
  <c r="J76" i="71"/>
  <c r="J119" i="71"/>
  <c r="J113" i="71"/>
  <c r="J99" i="71"/>
  <c r="J91" i="71"/>
  <c r="J83" i="71"/>
  <c r="J71" i="71"/>
  <c r="J67" i="71"/>
  <c r="J118" i="71"/>
  <c r="J114" i="71"/>
  <c r="J106" i="71"/>
  <c r="J100" i="71"/>
  <c r="J92" i="71"/>
  <c r="J58" i="71"/>
  <c r="J54" i="71"/>
  <c r="J50" i="71"/>
  <c r="J46" i="71"/>
  <c r="J123" i="71"/>
  <c r="J117" i="71"/>
  <c r="J101" i="71"/>
  <c r="J93" i="71"/>
  <c r="J77" i="71"/>
  <c r="J107" i="71"/>
  <c r="J95" i="71"/>
  <c r="J85" i="71"/>
  <c r="J59" i="71"/>
  <c r="J55" i="71"/>
  <c r="J51" i="71"/>
  <c r="J47" i="71"/>
  <c r="J116" i="71"/>
  <c r="J84" i="71"/>
  <c r="N12" i="71"/>
  <c r="J68" i="71"/>
  <c r="J94" i="71"/>
  <c r="J72" i="71"/>
  <c r="Z16" i="68"/>
  <c r="T61" i="68"/>
  <c r="T115" i="75"/>
  <c r="L16" i="57"/>
  <c r="D72" i="57"/>
  <c r="P74" i="56"/>
  <c r="X16" i="56"/>
  <c r="D73" i="48"/>
  <c r="L17" i="48"/>
  <c r="L12" i="48"/>
  <c r="N12" i="48" s="1"/>
  <c r="Z120" i="42"/>
  <c r="J119" i="27"/>
  <c r="J115" i="27"/>
  <c r="J107" i="27"/>
  <c r="J101" i="27"/>
  <c r="J93" i="27"/>
  <c r="J59" i="27"/>
  <c r="J124" i="27"/>
  <c r="J118" i="27"/>
  <c r="J117" i="27"/>
  <c r="J109" i="27"/>
  <c r="J103" i="27"/>
  <c r="J97" i="27"/>
  <c r="J87" i="27"/>
  <c r="J79" i="27"/>
  <c r="J65" i="27"/>
  <c r="J110" i="27"/>
  <c r="J104" i="27"/>
  <c r="J98" i="27"/>
  <c r="J88" i="27"/>
  <c r="J74" i="27"/>
  <c r="J70" i="27"/>
  <c r="J66" i="27"/>
  <c r="J64" i="27"/>
  <c r="J111" i="27"/>
  <c r="J112" i="27"/>
  <c r="J106" i="27"/>
  <c r="J82" i="27"/>
  <c r="J120" i="27"/>
  <c r="J114" i="27"/>
  <c r="J100" i="27"/>
  <c r="J92" i="27"/>
  <c r="J84" i="27"/>
  <c r="J72" i="27"/>
  <c r="J68" i="27"/>
  <c r="J94" i="27"/>
  <c r="J57" i="27"/>
  <c r="J44" i="27"/>
  <c r="J102" i="27"/>
  <c r="J89" i="27"/>
  <c r="J86" i="27"/>
  <c r="J80" i="27"/>
  <c r="J60" i="27"/>
  <c r="J54" i="27"/>
  <c r="J51" i="27"/>
  <c r="J78" i="27"/>
  <c r="J48" i="27"/>
  <c r="J73" i="27"/>
  <c r="J45" i="27"/>
  <c r="J95" i="27"/>
  <c r="J81" i="27"/>
  <c r="J76" i="27"/>
  <c r="J71" i="27"/>
  <c r="J55" i="27"/>
  <c r="J113" i="27"/>
  <c r="J90" i="27"/>
  <c r="J58" i="27"/>
  <c r="J52" i="27"/>
  <c r="J105" i="27"/>
  <c r="J69" i="27"/>
  <c r="H62" i="27"/>
  <c r="J49" i="27"/>
  <c r="J96" i="27"/>
  <c r="J67" i="27"/>
  <c r="J46" i="27"/>
  <c r="J56" i="27"/>
  <c r="J99" i="27"/>
  <c r="J85" i="27"/>
  <c r="J53" i="27"/>
  <c r="J108" i="27"/>
  <c r="J83" i="27"/>
  <c r="J75" i="27"/>
  <c r="J91" i="27"/>
  <c r="J50" i="27"/>
  <c r="J47" i="27"/>
  <c r="J77" i="27"/>
  <c r="H298" i="18"/>
  <c r="H270" i="15"/>
  <c r="V262" i="15"/>
  <c r="V256" i="15"/>
  <c r="V248" i="15"/>
  <c r="V232" i="15"/>
  <c r="V220" i="15"/>
  <c r="V208" i="15"/>
  <c r="V200" i="15"/>
  <c r="V192" i="15"/>
  <c r="V180" i="15"/>
  <c r="V176" i="15"/>
  <c r="V172" i="15"/>
  <c r="V261" i="15"/>
  <c r="V255" i="15"/>
  <c r="V243" i="15"/>
  <c r="V239" i="15"/>
  <c r="V227" i="15"/>
  <c r="V219" i="15"/>
  <c r="V199" i="15"/>
  <c r="V191" i="15"/>
  <c r="V171" i="15"/>
  <c r="V169" i="15"/>
  <c r="V167" i="15"/>
  <c r="V163" i="15"/>
  <c r="V159" i="15"/>
  <c r="V155" i="15"/>
  <c r="V151" i="15"/>
  <c r="V147" i="15"/>
  <c r="V143" i="15"/>
  <c r="V139" i="15"/>
  <c r="V135" i="15"/>
  <c r="V131" i="15"/>
  <c r="V127" i="15"/>
  <c r="V123" i="15"/>
  <c r="V119" i="15"/>
  <c r="V260" i="15"/>
  <c r="V250" i="15"/>
  <c r="V238" i="15"/>
  <c r="V226" i="15"/>
  <c r="V222" i="15"/>
  <c r="V210" i="15"/>
  <c r="V186" i="15"/>
  <c r="V182" i="15"/>
  <c r="T169" i="15"/>
  <c r="V259" i="15"/>
  <c r="V257" i="15"/>
  <c r="V249" i="15"/>
  <c r="V233" i="15"/>
  <c r="V221" i="15"/>
  <c r="V201" i="15"/>
  <c r="V193" i="15"/>
  <c r="V181" i="15"/>
  <c r="V177" i="15"/>
  <c r="V173" i="15"/>
  <c r="V252" i="15"/>
  <c r="V244" i="15"/>
  <c r="V240" i="15"/>
  <c r="V228" i="15"/>
  <c r="V212" i="15"/>
  <c r="V164" i="15"/>
  <c r="V160" i="15"/>
  <c r="V156" i="15"/>
  <c r="V152" i="15"/>
  <c r="V148" i="15"/>
  <c r="V144" i="15"/>
  <c r="V140" i="15"/>
  <c r="V136" i="15"/>
  <c r="V132" i="15"/>
  <c r="V128" i="15"/>
  <c r="V124" i="15"/>
  <c r="V120" i="15"/>
  <c r="V116" i="15"/>
  <c r="V251" i="15"/>
  <c r="V223" i="15"/>
  <c r="V211" i="15"/>
  <c r="V203" i="15"/>
  <c r="V195" i="15"/>
  <c r="V187" i="15"/>
  <c r="V183" i="15"/>
  <c r="V268" i="15"/>
  <c r="V234" i="15"/>
  <c r="V214" i="15"/>
  <c r="V267" i="15"/>
  <c r="V253" i="15"/>
  <c r="V245" i="15"/>
  <c r="V241" i="15"/>
  <c r="V229" i="15"/>
  <c r="V213" i="15"/>
  <c r="V205" i="15"/>
  <c r="V197" i="15"/>
  <c r="V165" i="15"/>
  <c r="V161" i="15"/>
  <c r="V157" i="15"/>
  <c r="V153" i="15"/>
  <c r="V149" i="15"/>
  <c r="V145" i="15"/>
  <c r="V141" i="15"/>
  <c r="V137" i="15"/>
  <c r="V133" i="15"/>
  <c r="V129" i="15"/>
  <c r="V125" i="15"/>
  <c r="V121" i="15"/>
  <c r="V117" i="15"/>
  <c r="V266" i="15"/>
  <c r="V236" i="15"/>
  <c r="V224" i="15"/>
  <c r="V216" i="15"/>
  <c r="V204" i="15"/>
  <c r="V196" i="15"/>
  <c r="V188" i="15"/>
  <c r="V184" i="15"/>
  <c r="V265" i="15"/>
  <c r="V247" i="15"/>
  <c r="V235" i="15"/>
  <c r="V231" i="15"/>
  <c r="V215" i="15"/>
  <c r="V207" i="15"/>
  <c r="V179" i="15"/>
  <c r="V175" i="15"/>
  <c r="V263" i="15"/>
  <c r="V237" i="15"/>
  <c r="V225" i="15"/>
  <c r="V217" i="15"/>
  <c r="V209" i="15"/>
  <c r="V189" i="15"/>
  <c r="V185" i="15"/>
  <c r="V242" i="15"/>
  <c r="V272" i="15"/>
  <c r="V206" i="15"/>
  <c r="V174" i="15"/>
  <c r="V130" i="15"/>
  <c r="V122" i="15"/>
  <c r="V162" i="15"/>
  <c r="V154" i="15"/>
  <c r="V146" i="15"/>
  <c r="V264" i="15"/>
  <c r="V254" i="15"/>
  <c r="V138" i="15"/>
  <c r="V246" i="15"/>
  <c r="V230" i="15"/>
  <c r="V190" i="15"/>
  <c r="V178" i="15"/>
  <c r="V126" i="15"/>
  <c r="V118" i="15"/>
  <c r="V194" i="15"/>
  <c r="V166" i="15"/>
  <c r="V158" i="15"/>
  <c r="V134" i="15"/>
  <c r="V202" i="15"/>
  <c r="V198" i="15"/>
  <c r="V150" i="15"/>
  <c r="V142" i="15"/>
  <c r="V218" i="15"/>
  <c r="H27" i="44"/>
  <c r="N18" i="44"/>
  <c r="L18" i="43"/>
  <c r="D27" i="43"/>
  <c r="P27" i="47"/>
  <c r="X18" i="47"/>
  <c r="T27" i="43"/>
  <c r="Z18" i="43"/>
  <c r="H27" i="40"/>
  <c r="N18" i="40"/>
  <c r="L18" i="40"/>
  <c r="D27" i="40"/>
  <c r="H27" i="38"/>
  <c r="N18" i="38"/>
  <c r="L18" i="29"/>
  <c r="D27" i="29"/>
  <c r="H27" i="32"/>
  <c r="N18" i="32"/>
  <c r="P27" i="22"/>
  <c r="X18" i="22"/>
  <c r="X18" i="7"/>
  <c r="P27" i="7"/>
  <c r="Z117" i="27"/>
  <c r="J62" i="101"/>
  <c r="J58" i="101"/>
  <c r="J60" i="101"/>
  <c r="J56" i="101"/>
  <c r="J46" i="101"/>
  <c r="J34" i="101"/>
  <c r="J30" i="101"/>
  <c r="J57" i="101"/>
  <c r="J47" i="101"/>
  <c r="J35" i="101"/>
  <c r="J67" i="101"/>
  <c r="J66" i="101"/>
  <c r="J48" i="101"/>
  <c r="J36" i="101"/>
  <c r="J20" i="101"/>
  <c r="J49" i="101"/>
  <c r="J37" i="101"/>
  <c r="J31" i="101"/>
  <c r="J25" i="101"/>
  <c r="J61" i="101"/>
  <c r="J50" i="101"/>
  <c r="J38" i="101"/>
  <c r="J26" i="101"/>
  <c r="J24" i="101"/>
  <c r="J71" i="101"/>
  <c r="J39" i="101"/>
  <c r="H22" i="101"/>
  <c r="J40" i="101"/>
  <c r="J32" i="101"/>
  <c r="N12" i="101"/>
  <c r="J51" i="101"/>
  <c r="J41" i="101"/>
  <c r="J27" i="101"/>
  <c r="L12" i="101"/>
  <c r="J59" i="101"/>
  <c r="J52" i="101"/>
  <c r="J42" i="101"/>
  <c r="J63" i="101"/>
  <c r="J53" i="101"/>
  <c r="J43" i="101"/>
  <c r="J33" i="101"/>
  <c r="J54" i="101"/>
  <c r="J44" i="101"/>
  <c r="J28" i="101"/>
  <c r="J18" i="101"/>
  <c r="J64" i="101"/>
  <c r="J55" i="101"/>
  <c r="J45" i="101"/>
  <c r="J29" i="101"/>
  <c r="J19" i="101"/>
  <c r="T24" i="107"/>
  <c r="Z16" i="107"/>
  <c r="P87" i="108"/>
  <c r="X21" i="108"/>
  <c r="Z21" i="108" s="1"/>
  <c r="L82" i="102"/>
  <c r="N82" i="102" s="1"/>
  <c r="J79" i="102"/>
  <c r="J67" i="102"/>
  <c r="J51" i="102"/>
  <c r="J41" i="102"/>
  <c r="J37" i="102"/>
  <c r="J80" i="102"/>
  <c r="J72" i="102"/>
  <c r="J68" i="102"/>
  <c r="J60" i="102"/>
  <c r="J52" i="102"/>
  <c r="J83" i="102"/>
  <c r="J61" i="102"/>
  <c r="J53" i="102"/>
  <c r="J82" i="102"/>
  <c r="J87" i="102"/>
  <c r="J73" i="102"/>
  <c r="J69" i="102"/>
  <c r="J63" i="102"/>
  <c r="J55" i="102"/>
  <c r="J43" i="102"/>
  <c r="J33" i="102"/>
  <c r="J29" i="102"/>
  <c r="J19" i="102"/>
  <c r="J64" i="102"/>
  <c r="J56" i="102"/>
  <c r="J44" i="102"/>
  <c r="J20" i="102"/>
  <c r="J57" i="102"/>
  <c r="J74" i="102"/>
  <c r="J70" i="102"/>
  <c r="J58" i="102"/>
  <c r="J75" i="102"/>
  <c r="J65" i="102"/>
  <c r="J47" i="102"/>
  <c r="J76" i="102"/>
  <c r="J78" i="102"/>
  <c r="J66" i="102"/>
  <c r="J50" i="102"/>
  <c r="J36" i="102"/>
  <c r="H23" i="102"/>
  <c r="J71" i="102"/>
  <c r="J46" i="102"/>
  <c r="J35" i="102"/>
  <c r="J28" i="102"/>
  <c r="J59" i="102"/>
  <c r="J49" i="102"/>
  <c r="J23" i="102"/>
  <c r="J77" i="102"/>
  <c r="J39" i="102"/>
  <c r="J31" i="102"/>
  <c r="J25" i="102"/>
  <c r="J45" i="102"/>
  <c r="J34" i="102"/>
  <c r="J26" i="102"/>
  <c r="J54" i="102"/>
  <c r="J42" i="102"/>
  <c r="J21" i="102"/>
  <c r="J40" i="102"/>
  <c r="J32" i="102"/>
  <c r="J27" i="102"/>
  <c r="J62" i="102"/>
  <c r="J48" i="102"/>
  <c r="J38" i="102"/>
  <c r="J30" i="102"/>
  <c r="H87" i="98"/>
  <c r="N20" i="98"/>
  <c r="H73" i="94"/>
  <c r="J20" i="94"/>
  <c r="D73" i="94"/>
  <c r="L20" i="94"/>
  <c r="N20" i="94" s="1"/>
  <c r="F21" i="83"/>
  <c r="H80" i="81"/>
  <c r="N20" i="81"/>
  <c r="J20" i="81"/>
  <c r="J55" i="79"/>
  <c r="J45" i="79"/>
  <c r="J41" i="79"/>
  <c r="J56" i="79"/>
  <c r="J46" i="79"/>
  <c r="J36" i="79"/>
  <c r="J32" i="79"/>
  <c r="J57" i="79"/>
  <c r="J47" i="79"/>
  <c r="J58" i="79"/>
  <c r="J48" i="79"/>
  <c r="J42" i="79"/>
  <c r="J49" i="79"/>
  <c r="J37" i="79"/>
  <c r="J33" i="79"/>
  <c r="J68" i="79"/>
  <c r="J50" i="79"/>
  <c r="J24" i="79"/>
  <c r="J67" i="79"/>
  <c r="J59" i="79"/>
  <c r="J72" i="79"/>
  <c r="J66" i="79"/>
  <c r="J60" i="79"/>
  <c r="J38" i="79"/>
  <c r="J34" i="79"/>
  <c r="J20" i="79"/>
  <c r="J65" i="79"/>
  <c r="J61" i="79"/>
  <c r="J39" i="79"/>
  <c r="J25" i="79"/>
  <c r="J21" i="79"/>
  <c r="J64" i="79"/>
  <c r="J52" i="79"/>
  <c r="J44" i="79"/>
  <c r="J40" i="79"/>
  <c r="J30" i="79"/>
  <c r="N12" i="79"/>
  <c r="J54" i="79"/>
  <c r="H27" i="79"/>
  <c r="J22" i="79"/>
  <c r="J23" i="79"/>
  <c r="J43" i="79"/>
  <c r="J31" i="79"/>
  <c r="J29" i="79"/>
  <c r="J53" i="79"/>
  <c r="J51" i="79"/>
  <c r="J35" i="79"/>
  <c r="J27" i="79"/>
  <c r="J63" i="79"/>
  <c r="V67" i="79"/>
  <c r="V49" i="79"/>
  <c r="V37" i="79"/>
  <c r="V33" i="79"/>
  <c r="V66" i="79"/>
  <c r="V60" i="79"/>
  <c r="V24" i="79"/>
  <c r="V20" i="79"/>
  <c r="V65" i="79"/>
  <c r="V59" i="79"/>
  <c r="V51" i="79"/>
  <c r="V43" i="79"/>
  <c r="V39" i="79"/>
  <c r="V72" i="79"/>
  <c r="V64" i="79"/>
  <c r="V38" i="79"/>
  <c r="V34" i="79"/>
  <c r="V30" i="79"/>
  <c r="V63" i="79"/>
  <c r="V61" i="79"/>
  <c r="V53" i="79"/>
  <c r="V29" i="79"/>
  <c r="V25" i="79"/>
  <c r="V21" i="79"/>
  <c r="V52" i="79"/>
  <c r="V44" i="79"/>
  <c r="V40" i="79"/>
  <c r="T27" i="79"/>
  <c r="V55" i="79"/>
  <c r="V54" i="79"/>
  <c r="V46" i="79"/>
  <c r="V22" i="79"/>
  <c r="V57" i="79"/>
  <c r="V45" i="79"/>
  <c r="V41" i="79"/>
  <c r="V56" i="79"/>
  <c r="V48" i="79"/>
  <c r="V36" i="79"/>
  <c r="V32" i="79"/>
  <c r="V68" i="79"/>
  <c r="V58" i="79"/>
  <c r="V50" i="79"/>
  <c r="V42" i="79"/>
  <c r="V31" i="79"/>
  <c r="V47" i="79"/>
  <c r="V35" i="79"/>
  <c r="V23" i="79"/>
  <c r="D73" i="80"/>
  <c r="L20" i="80"/>
  <c r="P88" i="73"/>
  <c r="F57" i="70"/>
  <c r="F49" i="70"/>
  <c r="F48" i="70"/>
  <c r="F37" i="70"/>
  <c r="F33" i="70"/>
  <c r="F32" i="70"/>
  <c r="F68" i="70"/>
  <c r="F64" i="70"/>
  <c r="F70" i="70"/>
  <c r="F69" i="70"/>
  <c r="F58" i="70"/>
  <c r="F34" i="70"/>
  <c r="D20" i="70"/>
  <c r="F65" i="70"/>
  <c r="F53" i="70"/>
  <c r="F52" i="70"/>
  <c r="F41" i="70"/>
  <c r="F40" i="70"/>
  <c r="F29" i="70"/>
  <c r="F25" i="70"/>
  <c r="F60" i="70"/>
  <c r="F59" i="70"/>
  <c r="F76" i="70"/>
  <c r="F66" i="70"/>
  <c r="F62" i="70"/>
  <c r="F61" i="70"/>
  <c r="F54" i="70"/>
  <c r="F30" i="70"/>
  <c r="F26" i="70"/>
  <c r="F56" i="70"/>
  <c r="F55" i="70"/>
  <c r="F36" i="70"/>
  <c r="L12" i="70"/>
  <c r="N12" i="70" s="1"/>
  <c r="F18" i="70"/>
  <c r="F67" i="70"/>
  <c r="F46" i="70"/>
  <c r="F72" i="70"/>
  <c r="F38" i="70"/>
  <c r="F28" i="70"/>
  <c r="F47" i="70"/>
  <c r="F44" i="70"/>
  <c r="F22" i="70"/>
  <c r="F50" i="70"/>
  <c r="F39" i="70"/>
  <c r="F23" i="70"/>
  <c r="F16" i="70"/>
  <c r="F74" i="70"/>
  <c r="F45" i="70"/>
  <c r="F42" i="70"/>
  <c r="F51" i="70"/>
  <c r="F27" i="70"/>
  <c r="F81" i="70"/>
  <c r="F35" i="70"/>
  <c r="F63" i="70"/>
  <c r="F31" i="70"/>
  <c r="F20" i="70"/>
  <c r="F17" i="70"/>
  <c r="F78" i="70"/>
  <c r="F24" i="70"/>
  <c r="F43" i="70"/>
  <c r="J76" i="69"/>
  <c r="P50" i="60"/>
  <c r="X16" i="60"/>
  <c r="H50" i="60"/>
  <c r="N16" i="60"/>
  <c r="N17" i="64"/>
  <c r="H101" i="64"/>
  <c r="X16" i="55"/>
  <c r="P33" i="55"/>
  <c r="V114" i="42"/>
  <c r="V106" i="42"/>
  <c r="V102" i="42"/>
  <c r="V78" i="42"/>
  <c r="V66" i="42"/>
  <c r="V58" i="42"/>
  <c r="V26" i="42"/>
  <c r="V97" i="42"/>
  <c r="V85" i="42"/>
  <c r="V77" i="42"/>
  <c r="V69" i="42"/>
  <c r="V49" i="42"/>
  <c r="V45" i="42"/>
  <c r="V92" i="42"/>
  <c r="V80" i="42"/>
  <c r="V68" i="42"/>
  <c r="V40" i="42"/>
  <c r="V115" i="42"/>
  <c r="V107" i="42"/>
  <c r="V103" i="42"/>
  <c r="V99" i="42"/>
  <c r="V87" i="42"/>
  <c r="V79" i="42"/>
  <c r="V71" i="42"/>
  <c r="V59" i="42"/>
  <c r="V51" i="42"/>
  <c r="V98" i="42"/>
  <c r="V86" i="42"/>
  <c r="V82" i="42"/>
  <c r="V70" i="42"/>
  <c r="V50" i="42"/>
  <c r="V46" i="42"/>
  <c r="V123" i="42"/>
  <c r="V117" i="42"/>
  <c r="V109" i="42"/>
  <c r="V93" i="42"/>
  <c r="V81" i="42"/>
  <c r="V61" i="42"/>
  <c r="V53" i="42"/>
  <c r="V41" i="42"/>
  <c r="V37" i="42"/>
  <c r="V33" i="42"/>
  <c r="V122" i="42"/>
  <c r="V121" i="42"/>
  <c r="V111" i="42"/>
  <c r="V83" i="42"/>
  <c r="V63" i="42"/>
  <c r="V55" i="42"/>
  <c r="V47" i="42"/>
  <c r="V43" i="42"/>
  <c r="V120" i="42"/>
  <c r="V118" i="42"/>
  <c r="V110" i="42"/>
  <c r="V94" i="42"/>
  <c r="V90" i="42"/>
  <c r="V74" i="42"/>
  <c r="V62" i="42"/>
  <c r="V54" i="42"/>
  <c r="V42" i="42"/>
  <c r="V38" i="42"/>
  <c r="V34" i="42"/>
  <c r="V127" i="42"/>
  <c r="V113" i="42"/>
  <c r="V105" i="42"/>
  <c r="V101" i="42"/>
  <c r="V89" i="42"/>
  <c r="V73" i="42"/>
  <c r="V65" i="42"/>
  <c r="V57" i="42"/>
  <c r="V95" i="42"/>
  <c r="V91" i="42"/>
  <c r="V75" i="42"/>
  <c r="V67" i="42"/>
  <c r="V39" i="42"/>
  <c r="V35" i="42"/>
  <c r="V60" i="42"/>
  <c r="V64" i="42"/>
  <c r="V108" i="42"/>
  <c r="V100" i="42"/>
  <c r="V84" i="42"/>
  <c r="V52" i="42"/>
  <c r="V44" i="42"/>
  <c r="V30" i="42"/>
  <c r="T30" i="42"/>
  <c r="V112" i="42"/>
  <c r="V56" i="42"/>
  <c r="V76" i="42"/>
  <c r="V27" i="42"/>
  <c r="V72" i="42"/>
  <c r="V88" i="42"/>
  <c r="V32" i="42"/>
  <c r="V116" i="42"/>
  <c r="V96" i="42"/>
  <c r="V36" i="42"/>
  <c r="V28" i="42"/>
  <c r="V48" i="42"/>
  <c r="V104" i="42"/>
  <c r="D143" i="24"/>
  <c r="T22" i="6"/>
  <c r="Z16" i="6"/>
  <c r="N29" i="21"/>
  <c r="H108" i="21"/>
  <c r="H97" i="9"/>
  <c r="F245" i="12"/>
  <c r="F244" i="12"/>
  <c r="F233" i="12"/>
  <c r="F275" i="12"/>
  <c r="F273" i="12"/>
  <c r="F264" i="12"/>
  <c r="F252" i="12"/>
  <c r="F248" i="12"/>
  <c r="F247" i="12"/>
  <c r="F236" i="12"/>
  <c r="F269" i="12"/>
  <c r="F260" i="12"/>
  <c r="F259" i="12"/>
  <c r="F232" i="12"/>
  <c r="F262" i="12"/>
  <c r="F261" i="12"/>
  <c r="F254" i="12"/>
  <c r="F250" i="12"/>
  <c r="F231" i="12"/>
  <c r="F226" i="12"/>
  <c r="F225" i="12"/>
  <c r="F206" i="12"/>
  <c r="F205" i="12"/>
  <c r="F198" i="12"/>
  <c r="F197" i="12"/>
  <c r="F186" i="12"/>
  <c r="F182" i="12"/>
  <c r="F178" i="12"/>
  <c r="F177" i="12"/>
  <c r="F274" i="12"/>
  <c r="F176" i="12"/>
  <c r="F169" i="12"/>
  <c r="F165" i="12"/>
  <c r="F161" i="12"/>
  <c r="F157" i="12"/>
  <c r="F153" i="12"/>
  <c r="F149" i="12"/>
  <c r="F145" i="12"/>
  <c r="F141" i="12"/>
  <c r="F137" i="12"/>
  <c r="F133" i="12"/>
  <c r="F129" i="12"/>
  <c r="F125" i="12"/>
  <c r="F121" i="12"/>
  <c r="F266" i="12"/>
  <c r="F263" i="12"/>
  <c r="F243" i="12"/>
  <c r="F237" i="12"/>
  <c r="F234" i="12"/>
  <c r="F228" i="12"/>
  <c r="F227" i="12"/>
  <c r="F216" i="12"/>
  <c r="F192" i="12"/>
  <c r="F188" i="12"/>
  <c r="F187" i="12"/>
  <c r="D174" i="12"/>
  <c r="L12" i="12"/>
  <c r="N12" i="12" s="1"/>
  <c r="F270" i="12"/>
  <c r="F249" i="12"/>
  <c r="F246" i="12"/>
  <c r="F207" i="12"/>
  <c r="F199" i="12"/>
  <c r="F183" i="12"/>
  <c r="F179" i="12"/>
  <c r="F241" i="12"/>
  <c r="F218" i="12"/>
  <c r="F217" i="12"/>
  <c r="F170" i="12"/>
  <c r="F166" i="12"/>
  <c r="F162" i="12"/>
  <c r="F158" i="12"/>
  <c r="F154" i="12"/>
  <c r="F150" i="12"/>
  <c r="F146" i="12"/>
  <c r="F142" i="12"/>
  <c r="F138" i="12"/>
  <c r="F134" i="12"/>
  <c r="F130" i="12"/>
  <c r="F126" i="12"/>
  <c r="F122" i="12"/>
  <c r="F276" i="12"/>
  <c r="F271" i="12"/>
  <c r="F258" i="12"/>
  <c r="F238" i="12"/>
  <c r="F235" i="12"/>
  <c r="F229" i="12"/>
  <c r="F209" i="12"/>
  <c r="F208" i="12"/>
  <c r="F201" i="12"/>
  <c r="F200" i="12"/>
  <c r="F193" i="12"/>
  <c r="F189" i="12"/>
  <c r="F255" i="12"/>
  <c r="F239" i="12"/>
  <c r="F220" i="12"/>
  <c r="F219" i="12"/>
  <c r="F184" i="12"/>
  <c r="F180" i="12"/>
  <c r="F281" i="12"/>
  <c r="F230" i="12"/>
  <c r="F211" i="12"/>
  <c r="F210" i="12"/>
  <c r="F203" i="12"/>
  <c r="F202" i="12"/>
  <c r="F171" i="12"/>
  <c r="F167" i="12"/>
  <c r="F163" i="12"/>
  <c r="F159" i="12"/>
  <c r="F155" i="12"/>
  <c r="F151" i="12"/>
  <c r="F147" i="12"/>
  <c r="F143" i="12"/>
  <c r="F139" i="12"/>
  <c r="F135" i="12"/>
  <c r="F131" i="12"/>
  <c r="F127" i="12"/>
  <c r="F123" i="12"/>
  <c r="F277" i="12"/>
  <c r="F272" i="12"/>
  <c r="F268" i="12"/>
  <c r="F222" i="12"/>
  <c r="F221" i="12"/>
  <c r="F194" i="12"/>
  <c r="F190" i="12"/>
  <c r="F256" i="12"/>
  <c r="F253" i="12"/>
  <c r="F213" i="12"/>
  <c r="F212" i="12"/>
  <c r="F185" i="12"/>
  <c r="F181" i="12"/>
  <c r="F251" i="12"/>
  <c r="F240" i="12"/>
  <c r="F215" i="12"/>
  <c r="F214" i="12"/>
  <c r="F191" i="12"/>
  <c r="F144" i="12"/>
  <c r="F132" i="12"/>
  <c r="F224" i="12"/>
  <c r="F196" i="12"/>
  <c r="F172" i="12"/>
  <c r="F152" i="12"/>
  <c r="F120" i="12"/>
  <c r="F257" i="12"/>
  <c r="F160" i="12"/>
  <c r="F140" i="12"/>
  <c r="F128" i="12"/>
  <c r="F168" i="12"/>
  <c r="F119" i="12"/>
  <c r="F223" i="12"/>
  <c r="F204" i="12"/>
  <c r="F195" i="12"/>
  <c r="F148" i="12"/>
  <c r="F136" i="12"/>
  <c r="F156" i="12"/>
  <c r="F124" i="12"/>
  <c r="F265" i="12"/>
  <c r="F242" i="12"/>
  <c r="F164" i="12"/>
  <c r="Z16" i="9"/>
  <c r="T93" i="9"/>
  <c r="H27" i="111"/>
  <c r="N18" i="111"/>
  <c r="L18" i="111"/>
  <c r="D27" i="111"/>
  <c r="H27" i="113"/>
  <c r="N18" i="113"/>
  <c r="T27" i="53"/>
  <c r="Z18" i="53"/>
  <c r="L18" i="52"/>
  <c r="D27" i="52"/>
  <c r="H27" i="46"/>
  <c r="N18" i="46"/>
  <c r="P27" i="44"/>
  <c r="X18" i="44"/>
  <c r="T27" i="35"/>
  <c r="Z18" i="35"/>
  <c r="T27" i="38"/>
  <c r="Z18" i="38"/>
  <c r="L18" i="31"/>
  <c r="D27" i="31"/>
  <c r="D27" i="28"/>
  <c r="L18" i="28"/>
  <c r="T27" i="31"/>
  <c r="Z18" i="31"/>
  <c r="H27" i="31"/>
  <c r="N18" i="31"/>
  <c r="T27" i="28"/>
  <c r="Z18" i="28"/>
  <c r="X18" i="20"/>
  <c r="P27" i="20"/>
  <c r="T27" i="20"/>
  <c r="Z18" i="20"/>
  <c r="H27" i="16"/>
  <c r="N18" i="16"/>
  <c r="T27" i="17"/>
  <c r="Z18" i="17"/>
  <c r="T27" i="10"/>
  <c r="Z18" i="10"/>
  <c r="D27" i="11"/>
  <c r="L18" i="11"/>
  <c r="H27" i="14"/>
  <c r="N18" i="14"/>
  <c r="L18" i="8"/>
  <c r="D27" i="8"/>
  <c r="H27" i="7"/>
  <c r="N18" i="7"/>
  <c r="Z16" i="103"/>
  <c r="T50" i="103"/>
  <c r="X50" i="103" s="1"/>
  <c r="H76" i="57"/>
  <c r="T73" i="110"/>
  <c r="H87" i="108"/>
  <c r="T85" i="106"/>
  <c r="X16" i="103"/>
  <c r="H50" i="103"/>
  <c r="N16" i="103"/>
  <c r="D46" i="100"/>
  <c r="R83" i="96"/>
  <c r="R82" i="96"/>
  <c r="R66" i="96"/>
  <c r="R43" i="96"/>
  <c r="R42" i="96"/>
  <c r="R67" i="96"/>
  <c r="R56" i="96"/>
  <c r="R55" i="96"/>
  <c r="R32" i="96"/>
  <c r="R31" i="96"/>
  <c r="R27" i="96"/>
  <c r="R91" i="96"/>
  <c r="R88" i="96"/>
  <c r="R69" i="96"/>
  <c r="R68" i="96"/>
  <c r="R64" i="96"/>
  <c r="R81" i="96"/>
  <c r="R80" i="96"/>
  <c r="R76" i="96"/>
  <c r="R60" i="96"/>
  <c r="R41" i="96"/>
  <c r="R40" i="96"/>
  <c r="R71" i="96"/>
  <c r="R25" i="96"/>
  <c r="R47" i="96"/>
  <c r="R75" i="96"/>
  <c r="R72" i="96"/>
  <c r="R36" i="96"/>
  <c r="R33" i="96"/>
  <c r="R16" i="96"/>
  <c r="R84" i="96"/>
  <c r="R78" i="96"/>
  <c r="R59" i="96"/>
  <c r="R48" i="96"/>
  <c r="R44" i="96"/>
  <c r="R29" i="96"/>
  <c r="R85" i="96"/>
  <c r="R73" i="96"/>
  <c r="R62" i="96"/>
  <c r="R51" i="96"/>
  <c r="R45" i="96"/>
  <c r="R26" i="96"/>
  <c r="R17" i="96"/>
  <c r="R37" i="96"/>
  <c r="R34" i="96"/>
  <c r="X12" i="96"/>
  <c r="Z12" i="96" s="1"/>
  <c r="R65" i="96"/>
  <c r="R52" i="96"/>
  <c r="R70" i="96"/>
  <c r="R63" i="96"/>
  <c r="R30" i="96"/>
  <c r="R23" i="96"/>
  <c r="R18" i="96"/>
  <c r="R90" i="96"/>
  <c r="R86" i="96"/>
  <c r="R79" i="96"/>
  <c r="R53" i="96"/>
  <c r="R49" i="96"/>
  <c r="R46" i="96"/>
  <c r="R38" i="96"/>
  <c r="R22" i="96"/>
  <c r="R74" i="96"/>
  <c r="R39" i="96"/>
  <c r="R35" i="96"/>
  <c r="R24" i="96"/>
  <c r="P20" i="96"/>
  <c r="R87" i="96"/>
  <c r="R61" i="96"/>
  <c r="R58" i="96"/>
  <c r="R57" i="96"/>
  <c r="R54" i="96"/>
  <c r="R50" i="96"/>
  <c r="R28" i="96"/>
  <c r="R95" i="96"/>
  <c r="R77" i="96"/>
  <c r="H93" i="96"/>
  <c r="R59" i="94"/>
  <c r="R67" i="94"/>
  <c r="R66" i="94"/>
  <c r="R54" i="94"/>
  <c r="R47" i="94"/>
  <c r="R46" i="94"/>
  <c r="R70" i="94"/>
  <c r="R56" i="94"/>
  <c r="R55" i="94"/>
  <c r="R41" i="94"/>
  <c r="R40" i="94"/>
  <c r="R65" i="94"/>
  <c r="R64" i="94"/>
  <c r="R53" i="94"/>
  <c r="R52" i="94"/>
  <c r="R45" i="94"/>
  <c r="R44" i="94"/>
  <c r="R36" i="94"/>
  <c r="X12" i="94"/>
  <c r="Z12" i="94" s="1"/>
  <c r="R50" i="94"/>
  <c r="R37" i="94"/>
  <c r="R27" i="94"/>
  <c r="R68" i="94"/>
  <c r="R17" i="94"/>
  <c r="R63" i="94"/>
  <c r="R60" i="94"/>
  <c r="R24" i="94"/>
  <c r="R58" i="94"/>
  <c r="R31" i="94"/>
  <c r="R35" i="94"/>
  <c r="R61" i="94"/>
  <c r="R38" i="94"/>
  <c r="R32" i="94"/>
  <c r="R28" i="94"/>
  <c r="R25" i="94"/>
  <c r="R18" i="94"/>
  <c r="R51" i="94"/>
  <c r="R48" i="94"/>
  <c r="R49" i="94"/>
  <c r="R33" i="94"/>
  <c r="R71" i="94"/>
  <c r="R39" i="94"/>
  <c r="R29" i="94"/>
  <c r="R26" i="94"/>
  <c r="P20" i="94"/>
  <c r="R75" i="94"/>
  <c r="R57" i="94"/>
  <c r="R42" i="94"/>
  <c r="R22" i="94"/>
  <c r="R16" i="94"/>
  <c r="R62" i="94"/>
  <c r="R43" i="94"/>
  <c r="R34" i="94"/>
  <c r="R30" i="94"/>
  <c r="R23" i="94"/>
  <c r="L92" i="92"/>
  <c r="N92" i="92" s="1"/>
  <c r="J20" i="89"/>
  <c r="V31" i="83"/>
  <c r="V17" i="83"/>
  <c r="Z12" i="83"/>
  <c r="V18" i="83"/>
  <c r="V23" i="83"/>
  <c r="V19" i="83"/>
  <c r="T21" i="83"/>
  <c r="V27" i="83"/>
  <c r="V25" i="83"/>
  <c r="V24" i="83"/>
  <c r="P115" i="75"/>
  <c r="X53" i="75"/>
  <c r="Z53" i="75" s="1"/>
  <c r="X116" i="71"/>
  <c r="R80" i="71"/>
  <c r="R79" i="71"/>
  <c r="R75" i="71"/>
  <c r="R111" i="71"/>
  <c r="R110" i="71"/>
  <c r="R98" i="71"/>
  <c r="R90" i="71"/>
  <c r="R70" i="71"/>
  <c r="R66" i="71"/>
  <c r="R105" i="71"/>
  <c r="R82" i="71"/>
  <c r="R81" i="71"/>
  <c r="R57" i="71"/>
  <c r="R53" i="71"/>
  <c r="R49" i="71"/>
  <c r="R45" i="71"/>
  <c r="R119" i="71"/>
  <c r="R113" i="71"/>
  <c r="R112" i="71"/>
  <c r="R76" i="71"/>
  <c r="X12" i="71"/>
  <c r="R118" i="71"/>
  <c r="R100" i="71"/>
  <c r="R99" i="71"/>
  <c r="R92" i="71"/>
  <c r="R91" i="71"/>
  <c r="R83" i="71"/>
  <c r="R71" i="71"/>
  <c r="R67" i="71"/>
  <c r="R117" i="71"/>
  <c r="R114" i="71"/>
  <c r="R106" i="71"/>
  <c r="R58" i="71"/>
  <c r="R54" i="71"/>
  <c r="R50" i="71"/>
  <c r="R46" i="71"/>
  <c r="R123" i="71"/>
  <c r="R116" i="71"/>
  <c r="R101" i="71"/>
  <c r="R94" i="71"/>
  <c r="R93" i="71"/>
  <c r="R77" i="71"/>
  <c r="R85" i="71"/>
  <c r="R84" i="71"/>
  <c r="R72" i="71"/>
  <c r="R68" i="71"/>
  <c r="R108" i="71"/>
  <c r="R107" i="71"/>
  <c r="R96" i="71"/>
  <c r="R95" i="71"/>
  <c r="R64" i="71"/>
  <c r="R59" i="71"/>
  <c r="R55" i="71"/>
  <c r="R51" i="71"/>
  <c r="R47" i="71"/>
  <c r="R103" i="71"/>
  <c r="R102" i="71"/>
  <c r="R87" i="71"/>
  <c r="R86" i="71"/>
  <c r="R78" i="71"/>
  <c r="R63" i="71"/>
  <c r="R61" i="71"/>
  <c r="R43" i="71"/>
  <c r="R104" i="71"/>
  <c r="R89" i="71"/>
  <c r="R88" i="71"/>
  <c r="R56" i="71"/>
  <c r="R52" i="71"/>
  <c r="R48" i="71"/>
  <c r="R44" i="71"/>
  <c r="R65" i="71"/>
  <c r="R109" i="71"/>
  <c r="R97" i="71"/>
  <c r="R73" i="71"/>
  <c r="P61" i="71"/>
  <c r="R74" i="71"/>
  <c r="R69" i="71"/>
  <c r="X96" i="64"/>
  <c r="R72" i="70"/>
  <c r="R65" i="70"/>
  <c r="R53" i="70"/>
  <c r="R42" i="70"/>
  <c r="R41" i="70"/>
  <c r="R29" i="70"/>
  <c r="R25" i="70"/>
  <c r="R61" i="70"/>
  <c r="R60" i="70"/>
  <c r="R76" i="70"/>
  <c r="R66" i="70"/>
  <c r="R62" i="70"/>
  <c r="R55" i="70"/>
  <c r="R54" i="70"/>
  <c r="R30" i="70"/>
  <c r="R26" i="70"/>
  <c r="R46" i="70"/>
  <c r="R45" i="70"/>
  <c r="R17" i="70"/>
  <c r="R56" i="70"/>
  <c r="R36" i="70"/>
  <c r="X12" i="70"/>
  <c r="Z12" i="70" s="1"/>
  <c r="R23" i="70"/>
  <c r="R57" i="70"/>
  <c r="R69" i="70"/>
  <c r="R68" i="70"/>
  <c r="R64" i="70"/>
  <c r="R28" i="70"/>
  <c r="R24" i="70"/>
  <c r="P20" i="70"/>
  <c r="R70" i="70"/>
  <c r="R59" i="70"/>
  <c r="R58" i="70"/>
  <c r="R34" i="70"/>
  <c r="R18" i="70"/>
  <c r="R39" i="70"/>
  <c r="R16" i="70"/>
  <c r="R48" i="70"/>
  <c r="R51" i="70"/>
  <c r="R40" i="70"/>
  <c r="R37" i="70"/>
  <c r="R35" i="70"/>
  <c r="R33" i="70"/>
  <c r="R27" i="70"/>
  <c r="R63" i="70"/>
  <c r="R20" i="70"/>
  <c r="R43" i="70"/>
  <c r="R31" i="70"/>
  <c r="R49" i="70"/>
  <c r="R52" i="70"/>
  <c r="R38" i="70"/>
  <c r="R50" i="70"/>
  <c r="R47" i="70"/>
  <c r="R22" i="70"/>
  <c r="R67" i="70"/>
  <c r="R32" i="70"/>
  <c r="R44" i="70"/>
  <c r="V20" i="70"/>
  <c r="P73" i="48"/>
  <c r="R120" i="42"/>
  <c r="N123" i="36"/>
  <c r="L123" i="36"/>
  <c r="V101" i="39"/>
  <c r="V136" i="39"/>
  <c r="V122" i="39"/>
  <c r="V114" i="39"/>
  <c r="V110" i="39"/>
  <c r="V98" i="39"/>
  <c r="V105" i="39"/>
  <c r="V89" i="39"/>
  <c r="V69" i="39"/>
  <c r="V61" i="39"/>
  <c r="V49" i="39"/>
  <c r="V45" i="39"/>
  <c r="V41" i="39"/>
  <c r="V115" i="39"/>
  <c r="V88" i="39"/>
  <c r="V80" i="39"/>
  <c r="V68" i="39"/>
  <c r="V60" i="39"/>
  <c r="V40" i="39"/>
  <c r="V36" i="39"/>
  <c r="V126" i="39"/>
  <c r="V125" i="39"/>
  <c r="V112" i="39"/>
  <c r="V109" i="39"/>
  <c r="V94" i="39"/>
  <c r="V91" i="39"/>
  <c r="V79" i="39"/>
  <c r="V71" i="39"/>
  <c r="V63" i="39"/>
  <c r="V55" i="39"/>
  <c r="V51" i="39"/>
  <c r="T38" i="39"/>
  <c r="V38" i="39" s="1"/>
  <c r="V121" i="39"/>
  <c r="V90" i="39"/>
  <c r="V70" i="39"/>
  <c r="V62" i="39"/>
  <c r="V50" i="39"/>
  <c r="V46" i="39"/>
  <c r="V42" i="39"/>
  <c r="V116" i="39"/>
  <c r="V102" i="39"/>
  <c r="V99" i="39"/>
  <c r="V81" i="39"/>
  <c r="V73" i="39"/>
  <c r="V65" i="39"/>
  <c r="V113" i="39"/>
  <c r="V106" i="39"/>
  <c r="V72" i="39"/>
  <c r="V64" i="39"/>
  <c r="V56" i="39"/>
  <c r="V52" i="39"/>
  <c r="Z12" i="39"/>
  <c r="V127" i="39"/>
  <c r="V95" i="39"/>
  <c r="V92" i="39"/>
  <c r="V83" i="39"/>
  <c r="V75" i="39"/>
  <c r="V47" i="39"/>
  <c r="V43" i="39"/>
  <c r="X12" i="39"/>
  <c r="V118" i="39"/>
  <c r="V117" i="39"/>
  <c r="V100" i="39"/>
  <c r="V96" i="39"/>
  <c r="V82" i="39"/>
  <c r="V74" i="39"/>
  <c r="V66" i="39"/>
  <c r="V34" i="39"/>
  <c r="V132" i="39"/>
  <c r="V131" i="39"/>
  <c r="V130" i="39"/>
  <c r="V129" i="39"/>
  <c r="V123" i="39"/>
  <c r="V103" i="39"/>
  <c r="V85" i="39"/>
  <c r="V77" i="39"/>
  <c r="V57" i="39"/>
  <c r="V53" i="39"/>
  <c r="V107" i="39"/>
  <c r="V84" i="39"/>
  <c r="V76" i="39"/>
  <c r="V48" i="39"/>
  <c r="V44" i="39"/>
  <c r="V124" i="39"/>
  <c r="V120" i="39"/>
  <c r="V119" i="39"/>
  <c r="V111" i="39"/>
  <c r="V104" i="39"/>
  <c r="V97" i="39"/>
  <c r="V86" i="39"/>
  <c r="V78" i="39"/>
  <c r="V58" i="39"/>
  <c r="V54" i="39"/>
  <c r="V35" i="39"/>
  <c r="V87" i="39"/>
  <c r="V67" i="39"/>
  <c r="V108" i="39"/>
  <c r="V93" i="39"/>
  <c r="V59" i="39"/>
  <c r="V145" i="24"/>
  <c r="V131" i="24"/>
  <c r="V123" i="24"/>
  <c r="V115" i="24"/>
  <c r="V103" i="24"/>
  <c r="V79" i="24"/>
  <c r="V75" i="24"/>
  <c r="V71" i="24"/>
  <c r="V67" i="24"/>
  <c r="V63" i="24"/>
  <c r="V59" i="24"/>
  <c r="V114" i="24"/>
  <c r="V106" i="24"/>
  <c r="V98" i="24"/>
  <c r="V133" i="24"/>
  <c r="V125" i="24"/>
  <c r="V117" i="24"/>
  <c r="V105" i="24"/>
  <c r="V93" i="24"/>
  <c r="V89" i="24"/>
  <c r="V132" i="24"/>
  <c r="V116" i="24"/>
  <c r="V80" i="24"/>
  <c r="V76" i="24"/>
  <c r="V72" i="24"/>
  <c r="V68" i="24"/>
  <c r="V64" i="24"/>
  <c r="V60" i="24"/>
  <c r="V135" i="24"/>
  <c r="V127" i="24"/>
  <c r="V119" i="24"/>
  <c r="V107" i="24"/>
  <c r="V99" i="24"/>
  <c r="V134" i="24"/>
  <c r="V126" i="24"/>
  <c r="V118" i="24"/>
  <c r="V94" i="24"/>
  <c r="V90" i="24"/>
  <c r="V86" i="24"/>
  <c r="V137" i="24"/>
  <c r="V129" i="24"/>
  <c r="V121" i="24"/>
  <c r="V109" i="24"/>
  <c r="V85" i="24"/>
  <c r="V81" i="24"/>
  <c r="V77" i="24"/>
  <c r="V73" i="24"/>
  <c r="V69" i="24"/>
  <c r="V65" i="24"/>
  <c r="V61" i="24"/>
  <c r="V57" i="24"/>
  <c r="V136" i="24"/>
  <c r="V128" i="24"/>
  <c r="V120" i="24"/>
  <c r="V108" i="24"/>
  <c r="V100" i="24"/>
  <c r="V96" i="24"/>
  <c r="T83" i="24"/>
  <c r="Z12" i="24"/>
  <c r="V141" i="24"/>
  <c r="V111" i="24"/>
  <c r="V95" i="24"/>
  <c r="V91" i="24"/>
  <c r="V87" i="24"/>
  <c r="V140" i="24"/>
  <c r="V138" i="24"/>
  <c r="V130" i="24"/>
  <c r="V122" i="24"/>
  <c r="V110" i="24"/>
  <c r="V102" i="24"/>
  <c r="V78" i="24"/>
  <c r="V74" i="24"/>
  <c r="V70" i="24"/>
  <c r="V66" i="24"/>
  <c r="V62" i="24"/>
  <c r="V58" i="24"/>
  <c r="V124" i="24"/>
  <c r="V112" i="24"/>
  <c r="V104" i="24"/>
  <c r="V92" i="24"/>
  <c r="V88" i="24"/>
  <c r="V97" i="24"/>
  <c r="V113" i="24"/>
  <c r="V101" i="24"/>
  <c r="Z284" i="18"/>
  <c r="R93" i="21"/>
  <c r="R89" i="21"/>
  <c r="R66" i="21"/>
  <c r="R65" i="21"/>
  <c r="R37" i="21"/>
  <c r="R33" i="21"/>
  <c r="P29" i="21"/>
  <c r="R101" i="21"/>
  <c r="R100" i="21"/>
  <c r="R76" i="21"/>
  <c r="R57" i="21"/>
  <c r="R56" i="21"/>
  <c r="R83" i="21"/>
  <c r="R68" i="21"/>
  <c r="R67" i="21"/>
  <c r="R48" i="21"/>
  <c r="R47" i="21"/>
  <c r="R43" i="21"/>
  <c r="R103" i="21"/>
  <c r="R102" i="21"/>
  <c r="R94" i="21"/>
  <c r="R90" i="21"/>
  <c r="R59" i="21"/>
  <c r="R58" i="21"/>
  <c r="R38" i="21"/>
  <c r="R34" i="21"/>
  <c r="R78" i="21"/>
  <c r="R77" i="21"/>
  <c r="R70" i="21"/>
  <c r="R69" i="21"/>
  <c r="R50" i="21"/>
  <c r="R49" i="21"/>
  <c r="R104" i="21"/>
  <c r="R85" i="21"/>
  <c r="R84" i="21"/>
  <c r="R61" i="21"/>
  <c r="R60" i="21"/>
  <c r="R44" i="21"/>
  <c r="R25" i="21"/>
  <c r="X12" i="21"/>
  <c r="Z12" i="21" s="1"/>
  <c r="R86" i="21"/>
  <c r="R63" i="21"/>
  <c r="R62" i="21"/>
  <c r="R26" i="21"/>
  <c r="R81" i="21"/>
  <c r="R74" i="21"/>
  <c r="R73" i="21"/>
  <c r="R54" i="21"/>
  <c r="R53" i="21"/>
  <c r="R45" i="21"/>
  <c r="R110" i="21"/>
  <c r="R97" i="21"/>
  <c r="R96" i="21"/>
  <c r="R92" i="21"/>
  <c r="R64" i="21"/>
  <c r="R41" i="21"/>
  <c r="R40" i="21"/>
  <c r="R36" i="21"/>
  <c r="R99" i="21"/>
  <c r="R98" i="21"/>
  <c r="R82" i="21"/>
  <c r="R46" i="21"/>
  <c r="R42" i="21"/>
  <c r="R31" i="21"/>
  <c r="R52" i="21"/>
  <c r="R87" i="21"/>
  <c r="R91" i="21"/>
  <c r="R75" i="21"/>
  <c r="R35" i="21"/>
  <c r="R106" i="21"/>
  <c r="R71" i="21"/>
  <c r="R95" i="21"/>
  <c r="R88" i="21"/>
  <c r="R79" i="21"/>
  <c r="R32" i="21"/>
  <c r="R27" i="21"/>
  <c r="R55" i="21"/>
  <c r="R51" i="21"/>
  <c r="R80" i="21"/>
  <c r="R39" i="21"/>
  <c r="R72" i="21"/>
  <c r="T108" i="21"/>
  <c r="D22" i="6"/>
  <c r="L16" i="6"/>
  <c r="D323" i="3"/>
  <c r="L18" i="112"/>
  <c r="D27" i="112"/>
  <c r="P27" i="111"/>
  <c r="X18" i="111"/>
  <c r="T27" i="49"/>
  <c r="Z18" i="49"/>
  <c r="L18" i="49"/>
  <c r="D27" i="49"/>
  <c r="X18" i="49"/>
  <c r="P27" i="49"/>
  <c r="T27" i="41"/>
  <c r="Z18" i="41"/>
  <c r="X18" i="28"/>
  <c r="P27" i="28"/>
  <c r="L18" i="41"/>
  <c r="D27" i="41"/>
  <c r="P27" i="29"/>
  <c r="X18" i="29"/>
  <c r="H27" i="22"/>
  <c r="N18" i="22"/>
  <c r="X18" i="16"/>
  <c r="P27" i="16"/>
  <c r="P27" i="23"/>
  <c r="X18" i="23"/>
  <c r="L18" i="10"/>
  <c r="D27" i="10"/>
  <c r="T27" i="11"/>
  <c r="Z18" i="11"/>
  <c r="P27" i="8"/>
  <c r="X18" i="8"/>
  <c r="D96" i="92"/>
  <c r="L16" i="92"/>
  <c r="R101" i="85"/>
  <c r="R109" i="85"/>
  <c r="R73" i="85"/>
  <c r="R117" i="85"/>
  <c r="R116" i="85"/>
  <c r="R120" i="85"/>
  <c r="R107" i="85"/>
  <c r="R106" i="85"/>
  <c r="R91" i="85"/>
  <c r="R90" i="85"/>
  <c r="R79" i="85"/>
  <c r="R78" i="85"/>
  <c r="R66" i="85"/>
  <c r="R62" i="85"/>
  <c r="R100" i="85"/>
  <c r="R65" i="85"/>
  <c r="R54" i="85"/>
  <c r="R119" i="85"/>
  <c r="R103" i="85"/>
  <c r="R96" i="85"/>
  <c r="R87" i="85"/>
  <c r="R72" i="85"/>
  <c r="R51" i="85"/>
  <c r="R47" i="85"/>
  <c r="R43" i="85"/>
  <c r="R39" i="85"/>
  <c r="R112" i="85"/>
  <c r="R76" i="85"/>
  <c r="R104" i="85"/>
  <c r="R97" i="85"/>
  <c r="R92" i="85"/>
  <c r="R83" i="85"/>
  <c r="R82" i="85"/>
  <c r="R77" i="85"/>
  <c r="R63" i="85"/>
  <c r="R55" i="85"/>
  <c r="R69" i="85"/>
  <c r="R52" i="85"/>
  <c r="R48" i="85"/>
  <c r="R44" i="85"/>
  <c r="R40" i="85"/>
  <c r="R113" i="85"/>
  <c r="R110" i="85"/>
  <c r="R93" i="85"/>
  <c r="R88" i="85"/>
  <c r="R70" i="85"/>
  <c r="R98" i="85"/>
  <c r="R84" i="85"/>
  <c r="R56" i="85"/>
  <c r="R108" i="85"/>
  <c r="R89" i="85"/>
  <c r="R67" i="85"/>
  <c r="R64" i="85"/>
  <c r="R49" i="85"/>
  <c r="R45" i="85"/>
  <c r="R41" i="85"/>
  <c r="R126" i="85"/>
  <c r="R105" i="85"/>
  <c r="R94" i="85"/>
  <c r="R85" i="85"/>
  <c r="R58" i="85"/>
  <c r="R53" i="85"/>
  <c r="X12" i="85"/>
  <c r="Z12" i="85" s="1"/>
  <c r="R114" i="85"/>
  <c r="R111" i="85"/>
  <c r="R102" i="85"/>
  <c r="R95" i="85"/>
  <c r="R74" i="85"/>
  <c r="R71" i="85"/>
  <c r="R61" i="85"/>
  <c r="R60" i="85"/>
  <c r="P58" i="85"/>
  <c r="R115" i="85"/>
  <c r="R86" i="85"/>
  <c r="R81" i="85"/>
  <c r="R75" i="85"/>
  <c r="R68" i="85"/>
  <c r="R38" i="85"/>
  <c r="R50" i="85"/>
  <c r="R42" i="85"/>
  <c r="R122" i="85"/>
  <c r="R99" i="85"/>
  <c r="R118" i="85"/>
  <c r="R46" i="85"/>
  <c r="R80" i="85"/>
  <c r="D73" i="110"/>
  <c r="L17" i="110"/>
  <c r="N17" i="110" s="1"/>
  <c r="R52" i="105"/>
  <c r="R45" i="105"/>
  <c r="R56" i="105"/>
  <c r="R46" i="105"/>
  <c r="R38" i="105"/>
  <c r="R37" i="105"/>
  <c r="R29" i="105"/>
  <c r="R47" i="105"/>
  <c r="R40" i="105"/>
  <c r="R39" i="105"/>
  <c r="R24" i="105"/>
  <c r="R42" i="105"/>
  <c r="R41" i="105"/>
  <c r="R49" i="105"/>
  <c r="R48" i="105"/>
  <c r="R43" i="105"/>
  <c r="R32" i="105"/>
  <c r="R23" i="105"/>
  <c r="R21" i="105"/>
  <c r="R35" i="105"/>
  <c r="P21" i="105"/>
  <c r="R25" i="105"/>
  <c r="R44" i="105"/>
  <c r="R50" i="105"/>
  <c r="R36" i="105"/>
  <c r="R33" i="105"/>
  <c r="R26" i="105"/>
  <c r="R30" i="105"/>
  <c r="R17" i="105"/>
  <c r="X12" i="105"/>
  <c r="Z12" i="105" s="1"/>
  <c r="R34" i="105"/>
  <c r="R18" i="105"/>
  <c r="R27" i="105"/>
  <c r="R31" i="105"/>
  <c r="R28" i="105"/>
  <c r="R19" i="105"/>
  <c r="T53" i="99"/>
  <c r="Z20" i="99"/>
  <c r="P80" i="93"/>
  <c r="X21" i="93"/>
  <c r="P81" i="95"/>
  <c r="H30" i="86"/>
  <c r="J18" i="86"/>
  <c r="T30" i="86"/>
  <c r="J65" i="84"/>
  <c r="J49" i="84"/>
  <c r="J39" i="84"/>
  <c r="J29" i="84"/>
  <c r="J25" i="84"/>
  <c r="J76" i="84"/>
  <c r="J72" i="84"/>
  <c r="J60" i="84"/>
  <c r="J50" i="84"/>
  <c r="J40" i="84"/>
  <c r="J77" i="84"/>
  <c r="J51" i="84"/>
  <c r="J41" i="84"/>
  <c r="J35" i="84"/>
  <c r="J78" i="84"/>
  <c r="J66" i="84"/>
  <c r="J52" i="84"/>
  <c r="J42" i="84"/>
  <c r="J30" i="84"/>
  <c r="J26" i="84"/>
  <c r="J16" i="84"/>
  <c r="J79" i="84"/>
  <c r="J73" i="84"/>
  <c r="J67" i="84"/>
  <c r="J61" i="84"/>
  <c r="J53" i="84"/>
  <c r="J43" i="84"/>
  <c r="J17" i="84"/>
  <c r="J80" i="84"/>
  <c r="J68" i="84"/>
  <c r="J62" i="84"/>
  <c r="J54" i="84"/>
  <c r="J44" i="84"/>
  <c r="J36" i="84"/>
  <c r="J81" i="84"/>
  <c r="J63" i="84"/>
  <c r="J82" i="84"/>
  <c r="J74" i="84"/>
  <c r="J56" i="84"/>
  <c r="J46" i="84"/>
  <c r="J32" i="84"/>
  <c r="J18" i="84"/>
  <c r="J69" i="84"/>
  <c r="J57" i="84"/>
  <c r="J37" i="84"/>
  <c r="J33" i="84"/>
  <c r="J23" i="84"/>
  <c r="J84" i="84"/>
  <c r="J70" i="84"/>
  <c r="J64" i="84"/>
  <c r="J58" i="84"/>
  <c r="J28" i="84"/>
  <c r="J24" i="84"/>
  <c r="J22" i="84"/>
  <c r="J88" i="84"/>
  <c r="J48" i="84"/>
  <c r="J38" i="84"/>
  <c r="J34" i="84"/>
  <c r="J55" i="84"/>
  <c r="H20" i="84"/>
  <c r="L20" i="84" s="1"/>
  <c r="J71" i="84"/>
  <c r="J59" i="84"/>
  <c r="J45" i="84"/>
  <c r="J27" i="84"/>
  <c r="J75" i="84"/>
  <c r="J47" i="84"/>
  <c r="J31" i="84"/>
  <c r="L12" i="84"/>
  <c r="N12" i="84" s="1"/>
  <c r="T79" i="76"/>
  <c r="Z96" i="64"/>
  <c r="T73" i="58"/>
  <c r="Z16" i="58"/>
  <c r="H65" i="68"/>
  <c r="D50" i="60"/>
  <c r="L16" i="60"/>
  <c r="V113" i="51"/>
  <c r="V105" i="51"/>
  <c r="V103" i="51"/>
  <c r="V100" i="51"/>
  <c r="V95" i="51"/>
  <c r="V75" i="51"/>
  <c r="V63" i="51"/>
  <c r="V59" i="51"/>
  <c r="V101" i="51"/>
  <c r="V86" i="51"/>
  <c r="V74" i="51"/>
  <c r="V50" i="51"/>
  <c r="V46" i="51"/>
  <c r="V42" i="51"/>
  <c r="V38" i="51"/>
  <c r="V85" i="51"/>
  <c r="V77" i="51"/>
  <c r="V69" i="51"/>
  <c r="V97" i="51"/>
  <c r="V96" i="51"/>
  <c r="V88" i="51"/>
  <c r="V76" i="51"/>
  <c r="V64" i="51"/>
  <c r="V60" i="51"/>
  <c r="V102" i="51"/>
  <c r="V87" i="51"/>
  <c r="V79" i="51"/>
  <c r="V51" i="51"/>
  <c r="V47" i="51"/>
  <c r="V43" i="51"/>
  <c r="V39" i="51"/>
  <c r="V90" i="51"/>
  <c r="V78" i="51"/>
  <c r="V70" i="51"/>
  <c r="V89" i="51"/>
  <c r="V81" i="51"/>
  <c r="V65" i="51"/>
  <c r="V61" i="51"/>
  <c r="V57" i="51"/>
  <c r="V92" i="51"/>
  <c r="V80" i="51"/>
  <c r="V56" i="51"/>
  <c r="V54" i="51"/>
  <c r="V52" i="51"/>
  <c r="V48" i="51"/>
  <c r="V44" i="51"/>
  <c r="V40" i="51"/>
  <c r="V99" i="51"/>
  <c r="V98" i="51"/>
  <c r="V91" i="51"/>
  <c r="V83" i="51"/>
  <c r="V71" i="51"/>
  <c r="V67" i="51"/>
  <c r="T54" i="51"/>
  <c r="V94" i="51"/>
  <c r="V82" i="51"/>
  <c r="V66" i="51"/>
  <c r="V62" i="51"/>
  <c r="V58" i="51"/>
  <c r="V109" i="51"/>
  <c r="V107" i="51"/>
  <c r="V106" i="51"/>
  <c r="V84" i="51"/>
  <c r="V72" i="51"/>
  <c r="V68" i="51"/>
  <c r="Z12" i="51"/>
  <c r="V73" i="51"/>
  <c r="V108" i="51"/>
  <c r="V49" i="51"/>
  <c r="V41" i="51"/>
  <c r="V93" i="51"/>
  <c r="V45" i="51"/>
  <c r="F83" i="42"/>
  <c r="F82" i="42"/>
  <c r="F47" i="42"/>
  <c r="F125" i="42"/>
  <c r="F123" i="42"/>
  <c r="F118" i="42"/>
  <c r="F117" i="42"/>
  <c r="F110" i="42"/>
  <c r="F109" i="42"/>
  <c r="F94" i="42"/>
  <c r="F62" i="42"/>
  <c r="F61" i="42"/>
  <c r="F54" i="42"/>
  <c r="F53" i="42"/>
  <c r="F42" i="42"/>
  <c r="F38" i="42"/>
  <c r="F34" i="42"/>
  <c r="F33" i="42"/>
  <c r="F127" i="42"/>
  <c r="F122" i="42"/>
  <c r="F105" i="42"/>
  <c r="F101" i="42"/>
  <c r="F89" i="42"/>
  <c r="F73" i="42"/>
  <c r="F121" i="42"/>
  <c r="F112" i="42"/>
  <c r="F111" i="42"/>
  <c r="F84" i="42"/>
  <c r="F64" i="42"/>
  <c r="F63" i="42"/>
  <c r="F56" i="42"/>
  <c r="F55" i="42"/>
  <c r="F48" i="42"/>
  <c r="F44" i="42"/>
  <c r="F43" i="42"/>
  <c r="F120" i="42"/>
  <c r="F95" i="42"/>
  <c r="F91" i="42"/>
  <c r="F90" i="42"/>
  <c r="F75" i="42"/>
  <c r="F74" i="42"/>
  <c r="F39" i="42"/>
  <c r="F35" i="42"/>
  <c r="F132" i="42"/>
  <c r="F129" i="42"/>
  <c r="F114" i="42"/>
  <c r="F113" i="42"/>
  <c r="F106" i="42"/>
  <c r="F102" i="42"/>
  <c r="F66" i="42"/>
  <c r="F65" i="42"/>
  <c r="F58" i="42"/>
  <c r="F57" i="42"/>
  <c r="F92" i="42"/>
  <c r="F68" i="42"/>
  <c r="F67" i="42"/>
  <c r="F40" i="42"/>
  <c r="F36" i="42"/>
  <c r="F115" i="42"/>
  <c r="F107" i="42"/>
  <c r="F103" i="42"/>
  <c r="F79" i="42"/>
  <c r="F78" i="42"/>
  <c r="F59" i="42"/>
  <c r="F27" i="42"/>
  <c r="F26" i="42"/>
  <c r="F98" i="42"/>
  <c r="F86" i="42"/>
  <c r="F70" i="42"/>
  <c r="F69" i="42"/>
  <c r="F50" i="42"/>
  <c r="F46" i="42"/>
  <c r="F116" i="42"/>
  <c r="F108" i="42"/>
  <c r="F104" i="42"/>
  <c r="F100" i="42"/>
  <c r="F99" i="42"/>
  <c r="F88" i="42"/>
  <c r="F87" i="42"/>
  <c r="F72" i="42"/>
  <c r="F71" i="42"/>
  <c r="F60" i="42"/>
  <c r="F52" i="42"/>
  <c r="F51" i="42"/>
  <c r="F28" i="42"/>
  <c r="F85" i="42"/>
  <c r="F45" i="42"/>
  <c r="F81" i="42"/>
  <c r="F32" i="42"/>
  <c r="F77" i="42"/>
  <c r="F96" i="42"/>
  <c r="F49" i="42"/>
  <c r="F37" i="42"/>
  <c r="F97" i="42"/>
  <c r="F93" i="42"/>
  <c r="F80" i="42"/>
  <c r="F30" i="42"/>
  <c r="D30" i="42"/>
  <c r="F76" i="42"/>
  <c r="F41" i="42"/>
  <c r="L12" i="42"/>
  <c r="R96" i="33"/>
  <c r="R102" i="33"/>
  <c r="R95" i="33"/>
  <c r="R89" i="33"/>
  <c r="R88" i="33"/>
  <c r="R65" i="33"/>
  <c r="R64" i="33"/>
  <c r="R52" i="33"/>
  <c r="R48" i="33"/>
  <c r="R94" i="33"/>
  <c r="R83" i="33"/>
  <c r="R92" i="33"/>
  <c r="R85" i="33"/>
  <c r="R37" i="33"/>
  <c r="R86" i="33"/>
  <c r="R82" i="33"/>
  <c r="R68" i="33"/>
  <c r="R58" i="33"/>
  <c r="R55" i="33"/>
  <c r="R84" i="33"/>
  <c r="R69" i="33"/>
  <c r="R63" i="33"/>
  <c r="R35" i="33"/>
  <c r="R93" i="33"/>
  <c r="R78" i="33"/>
  <c r="R74" i="33"/>
  <c r="R73" i="33"/>
  <c r="R49" i="33"/>
  <c r="R46" i="33"/>
  <c r="R97" i="33"/>
  <c r="R87" i="33"/>
  <c r="R79" i="33"/>
  <c r="R59" i="33"/>
  <c r="R39" i="33"/>
  <c r="R90" i="33"/>
  <c r="R56" i="33"/>
  <c r="R36" i="33"/>
  <c r="R75" i="33"/>
  <c r="R70" i="33"/>
  <c r="X12" i="33"/>
  <c r="R80" i="33"/>
  <c r="R47" i="33"/>
  <c r="R76" i="33"/>
  <c r="R60" i="33"/>
  <c r="R53" i="33"/>
  <c r="R50" i="33"/>
  <c r="R40" i="33"/>
  <c r="R98" i="33"/>
  <c r="R81" i="33"/>
  <c r="R67" i="33"/>
  <c r="R66" i="33"/>
  <c r="R71" i="33"/>
  <c r="R61" i="33"/>
  <c r="R57" i="33"/>
  <c r="R54" i="33"/>
  <c r="R62" i="33"/>
  <c r="R51" i="33"/>
  <c r="R38" i="33"/>
  <c r="R44" i="33"/>
  <c r="R77" i="33"/>
  <c r="R72" i="33"/>
  <c r="P42" i="33"/>
  <c r="R42" i="33" s="1"/>
  <c r="R45" i="33"/>
  <c r="V72" i="30"/>
  <c r="T122" i="27"/>
  <c r="F253" i="15"/>
  <c r="F252" i="15"/>
  <c r="F245" i="15"/>
  <c r="F241" i="15"/>
  <c r="F229" i="15"/>
  <c r="F213" i="15"/>
  <c r="F212" i="15"/>
  <c r="F165" i="15"/>
  <c r="F161" i="15"/>
  <c r="F157" i="15"/>
  <c r="F153" i="15"/>
  <c r="F149" i="15"/>
  <c r="F145" i="15"/>
  <c r="F141" i="15"/>
  <c r="F137" i="15"/>
  <c r="F133" i="15"/>
  <c r="F129" i="15"/>
  <c r="F125" i="15"/>
  <c r="F121" i="15"/>
  <c r="F117" i="15"/>
  <c r="F116" i="15"/>
  <c r="F224" i="15"/>
  <c r="F204" i="15"/>
  <c r="F203" i="15"/>
  <c r="F196" i="15"/>
  <c r="F195" i="15"/>
  <c r="F188" i="15"/>
  <c r="F184" i="15"/>
  <c r="L12" i="15"/>
  <c r="N12" i="15" s="1"/>
  <c r="F268" i="15"/>
  <c r="F235" i="15"/>
  <c r="F215" i="15"/>
  <c r="F214" i="15"/>
  <c r="F179" i="15"/>
  <c r="F175" i="15"/>
  <c r="F272" i="15"/>
  <c r="F267" i="15"/>
  <c r="F254" i="15"/>
  <c r="F246" i="15"/>
  <c r="F242" i="15"/>
  <c r="F230" i="15"/>
  <c r="F206" i="15"/>
  <c r="F205" i="15"/>
  <c r="F198" i="15"/>
  <c r="F197" i="15"/>
  <c r="F166" i="15"/>
  <c r="F162" i="15"/>
  <c r="F158" i="15"/>
  <c r="F154" i="15"/>
  <c r="F150" i="15"/>
  <c r="F146" i="15"/>
  <c r="F142" i="15"/>
  <c r="F138" i="15"/>
  <c r="F134" i="15"/>
  <c r="F130" i="15"/>
  <c r="F126" i="15"/>
  <c r="F122" i="15"/>
  <c r="F118" i="15"/>
  <c r="F266" i="15"/>
  <c r="F237" i="15"/>
  <c r="F236" i="15"/>
  <c r="F225" i="15"/>
  <c r="F217" i="15"/>
  <c r="F216" i="15"/>
  <c r="F189" i="15"/>
  <c r="F185" i="15"/>
  <c r="F265" i="15"/>
  <c r="F248" i="15"/>
  <c r="F247" i="15"/>
  <c r="F232" i="15"/>
  <c r="F231" i="15"/>
  <c r="F208" i="15"/>
  <c r="F207" i="15"/>
  <c r="F180" i="15"/>
  <c r="F176" i="15"/>
  <c r="F264" i="15"/>
  <c r="F255" i="15"/>
  <c r="F243" i="15"/>
  <c r="F219" i="15"/>
  <c r="F218" i="15"/>
  <c r="F263" i="15"/>
  <c r="F238" i="15"/>
  <c r="F226" i="15"/>
  <c r="F210" i="15"/>
  <c r="F209" i="15"/>
  <c r="F186" i="15"/>
  <c r="F262" i="15"/>
  <c r="F257" i="15"/>
  <c r="F256" i="15"/>
  <c r="F249" i="15"/>
  <c r="F233" i="15"/>
  <c r="F221" i="15"/>
  <c r="F220" i="15"/>
  <c r="F201" i="15"/>
  <c r="F200" i="15"/>
  <c r="F193" i="15"/>
  <c r="F192" i="15"/>
  <c r="F181" i="15"/>
  <c r="F177" i="15"/>
  <c r="F173" i="15"/>
  <c r="F172" i="15"/>
  <c r="F261" i="15"/>
  <c r="F244" i="15"/>
  <c r="F240" i="15"/>
  <c r="F239" i="15"/>
  <c r="F228" i="15"/>
  <c r="F227" i="15"/>
  <c r="F171" i="15"/>
  <c r="F164" i="15"/>
  <c r="F160" i="15"/>
  <c r="F156" i="15"/>
  <c r="F152" i="15"/>
  <c r="F148" i="15"/>
  <c r="F144" i="15"/>
  <c r="F140" i="15"/>
  <c r="F136" i="15"/>
  <c r="F132" i="15"/>
  <c r="F128" i="15"/>
  <c r="F124" i="15"/>
  <c r="F120" i="15"/>
  <c r="F259" i="15"/>
  <c r="F234" i="15"/>
  <c r="F202" i="15"/>
  <c r="F194" i="15"/>
  <c r="F178" i="15"/>
  <c r="F174" i="15"/>
  <c r="F187" i="15"/>
  <c r="F182" i="15"/>
  <c r="F211" i="15"/>
  <c r="F191" i="15"/>
  <c r="F127" i="15"/>
  <c r="F119" i="15"/>
  <c r="F222" i="15"/>
  <c r="F167" i="15"/>
  <c r="F159" i="15"/>
  <c r="F135" i="15"/>
  <c r="F199" i="15"/>
  <c r="F151" i="15"/>
  <c r="F260" i="15"/>
  <c r="F251" i="15"/>
  <c r="F143" i="15"/>
  <c r="F183" i="15"/>
  <c r="F131" i="15"/>
  <c r="F123" i="15"/>
  <c r="F250" i="15"/>
  <c r="F223" i="15"/>
  <c r="D169" i="15"/>
  <c r="F169" i="15" s="1"/>
  <c r="F139" i="15"/>
  <c r="F190" i="15"/>
  <c r="F147" i="15"/>
  <c r="F155" i="15"/>
  <c r="F163" i="15"/>
  <c r="N16" i="6"/>
  <c r="H22" i="6"/>
  <c r="N268" i="12"/>
  <c r="P27" i="112"/>
  <c r="X18" i="112"/>
  <c r="H27" i="50"/>
  <c r="N18" i="50"/>
  <c r="T27" i="47"/>
  <c r="Z18" i="47"/>
  <c r="X18" i="43"/>
  <c r="P27" i="43"/>
  <c r="T27" i="44"/>
  <c r="Z18" i="44"/>
  <c r="T27" i="34"/>
  <c r="Z18" i="34"/>
  <c r="T27" i="37"/>
  <c r="Z18" i="37"/>
  <c r="P27" i="34"/>
  <c r="X18" i="34"/>
  <c r="H27" i="23"/>
  <c r="N18" i="23"/>
  <c r="L18" i="34"/>
  <c r="D27" i="34"/>
  <c r="H27" i="13"/>
  <c r="N18" i="13"/>
  <c r="H27" i="11"/>
  <c r="N18" i="11"/>
  <c r="T27" i="7"/>
  <c r="Z18" i="7"/>
  <c r="X31" i="76"/>
  <c r="Z31" i="76" s="1"/>
  <c r="P79" i="76"/>
  <c r="V110" i="71"/>
  <c r="V98" i="71"/>
  <c r="V90" i="71"/>
  <c r="V82" i="71"/>
  <c r="V70" i="71"/>
  <c r="V66" i="71"/>
  <c r="V119" i="71"/>
  <c r="V113" i="71"/>
  <c r="V105" i="71"/>
  <c r="V81" i="71"/>
  <c r="V57" i="71"/>
  <c r="V53" i="71"/>
  <c r="V49" i="71"/>
  <c r="V45" i="71"/>
  <c r="V118" i="71"/>
  <c r="V112" i="71"/>
  <c r="V100" i="71"/>
  <c r="V92" i="71"/>
  <c r="V76" i="71"/>
  <c r="V117" i="71"/>
  <c r="V99" i="71"/>
  <c r="V91" i="71"/>
  <c r="V83" i="71"/>
  <c r="V71" i="71"/>
  <c r="V67" i="71"/>
  <c r="V116" i="71"/>
  <c r="V114" i="71"/>
  <c r="V106" i="71"/>
  <c r="V94" i="71"/>
  <c r="V58" i="71"/>
  <c r="V54" i="71"/>
  <c r="V50" i="71"/>
  <c r="V46" i="71"/>
  <c r="V123" i="71"/>
  <c r="V101" i="71"/>
  <c r="V93" i="71"/>
  <c r="V85" i="71"/>
  <c r="V77" i="71"/>
  <c r="V108" i="71"/>
  <c r="V96" i="71"/>
  <c r="V84" i="71"/>
  <c r="V72" i="71"/>
  <c r="V68" i="71"/>
  <c r="V107" i="71"/>
  <c r="V103" i="71"/>
  <c r="V95" i="71"/>
  <c r="V87" i="71"/>
  <c r="V63" i="71"/>
  <c r="V61" i="71"/>
  <c r="V59" i="71"/>
  <c r="V55" i="71"/>
  <c r="V51" i="71"/>
  <c r="V47" i="71"/>
  <c r="V43" i="71"/>
  <c r="V102" i="71"/>
  <c r="V86" i="71"/>
  <c r="V78" i="71"/>
  <c r="V74" i="71"/>
  <c r="T61" i="71"/>
  <c r="V109" i="71"/>
  <c r="V97" i="71"/>
  <c r="V89" i="71"/>
  <c r="V73" i="71"/>
  <c r="V69" i="71"/>
  <c r="V65" i="71"/>
  <c r="V111" i="71"/>
  <c r="V79" i="71"/>
  <c r="V75" i="71"/>
  <c r="V56" i="71"/>
  <c r="V48" i="71"/>
  <c r="Z12" i="71"/>
  <c r="V104" i="71"/>
  <c r="V88" i="71"/>
  <c r="V80" i="71"/>
  <c r="V64" i="71"/>
  <c r="V52" i="71"/>
  <c r="V44" i="71"/>
  <c r="Z16" i="57"/>
  <c r="T72" i="57"/>
  <c r="X72" i="57" s="1"/>
  <c r="D37" i="109"/>
  <c r="L16" i="109"/>
  <c r="P46" i="100"/>
  <c r="X17" i="100"/>
  <c r="R22" i="104"/>
  <c r="T69" i="101"/>
  <c r="T87" i="98"/>
  <c r="F84" i="95"/>
  <c r="F81" i="95"/>
  <c r="F46" i="95"/>
  <c r="F45" i="95"/>
  <c r="F18" i="95"/>
  <c r="F69" i="95"/>
  <c r="F65" i="95"/>
  <c r="F57" i="95"/>
  <c r="F56" i="95"/>
  <c r="F37" i="95"/>
  <c r="F33" i="95"/>
  <c r="F32" i="95"/>
  <c r="F48" i="95"/>
  <c r="F47" i="95"/>
  <c r="F28" i="95"/>
  <c r="F24" i="95"/>
  <c r="F23" i="95"/>
  <c r="F71" i="95"/>
  <c r="F70" i="95"/>
  <c r="F59" i="95"/>
  <c r="F58" i="95"/>
  <c r="F66" i="95"/>
  <c r="F50" i="95"/>
  <c r="F49" i="95"/>
  <c r="F38" i="95"/>
  <c r="F34" i="95"/>
  <c r="D20" i="95"/>
  <c r="F73" i="95"/>
  <c r="F72" i="95"/>
  <c r="F61" i="95"/>
  <c r="F60" i="95"/>
  <c r="F29" i="95"/>
  <c r="F25" i="95"/>
  <c r="F52" i="95"/>
  <c r="F51" i="95"/>
  <c r="F40" i="95"/>
  <c r="F39" i="95"/>
  <c r="F67" i="95"/>
  <c r="F63" i="95"/>
  <c r="F62" i="95"/>
  <c r="F35" i="95"/>
  <c r="F77" i="95"/>
  <c r="F75" i="95"/>
  <c r="F54" i="95"/>
  <c r="F53" i="95"/>
  <c r="F42" i="95"/>
  <c r="F41" i="95"/>
  <c r="F30" i="95"/>
  <c r="F26" i="95"/>
  <c r="F79" i="95"/>
  <c r="F17" i="95"/>
  <c r="F16" i="95"/>
  <c r="F55" i="95"/>
  <c r="F31" i="95"/>
  <c r="F27" i="95"/>
  <c r="F64" i="95"/>
  <c r="F43" i="95"/>
  <c r="F22" i="95"/>
  <c r="F36" i="95"/>
  <c r="L12" i="95"/>
  <c r="N12" i="95" s="1"/>
  <c r="F68" i="95"/>
  <c r="F20" i="95"/>
  <c r="F44" i="95"/>
  <c r="J21" i="93"/>
  <c r="F37" i="86"/>
  <c r="F20" i="86"/>
  <c r="F18" i="86"/>
  <c r="F24" i="86"/>
  <c r="F23" i="86"/>
  <c r="D18" i="86"/>
  <c r="L12" i="86"/>
  <c r="N12" i="86" s="1"/>
  <c r="F26" i="86"/>
  <c r="F25" i="86"/>
  <c r="F32" i="86"/>
  <c r="F15" i="86"/>
  <c r="F30" i="86"/>
  <c r="F34" i="86"/>
  <c r="F16" i="86"/>
  <c r="F21" i="86"/>
  <c r="F28" i="86"/>
  <c r="F22" i="86"/>
  <c r="R28" i="86"/>
  <c r="R32" i="86"/>
  <c r="R21" i="86"/>
  <c r="R16" i="86"/>
  <c r="R23" i="86"/>
  <c r="R22" i="86"/>
  <c r="P18" i="86"/>
  <c r="R20" i="86"/>
  <c r="R26" i="86"/>
  <c r="R24" i="86"/>
  <c r="R18" i="86"/>
  <c r="R15" i="86"/>
  <c r="R25" i="86"/>
  <c r="X12" i="86"/>
  <c r="Z12" i="86" s="1"/>
  <c r="Z105" i="77"/>
  <c r="X105" i="77"/>
  <c r="Z116" i="71"/>
  <c r="R113" i="77"/>
  <c r="R106" i="77"/>
  <c r="R103" i="77"/>
  <c r="R95" i="77"/>
  <c r="R88" i="77"/>
  <c r="R87" i="77"/>
  <c r="R51" i="77"/>
  <c r="R47" i="77"/>
  <c r="R43" i="77"/>
  <c r="R39" i="77"/>
  <c r="R99" i="77"/>
  <c r="R98" i="77"/>
  <c r="R109" i="77"/>
  <c r="R102" i="77"/>
  <c r="R107" i="77"/>
  <c r="R84" i="77"/>
  <c r="R73" i="77"/>
  <c r="R72" i="77"/>
  <c r="R68" i="77"/>
  <c r="X12" i="77"/>
  <c r="Z12" i="77" s="1"/>
  <c r="R97" i="77"/>
  <c r="R80" i="77"/>
  <c r="R75" i="77"/>
  <c r="R66" i="77"/>
  <c r="R38" i="77"/>
  <c r="R94" i="77"/>
  <c r="R86" i="77"/>
  <c r="R81" i="77"/>
  <c r="R67" i="77"/>
  <c r="R63" i="77"/>
  <c r="P54" i="77"/>
  <c r="R54" i="77" s="1"/>
  <c r="R50" i="77"/>
  <c r="R44" i="77"/>
  <c r="R41" i="77"/>
  <c r="R101" i="77"/>
  <c r="R56" i="77"/>
  <c r="R71" i="77"/>
  <c r="R60" i="77"/>
  <c r="R57" i="77"/>
  <c r="R108" i="77"/>
  <c r="R91" i="77"/>
  <c r="R82" i="77"/>
  <c r="R77" i="77"/>
  <c r="R76" i="77"/>
  <c r="R83" i="77"/>
  <c r="R48" i="77"/>
  <c r="R45" i="77"/>
  <c r="R42" i="77"/>
  <c r="R105" i="77"/>
  <c r="R92" i="77"/>
  <c r="R64" i="77"/>
  <c r="R61" i="77"/>
  <c r="R58" i="77"/>
  <c r="R78" i="77"/>
  <c r="R69" i="77"/>
  <c r="R40" i="77"/>
  <c r="R79" i="77"/>
  <c r="R65" i="77"/>
  <c r="R62" i="77"/>
  <c r="R52" i="77"/>
  <c r="R49" i="77"/>
  <c r="R46" i="77"/>
  <c r="R100" i="77"/>
  <c r="R93" i="77"/>
  <c r="R90" i="77"/>
  <c r="R85" i="77"/>
  <c r="R74" i="77"/>
  <c r="R89" i="77"/>
  <c r="R70" i="77"/>
  <c r="R96" i="77"/>
  <c r="R59" i="77"/>
  <c r="Z16" i="60"/>
  <c r="T50" i="60"/>
  <c r="T53" i="61"/>
  <c r="Z16" i="61"/>
  <c r="H22" i="54"/>
  <c r="N16" i="54"/>
  <c r="R54" i="51"/>
  <c r="J54" i="51"/>
  <c r="V75" i="48"/>
  <c r="V61" i="48"/>
  <c r="V45" i="48"/>
  <c r="V25" i="48"/>
  <c r="V21" i="48"/>
  <c r="V44" i="48"/>
  <c r="V36" i="48"/>
  <c r="V55" i="48"/>
  <c r="V47" i="48"/>
  <c r="V35" i="48"/>
  <c r="V31" i="48"/>
  <c r="V57" i="48"/>
  <c r="V49" i="48"/>
  <c r="V37" i="48"/>
  <c r="V64" i="48"/>
  <c r="V56" i="48"/>
  <c r="V48" i="48"/>
  <c r="V40" i="48"/>
  <c r="V32" i="48"/>
  <c r="V66" i="48"/>
  <c r="V58" i="48"/>
  <c r="V50" i="48"/>
  <c r="V42" i="48"/>
  <c r="V71" i="48"/>
  <c r="V65" i="48"/>
  <c r="V53" i="48"/>
  <c r="V41" i="48"/>
  <c r="V33" i="48"/>
  <c r="V29" i="48"/>
  <c r="V70" i="48"/>
  <c r="V60" i="48"/>
  <c r="V52" i="48"/>
  <c r="V28" i="48"/>
  <c r="V24" i="48"/>
  <c r="V20" i="48"/>
  <c r="V54" i="48"/>
  <c r="V34" i="48"/>
  <c r="V30" i="48"/>
  <c r="T17" i="48"/>
  <c r="X17" i="48" s="1"/>
  <c r="V59" i="48"/>
  <c r="V43" i="48"/>
  <c r="V67" i="48"/>
  <c r="V63" i="48"/>
  <c r="V22" i="48"/>
  <c r="V39" i="48"/>
  <c r="V19" i="48"/>
  <c r="V15" i="48"/>
  <c r="V51" i="48"/>
  <c r="V46" i="48"/>
  <c r="V26" i="48"/>
  <c r="X12" i="48"/>
  <c r="Z12" i="48" s="1"/>
  <c r="V23" i="48"/>
  <c r="V69" i="48"/>
  <c r="V38" i="48"/>
  <c r="V62" i="48"/>
  <c r="V27" i="48"/>
  <c r="V17" i="48"/>
  <c r="J122" i="42"/>
  <c r="J118" i="42"/>
  <c r="J110" i="42"/>
  <c r="J94" i="42"/>
  <c r="J62" i="42"/>
  <c r="J54" i="42"/>
  <c r="J42" i="42"/>
  <c r="J38" i="42"/>
  <c r="J34" i="42"/>
  <c r="J32" i="42"/>
  <c r="J127" i="42"/>
  <c r="J121" i="42"/>
  <c r="J111" i="42"/>
  <c r="J105" i="42"/>
  <c r="J101" i="42"/>
  <c r="J89" i="42"/>
  <c r="J73" i="42"/>
  <c r="J63" i="42"/>
  <c r="J55" i="42"/>
  <c r="J43" i="42"/>
  <c r="J120" i="42"/>
  <c r="J112" i="42"/>
  <c r="J90" i="42"/>
  <c r="J84" i="42"/>
  <c r="J74" i="42"/>
  <c r="J64" i="42"/>
  <c r="J56" i="42"/>
  <c r="J48" i="42"/>
  <c r="J44" i="42"/>
  <c r="J113" i="42"/>
  <c r="J95" i="42"/>
  <c r="J91" i="42"/>
  <c r="J75" i="42"/>
  <c r="J65" i="42"/>
  <c r="J57" i="42"/>
  <c r="J39" i="42"/>
  <c r="J114" i="42"/>
  <c r="J106" i="42"/>
  <c r="J102" i="42"/>
  <c r="J96" i="42"/>
  <c r="J76" i="42"/>
  <c r="J66" i="42"/>
  <c r="J58" i="42"/>
  <c r="J97" i="42"/>
  <c r="J85" i="42"/>
  <c r="J77" i="42"/>
  <c r="J67" i="42"/>
  <c r="J49" i="42"/>
  <c r="J45" i="42"/>
  <c r="J115" i="42"/>
  <c r="J107" i="42"/>
  <c r="J103" i="42"/>
  <c r="J79" i="42"/>
  <c r="J69" i="42"/>
  <c r="J59" i="42"/>
  <c r="J98" i="42"/>
  <c r="J86" i="42"/>
  <c r="J80" i="42"/>
  <c r="J70" i="42"/>
  <c r="J50" i="42"/>
  <c r="J46" i="42"/>
  <c r="J99" i="42"/>
  <c r="J93" i="42"/>
  <c r="J87" i="42"/>
  <c r="J81" i="42"/>
  <c r="J71" i="42"/>
  <c r="J51" i="42"/>
  <c r="J41" i="42"/>
  <c r="J37" i="42"/>
  <c r="J123" i="42"/>
  <c r="J117" i="42"/>
  <c r="J109" i="42"/>
  <c r="J83" i="42"/>
  <c r="J61" i="42"/>
  <c r="J53" i="42"/>
  <c r="J47" i="42"/>
  <c r="J33" i="42"/>
  <c r="J104" i="42"/>
  <c r="J116" i="42"/>
  <c r="J92" i="42"/>
  <c r="J60" i="42"/>
  <c r="J36" i="42"/>
  <c r="J28" i="42"/>
  <c r="J26" i="42"/>
  <c r="J82" i="42"/>
  <c r="J40" i="42"/>
  <c r="J108" i="42"/>
  <c r="J100" i="42"/>
  <c r="J52" i="42"/>
  <c r="J68" i="42"/>
  <c r="J35" i="42"/>
  <c r="H30" i="42"/>
  <c r="J78" i="42"/>
  <c r="J27" i="42"/>
  <c r="J72" i="42"/>
  <c r="N12" i="42"/>
  <c r="J88" i="42"/>
  <c r="X30" i="42"/>
  <c r="P125" i="42"/>
  <c r="L129" i="39"/>
  <c r="N129" i="39" s="1"/>
  <c r="D112" i="21"/>
  <c r="L108" i="21"/>
  <c r="V97" i="33"/>
  <c r="V87" i="33"/>
  <c r="V102" i="33"/>
  <c r="V94" i="33"/>
  <c r="V93" i="33"/>
  <c r="V83" i="33"/>
  <c r="V75" i="33"/>
  <c r="V67" i="33"/>
  <c r="V92" i="33"/>
  <c r="V90" i="33"/>
  <c r="V84" i="33"/>
  <c r="V98" i="33"/>
  <c r="V80" i="33"/>
  <c r="V72" i="33"/>
  <c r="V60" i="33"/>
  <c r="V56" i="33"/>
  <c r="V74" i="33"/>
  <c r="V79" i="33"/>
  <c r="V78" i="33"/>
  <c r="V73" i="33"/>
  <c r="V49" i="33"/>
  <c r="V46" i="33"/>
  <c r="V59" i="33"/>
  <c r="V52" i="33"/>
  <c r="V39" i="33"/>
  <c r="V36" i="33"/>
  <c r="V70" i="33"/>
  <c r="V65" i="33"/>
  <c r="V64" i="33"/>
  <c r="Z12" i="33"/>
  <c r="V76" i="33"/>
  <c r="V47" i="33"/>
  <c r="V95" i="33"/>
  <c r="V81" i="33"/>
  <c r="V53" i="33"/>
  <c r="V50" i="33"/>
  <c r="V40" i="33"/>
  <c r="V85" i="33"/>
  <c r="V66" i="33"/>
  <c r="V61" i="33"/>
  <c r="V54" i="33"/>
  <c r="V37" i="33"/>
  <c r="V71" i="33"/>
  <c r="V57" i="33"/>
  <c r="V45" i="33"/>
  <c r="V44" i="33"/>
  <c r="T42" i="33"/>
  <c r="V88" i="33"/>
  <c r="V77" i="33"/>
  <c r="V48" i="33"/>
  <c r="V86" i="33"/>
  <c r="V82" i="33"/>
  <c r="V69" i="33"/>
  <c r="V68" i="33"/>
  <c r="V63" i="33"/>
  <c r="V58" i="33"/>
  <c r="V55" i="33"/>
  <c r="V35" i="33"/>
  <c r="V38" i="33"/>
  <c r="V62" i="33"/>
  <c r="V89" i="33"/>
  <c r="V51" i="33"/>
  <c r="V96" i="33"/>
  <c r="L284" i="18"/>
  <c r="N284" i="18" s="1"/>
  <c r="R272" i="12"/>
  <c r="R257" i="12"/>
  <c r="R241" i="12"/>
  <c r="R269" i="12"/>
  <c r="R266" i="12"/>
  <c r="R259" i="12"/>
  <c r="R258" i="12"/>
  <c r="R261" i="12"/>
  <c r="R260" i="12"/>
  <c r="R232" i="12"/>
  <c r="R276" i="12"/>
  <c r="R275" i="12"/>
  <c r="R240" i="12"/>
  <c r="R229" i="12"/>
  <c r="R273" i="12"/>
  <c r="R247" i="12"/>
  <c r="R246" i="12"/>
  <c r="R230" i="12"/>
  <c r="R249" i="12"/>
  <c r="R219" i="12"/>
  <c r="R218" i="12"/>
  <c r="R170" i="12"/>
  <c r="R166" i="12"/>
  <c r="R162" i="12"/>
  <c r="R158" i="12"/>
  <c r="R154" i="12"/>
  <c r="R150" i="12"/>
  <c r="R146" i="12"/>
  <c r="R142" i="12"/>
  <c r="R138" i="12"/>
  <c r="R134" i="12"/>
  <c r="R130" i="12"/>
  <c r="R126" i="12"/>
  <c r="R122" i="12"/>
  <c r="R271" i="12"/>
  <c r="R252" i="12"/>
  <c r="R235" i="12"/>
  <c r="R210" i="12"/>
  <c r="R209" i="12"/>
  <c r="R202" i="12"/>
  <c r="R201" i="12"/>
  <c r="R193" i="12"/>
  <c r="R189" i="12"/>
  <c r="R255" i="12"/>
  <c r="R244" i="12"/>
  <c r="R221" i="12"/>
  <c r="R220" i="12"/>
  <c r="R184" i="12"/>
  <c r="R180" i="12"/>
  <c r="R264" i="12"/>
  <c r="R239" i="12"/>
  <c r="R212" i="12"/>
  <c r="R211" i="12"/>
  <c r="R203" i="12"/>
  <c r="R171" i="12"/>
  <c r="R167" i="12"/>
  <c r="R163" i="12"/>
  <c r="R159" i="12"/>
  <c r="R155" i="12"/>
  <c r="R151" i="12"/>
  <c r="R147" i="12"/>
  <c r="R143" i="12"/>
  <c r="R139" i="12"/>
  <c r="R135" i="12"/>
  <c r="R131" i="12"/>
  <c r="R127" i="12"/>
  <c r="R123" i="12"/>
  <c r="R281" i="12"/>
  <c r="R277" i="12"/>
  <c r="R268" i="12"/>
  <c r="R256" i="12"/>
  <c r="R250" i="12"/>
  <c r="R223" i="12"/>
  <c r="R222" i="12"/>
  <c r="R195" i="12"/>
  <c r="R194" i="12"/>
  <c r="R190" i="12"/>
  <c r="R119" i="12"/>
  <c r="R214" i="12"/>
  <c r="R213" i="12"/>
  <c r="R185" i="12"/>
  <c r="R181" i="12"/>
  <c r="R265" i="12"/>
  <c r="R253" i="12"/>
  <c r="R242" i="12"/>
  <c r="R236" i="12"/>
  <c r="R225" i="12"/>
  <c r="R224" i="12"/>
  <c r="R205" i="12"/>
  <c r="R204" i="12"/>
  <c r="R197" i="12"/>
  <c r="R196" i="12"/>
  <c r="R177" i="12"/>
  <c r="R172" i="12"/>
  <c r="R168" i="12"/>
  <c r="R164" i="12"/>
  <c r="R160" i="12"/>
  <c r="R156" i="12"/>
  <c r="R152" i="12"/>
  <c r="R148" i="12"/>
  <c r="R144" i="12"/>
  <c r="R140" i="12"/>
  <c r="R136" i="12"/>
  <c r="R132" i="12"/>
  <c r="R128" i="12"/>
  <c r="R124" i="12"/>
  <c r="R120" i="12"/>
  <c r="R262" i="12"/>
  <c r="R248" i="12"/>
  <c r="R245" i="12"/>
  <c r="R233" i="12"/>
  <c r="R215" i="12"/>
  <c r="R191" i="12"/>
  <c r="R176" i="12"/>
  <c r="R274" i="12"/>
  <c r="R251" i="12"/>
  <c r="R231" i="12"/>
  <c r="R227" i="12"/>
  <c r="R226" i="12"/>
  <c r="R206" i="12"/>
  <c r="R198" i="12"/>
  <c r="R187" i="12"/>
  <c r="R186" i="12"/>
  <c r="R182" i="12"/>
  <c r="R178" i="12"/>
  <c r="P174" i="12"/>
  <c r="R169" i="12"/>
  <c r="R165" i="12"/>
  <c r="R161" i="12"/>
  <c r="R157" i="12"/>
  <c r="R153" i="12"/>
  <c r="R149" i="12"/>
  <c r="R145" i="12"/>
  <c r="R141" i="12"/>
  <c r="R137" i="12"/>
  <c r="R133" i="12"/>
  <c r="R129" i="12"/>
  <c r="R125" i="12"/>
  <c r="R121" i="12"/>
  <c r="R254" i="12"/>
  <c r="R243" i="12"/>
  <c r="R238" i="12"/>
  <c r="R237" i="12"/>
  <c r="R228" i="12"/>
  <c r="R208" i="12"/>
  <c r="R207" i="12"/>
  <c r="R200" i="12"/>
  <c r="R199" i="12"/>
  <c r="R183" i="12"/>
  <c r="R179" i="12"/>
  <c r="R217" i="12"/>
  <c r="R270" i="12"/>
  <c r="R234" i="12"/>
  <c r="R216" i="12"/>
  <c r="R192" i="12"/>
  <c r="X12" i="12"/>
  <c r="R263" i="12"/>
  <c r="R188" i="12"/>
  <c r="X18" i="40"/>
  <c r="P27" i="40"/>
  <c r="H27" i="37"/>
  <c r="N18" i="37"/>
  <c r="X18" i="41"/>
  <c r="P27" i="41"/>
  <c r="X18" i="37"/>
  <c r="P27" i="37"/>
  <c r="X18" i="13"/>
  <c r="P27" i="13"/>
  <c r="L18" i="16"/>
  <c r="D27" i="16"/>
  <c r="X18" i="10"/>
  <c r="P27" i="10"/>
  <c r="H27" i="5"/>
  <c r="N18" i="5"/>
  <c r="T73" i="94"/>
  <c r="J17" i="110"/>
  <c r="J48" i="105"/>
  <c r="J42" i="105"/>
  <c r="J45" i="105"/>
  <c r="J52" i="105"/>
  <c r="J34" i="105"/>
  <c r="J56" i="105"/>
  <c r="J46" i="105"/>
  <c r="J36" i="105"/>
  <c r="J28" i="105"/>
  <c r="J37" i="105"/>
  <c r="J38" i="105"/>
  <c r="J47" i="105"/>
  <c r="J39" i="105"/>
  <c r="J27" i="105"/>
  <c r="J31" i="105"/>
  <c r="J19" i="105"/>
  <c r="J43" i="105"/>
  <c r="J24" i="105"/>
  <c r="J35" i="105"/>
  <c r="J32" i="105"/>
  <c r="J29" i="105"/>
  <c r="J23" i="105"/>
  <c r="J25" i="105"/>
  <c r="H21" i="105"/>
  <c r="J50" i="105"/>
  <c r="J44" i="105"/>
  <c r="J41" i="105"/>
  <c r="J33" i="105"/>
  <c r="J30" i="105"/>
  <c r="J26" i="105"/>
  <c r="J17" i="105"/>
  <c r="J49" i="105"/>
  <c r="J40" i="105"/>
  <c r="J18" i="105"/>
  <c r="L12" i="105"/>
  <c r="N12" i="105" s="1"/>
  <c r="D73" i="101"/>
  <c r="T50" i="100"/>
  <c r="T93" i="96"/>
  <c r="T96" i="92"/>
  <c r="Z16" i="92"/>
  <c r="J21" i="83"/>
  <c r="N20" i="80"/>
  <c r="H73" i="80"/>
  <c r="V58" i="85"/>
  <c r="X20" i="84"/>
  <c r="P86" i="84"/>
  <c r="X20" i="81"/>
  <c r="Z20" i="81" s="1"/>
  <c r="P80" i="81"/>
  <c r="F107" i="75"/>
  <c r="F106" i="75"/>
  <c r="F87" i="75"/>
  <c r="F86" i="75"/>
  <c r="F51" i="75"/>
  <c r="F47" i="75"/>
  <c r="F43" i="75"/>
  <c r="F39" i="75"/>
  <c r="F94" i="75"/>
  <c r="F78" i="75"/>
  <c r="F77" i="75"/>
  <c r="F70" i="75"/>
  <c r="F66" i="75"/>
  <c r="F65" i="75"/>
  <c r="F109" i="75"/>
  <c r="F108" i="75"/>
  <c r="F101" i="75"/>
  <c r="F89" i="75"/>
  <c r="F88" i="75"/>
  <c r="F61" i="75"/>
  <c r="F57" i="75"/>
  <c r="F56" i="75"/>
  <c r="F96" i="75"/>
  <c r="F95" i="75"/>
  <c r="F80" i="75"/>
  <c r="F79" i="75"/>
  <c r="F55" i="75"/>
  <c r="F48" i="75"/>
  <c r="F44" i="75"/>
  <c r="F40" i="75"/>
  <c r="F36" i="75"/>
  <c r="F35" i="75"/>
  <c r="F71" i="75"/>
  <c r="F67" i="75"/>
  <c r="D53" i="75"/>
  <c r="F53" i="75" s="1"/>
  <c r="F110" i="75"/>
  <c r="F102" i="75"/>
  <c r="F90" i="75"/>
  <c r="F62" i="75"/>
  <c r="F58" i="75"/>
  <c r="F97" i="75"/>
  <c r="F113" i="75"/>
  <c r="F68" i="75"/>
  <c r="L12" i="75"/>
  <c r="N12" i="75" s="1"/>
  <c r="F117" i="75"/>
  <c r="F112" i="75"/>
  <c r="F103" i="75"/>
  <c r="F99" i="75"/>
  <c r="F98" i="75"/>
  <c r="F91" i="75"/>
  <c r="F83" i="75"/>
  <c r="F82" i="75"/>
  <c r="F75" i="75"/>
  <c r="F74" i="75"/>
  <c r="F63" i="75"/>
  <c r="F59" i="75"/>
  <c r="F50" i="75"/>
  <c r="F46" i="75"/>
  <c r="F42" i="75"/>
  <c r="F38" i="75"/>
  <c r="F100" i="75"/>
  <c r="F76" i="75"/>
  <c r="F64" i="75"/>
  <c r="F60" i="75"/>
  <c r="F104" i="75"/>
  <c r="F84" i="75"/>
  <c r="F72" i="75"/>
  <c r="F92" i="75"/>
  <c r="F41" i="75"/>
  <c r="F49" i="75"/>
  <c r="F69" i="75"/>
  <c r="F105" i="75"/>
  <c r="F73" i="75"/>
  <c r="F85" i="75"/>
  <c r="F81" i="75"/>
  <c r="F37" i="75"/>
  <c r="F45" i="75"/>
  <c r="F93" i="75"/>
  <c r="L26" i="73"/>
  <c r="N26" i="73" s="1"/>
  <c r="D84" i="73"/>
  <c r="F91" i="77"/>
  <c r="F90" i="77"/>
  <c r="F109" i="77"/>
  <c r="F113" i="77"/>
  <c r="F108" i="77"/>
  <c r="F103" i="77"/>
  <c r="F95" i="77"/>
  <c r="F94" i="77"/>
  <c r="F63" i="77"/>
  <c r="F59" i="77"/>
  <c r="F107" i="77"/>
  <c r="F100" i="77"/>
  <c r="F99" i="77"/>
  <c r="F80" i="77"/>
  <c r="F79" i="77"/>
  <c r="F52" i="77"/>
  <c r="F48" i="77"/>
  <c r="F44" i="77"/>
  <c r="F40" i="77"/>
  <c r="F88" i="77"/>
  <c r="F46" i="77"/>
  <c r="F43" i="77"/>
  <c r="F96" i="77"/>
  <c r="F73" i="77"/>
  <c r="F65" i="77"/>
  <c r="F62" i="77"/>
  <c r="F49" i="77"/>
  <c r="F106" i="77"/>
  <c r="F93" i="77"/>
  <c r="F89" i="77"/>
  <c r="F74" i="77"/>
  <c r="F70" i="77"/>
  <c r="F85" i="77"/>
  <c r="F66" i="77"/>
  <c r="F50" i="77"/>
  <c r="F47" i="77"/>
  <c r="F41" i="77"/>
  <c r="F97" i="77"/>
  <c r="F75" i="77"/>
  <c r="F38" i="77"/>
  <c r="L12" i="77"/>
  <c r="N12" i="77" s="1"/>
  <c r="F101" i="77"/>
  <c r="F86" i="77"/>
  <c r="F81" i="77"/>
  <c r="F71" i="77"/>
  <c r="F67" i="77"/>
  <c r="F60" i="77"/>
  <c r="D54" i="77"/>
  <c r="F54" i="77" s="1"/>
  <c r="F76" i="77"/>
  <c r="F68" i="77"/>
  <c r="F56" i="77"/>
  <c r="F39" i="77"/>
  <c r="F98" i="77"/>
  <c r="F82" i="77"/>
  <c r="F57" i="77"/>
  <c r="F51" i="77"/>
  <c r="F42" i="77"/>
  <c r="F87" i="77"/>
  <c r="F64" i="77"/>
  <c r="F45" i="77"/>
  <c r="F84" i="77"/>
  <c r="F78" i="77"/>
  <c r="F69" i="77"/>
  <c r="F61" i="77"/>
  <c r="F58" i="77"/>
  <c r="F102" i="77"/>
  <c r="F92" i="77"/>
  <c r="F105" i="77"/>
  <c r="F77" i="77"/>
  <c r="F72" i="77"/>
  <c r="F83" i="77"/>
  <c r="D61" i="68"/>
  <c r="L16" i="68"/>
  <c r="R122" i="69"/>
  <c r="R121" i="69"/>
  <c r="R114" i="69"/>
  <c r="R113" i="69"/>
  <c r="R106" i="69"/>
  <c r="R105" i="69"/>
  <c r="R109" i="69"/>
  <c r="R85" i="69"/>
  <c r="R81" i="69"/>
  <c r="R130" i="69"/>
  <c r="R116" i="69"/>
  <c r="R95" i="69"/>
  <c r="R94" i="69"/>
  <c r="R79" i="69"/>
  <c r="R66" i="69"/>
  <c r="R123" i="69"/>
  <c r="R119" i="69"/>
  <c r="R101" i="69"/>
  <c r="R96" i="69"/>
  <c r="R70" i="69"/>
  <c r="R110" i="69"/>
  <c r="R102" i="69"/>
  <c r="R97" i="69"/>
  <c r="R91" i="69"/>
  <c r="R84" i="69"/>
  <c r="R74" i="69"/>
  <c r="R63" i="69"/>
  <c r="R59" i="69"/>
  <c r="R55" i="69"/>
  <c r="R120" i="69"/>
  <c r="R87" i="69"/>
  <c r="R67" i="69"/>
  <c r="R111" i="69"/>
  <c r="R107" i="69"/>
  <c r="R88" i="69"/>
  <c r="R76" i="69"/>
  <c r="R71" i="69"/>
  <c r="R125" i="69"/>
  <c r="R117" i="69"/>
  <c r="R108" i="69"/>
  <c r="R92" i="69"/>
  <c r="R82" i="69"/>
  <c r="P76" i="69"/>
  <c r="R64" i="69"/>
  <c r="R60" i="69"/>
  <c r="R56" i="69"/>
  <c r="R115" i="69"/>
  <c r="R103" i="69"/>
  <c r="R98" i="69"/>
  <c r="R93" i="69"/>
  <c r="R78" i="69"/>
  <c r="R68" i="69"/>
  <c r="R104" i="69"/>
  <c r="R89" i="69"/>
  <c r="R72" i="69"/>
  <c r="R126" i="69"/>
  <c r="R118" i="69"/>
  <c r="R112" i="69"/>
  <c r="R61" i="69"/>
  <c r="R57" i="69"/>
  <c r="R100" i="69"/>
  <c r="R99" i="69"/>
  <c r="R80" i="69"/>
  <c r="R65" i="69"/>
  <c r="R53" i="69"/>
  <c r="X12" i="69"/>
  <c r="Z12" i="69" s="1"/>
  <c r="R90" i="69"/>
  <c r="R73" i="69"/>
  <c r="R62" i="69"/>
  <c r="R58" i="69"/>
  <c r="R54" i="69"/>
  <c r="R69" i="69"/>
  <c r="R86" i="69"/>
  <c r="R83" i="69"/>
  <c r="N16" i="61"/>
  <c r="H53" i="61"/>
  <c r="L53" i="61" s="1"/>
  <c r="T128" i="69"/>
  <c r="L65" i="59"/>
  <c r="D69" i="59"/>
  <c r="J116" i="36"/>
  <c r="J98" i="36"/>
  <c r="J94" i="36"/>
  <c r="J78" i="36"/>
  <c r="J68" i="36"/>
  <c r="J50" i="36"/>
  <c r="J46" i="36"/>
  <c r="J117" i="36"/>
  <c r="J109" i="36"/>
  <c r="J105" i="36"/>
  <c r="J99" i="36"/>
  <c r="J79" i="36"/>
  <c r="J69" i="36"/>
  <c r="J41" i="36"/>
  <c r="J37" i="36"/>
  <c r="J27" i="36"/>
  <c r="J100" i="36"/>
  <c r="J88" i="36"/>
  <c r="J80" i="36"/>
  <c r="J70" i="36"/>
  <c r="J60" i="36"/>
  <c r="J95" i="36"/>
  <c r="J81" i="36"/>
  <c r="J71" i="36"/>
  <c r="J51" i="36"/>
  <c r="J47" i="36"/>
  <c r="J118" i="36"/>
  <c r="J110" i="36"/>
  <c r="J106" i="36"/>
  <c r="J82" i="36"/>
  <c r="J72" i="36"/>
  <c r="J52" i="36"/>
  <c r="J42" i="36"/>
  <c r="J38" i="36"/>
  <c r="J101" i="36"/>
  <c r="J89" i="36"/>
  <c r="J83" i="36"/>
  <c r="J73" i="36"/>
  <c r="J61" i="36"/>
  <c r="J53" i="36"/>
  <c r="J29" i="36"/>
  <c r="J102" i="36"/>
  <c r="J96" i="36"/>
  <c r="J90" i="36"/>
  <c r="J84" i="36"/>
  <c r="J119" i="36"/>
  <c r="J111" i="36"/>
  <c r="J107" i="36"/>
  <c r="J103" i="36"/>
  <c r="J91" i="36"/>
  <c r="J85" i="36"/>
  <c r="J63" i="36"/>
  <c r="J55" i="36"/>
  <c r="J43" i="36"/>
  <c r="J39" i="36"/>
  <c r="J35" i="36"/>
  <c r="J33" i="36"/>
  <c r="J126" i="36"/>
  <c r="J120" i="36"/>
  <c r="J112" i="36"/>
  <c r="J86" i="36"/>
  <c r="J74" i="36"/>
  <c r="J64" i="36"/>
  <c r="J56" i="36"/>
  <c r="J44" i="36"/>
  <c r="J125" i="36"/>
  <c r="J121" i="36"/>
  <c r="J113" i="36"/>
  <c r="J97" i="36"/>
  <c r="J75" i="36"/>
  <c r="J65" i="36"/>
  <c r="J57" i="36"/>
  <c r="J49" i="36"/>
  <c r="J45" i="36"/>
  <c r="J123" i="36"/>
  <c r="J115" i="36"/>
  <c r="J93" i="36"/>
  <c r="J87" i="36"/>
  <c r="J77" i="36"/>
  <c r="J67" i="36"/>
  <c r="J59" i="36"/>
  <c r="J104" i="36"/>
  <c r="J124" i="36"/>
  <c r="J36" i="36"/>
  <c r="J66" i="36"/>
  <c r="J48" i="36"/>
  <c r="J58" i="36"/>
  <c r="J76" i="36"/>
  <c r="J54" i="36"/>
  <c r="J62" i="36"/>
  <c r="J130" i="36"/>
  <c r="J108" i="36"/>
  <c r="J40" i="36"/>
  <c r="J92" i="36"/>
  <c r="J114" i="36"/>
  <c r="J34" i="36"/>
  <c r="J28" i="36"/>
  <c r="H31" i="36"/>
  <c r="J31" i="36" s="1"/>
  <c r="R125" i="30"/>
  <c r="R89" i="30"/>
  <c r="R85" i="30"/>
  <c r="R74" i="30"/>
  <c r="R46" i="30"/>
  <c r="R145" i="30"/>
  <c r="R144" i="30"/>
  <c r="R136" i="30"/>
  <c r="R132" i="30"/>
  <c r="R109" i="30"/>
  <c r="R108" i="30"/>
  <c r="R80" i="30"/>
  <c r="R76" i="30"/>
  <c r="P72" i="30"/>
  <c r="R72" i="30" s="1"/>
  <c r="R119" i="30"/>
  <c r="R100" i="30"/>
  <c r="R99" i="30"/>
  <c r="R67" i="30"/>
  <c r="R63" i="30"/>
  <c r="R59" i="30"/>
  <c r="R55" i="30"/>
  <c r="R51" i="30"/>
  <c r="R47" i="30"/>
  <c r="R149" i="30"/>
  <c r="R146" i="30"/>
  <c r="R126" i="30"/>
  <c r="R111" i="30"/>
  <c r="R110" i="30"/>
  <c r="R91" i="30"/>
  <c r="R90" i="30"/>
  <c r="R86" i="30"/>
  <c r="R148" i="30"/>
  <c r="R138" i="30"/>
  <c r="R137" i="30"/>
  <c r="R133" i="30"/>
  <c r="R102" i="30"/>
  <c r="R101" i="30"/>
  <c r="R81" i="30"/>
  <c r="R77" i="30"/>
  <c r="R121" i="30"/>
  <c r="R120" i="30"/>
  <c r="R113" i="30"/>
  <c r="R112" i="30"/>
  <c r="R93" i="30"/>
  <c r="R92" i="30"/>
  <c r="R68" i="30"/>
  <c r="R64" i="30"/>
  <c r="R60" i="30"/>
  <c r="R56" i="30"/>
  <c r="R52" i="30"/>
  <c r="R48" i="30"/>
  <c r="R134" i="30"/>
  <c r="R122" i="30"/>
  <c r="R115" i="30"/>
  <c r="R114" i="30"/>
  <c r="R95" i="30"/>
  <c r="R94" i="30"/>
  <c r="R82" i="30"/>
  <c r="R78" i="30"/>
  <c r="R142" i="30"/>
  <c r="R141" i="30"/>
  <c r="R129" i="30"/>
  <c r="R105" i="30"/>
  <c r="R69" i="30"/>
  <c r="R65" i="30"/>
  <c r="R61" i="30"/>
  <c r="R57" i="30"/>
  <c r="R53" i="30"/>
  <c r="R49" i="30"/>
  <c r="R117" i="30"/>
  <c r="R116" i="30"/>
  <c r="R97" i="30"/>
  <c r="R96" i="30"/>
  <c r="R88" i="30"/>
  <c r="X12" i="30"/>
  <c r="Z12" i="30" s="1"/>
  <c r="R131" i="30"/>
  <c r="R130" i="30"/>
  <c r="R118" i="30"/>
  <c r="R107" i="30"/>
  <c r="R106" i="30"/>
  <c r="R98" i="30"/>
  <c r="R75" i="30"/>
  <c r="R70" i="30"/>
  <c r="R66" i="30"/>
  <c r="R62" i="30"/>
  <c r="R58" i="30"/>
  <c r="R54" i="30"/>
  <c r="R50" i="30"/>
  <c r="R153" i="30"/>
  <c r="R123" i="30"/>
  <c r="R140" i="30"/>
  <c r="R83" i="30"/>
  <c r="R103" i="30"/>
  <c r="R127" i="30"/>
  <c r="R87" i="30"/>
  <c r="R124" i="30"/>
  <c r="R104" i="30"/>
  <c r="R143" i="30"/>
  <c r="R128" i="30"/>
  <c r="R135" i="30"/>
  <c r="R84" i="30"/>
  <c r="R79" i="30"/>
  <c r="R139" i="30"/>
  <c r="J137" i="24"/>
  <c r="J129" i="24"/>
  <c r="J121" i="24"/>
  <c r="J109" i="24"/>
  <c r="J95" i="24"/>
  <c r="J91" i="24"/>
  <c r="J87" i="24"/>
  <c r="J85" i="24"/>
  <c r="J83" i="24"/>
  <c r="J57" i="24"/>
  <c r="J138" i="24"/>
  <c r="J130" i="24"/>
  <c r="J122" i="24"/>
  <c r="J110" i="24"/>
  <c r="J96" i="24"/>
  <c r="H83" i="24"/>
  <c r="J78" i="24"/>
  <c r="J74" i="24"/>
  <c r="J70" i="24"/>
  <c r="J66" i="24"/>
  <c r="J62" i="24"/>
  <c r="J58" i="24"/>
  <c r="J141" i="24"/>
  <c r="J111" i="24"/>
  <c r="J101" i="24"/>
  <c r="J97" i="24"/>
  <c r="J140" i="24"/>
  <c r="J112" i="24"/>
  <c r="J102" i="24"/>
  <c r="J92" i="24"/>
  <c r="J88" i="24"/>
  <c r="J145" i="24"/>
  <c r="J131" i="24"/>
  <c r="J123" i="24"/>
  <c r="J113" i="24"/>
  <c r="J103" i="24"/>
  <c r="J79" i="24"/>
  <c r="J75" i="24"/>
  <c r="J71" i="24"/>
  <c r="J67" i="24"/>
  <c r="J63" i="24"/>
  <c r="J59" i="24"/>
  <c r="J124" i="24"/>
  <c r="J114" i="24"/>
  <c r="J104" i="24"/>
  <c r="J98" i="24"/>
  <c r="J125" i="24"/>
  <c r="J115" i="24"/>
  <c r="J105" i="24"/>
  <c r="J93" i="24"/>
  <c r="J89" i="24"/>
  <c r="J132" i="24"/>
  <c r="J116" i="24"/>
  <c r="J106" i="24"/>
  <c r="J80" i="24"/>
  <c r="J76" i="24"/>
  <c r="J72" i="24"/>
  <c r="J68" i="24"/>
  <c r="J64" i="24"/>
  <c r="J60" i="24"/>
  <c r="J133" i="24"/>
  <c r="J117" i="24"/>
  <c r="J107" i="24"/>
  <c r="J99" i="24"/>
  <c r="J134" i="24"/>
  <c r="J126" i="24"/>
  <c r="J118" i="24"/>
  <c r="J94" i="24"/>
  <c r="J90" i="24"/>
  <c r="J136" i="24"/>
  <c r="J128" i="24"/>
  <c r="J120" i="24"/>
  <c r="J108" i="24"/>
  <c r="J100" i="24"/>
  <c r="J86" i="24"/>
  <c r="N12" i="24"/>
  <c r="J135" i="24"/>
  <c r="J119" i="24"/>
  <c r="J77" i="24"/>
  <c r="J69" i="24"/>
  <c r="J127" i="24"/>
  <c r="J65" i="24"/>
  <c r="J81" i="24"/>
  <c r="J73" i="24"/>
  <c r="J61" i="24"/>
  <c r="R264" i="15"/>
  <c r="R237" i="15"/>
  <c r="R225" i="15"/>
  <c r="R218" i="15"/>
  <c r="R217" i="15"/>
  <c r="R190" i="15"/>
  <c r="R189" i="15"/>
  <c r="R185" i="15"/>
  <c r="R263" i="15"/>
  <c r="R248" i="15"/>
  <c r="R232" i="15"/>
  <c r="R209" i="15"/>
  <c r="R208" i="15"/>
  <c r="R180" i="15"/>
  <c r="R176" i="15"/>
  <c r="R262" i="15"/>
  <c r="R256" i="15"/>
  <c r="R255" i="15"/>
  <c r="R243" i="15"/>
  <c r="R220" i="15"/>
  <c r="R219" i="15"/>
  <c r="R200" i="15"/>
  <c r="R199" i="15"/>
  <c r="R192" i="15"/>
  <c r="R191" i="15"/>
  <c r="R172" i="15"/>
  <c r="R167" i="15"/>
  <c r="R163" i="15"/>
  <c r="R159" i="15"/>
  <c r="R155" i="15"/>
  <c r="R151" i="15"/>
  <c r="R147" i="15"/>
  <c r="R143" i="15"/>
  <c r="R139" i="15"/>
  <c r="R135" i="15"/>
  <c r="R131" i="15"/>
  <c r="R127" i="15"/>
  <c r="R123" i="15"/>
  <c r="R119" i="15"/>
  <c r="R261" i="15"/>
  <c r="R239" i="15"/>
  <c r="R238" i="15"/>
  <c r="R227" i="15"/>
  <c r="R226" i="15"/>
  <c r="R210" i="15"/>
  <c r="R186" i="15"/>
  <c r="R171" i="15"/>
  <c r="R260" i="15"/>
  <c r="R257" i="15"/>
  <c r="R250" i="15"/>
  <c r="R249" i="15"/>
  <c r="R233" i="15"/>
  <c r="R222" i="15"/>
  <c r="R221" i="15"/>
  <c r="R201" i="15"/>
  <c r="R193" i="15"/>
  <c r="R182" i="15"/>
  <c r="R181" i="15"/>
  <c r="R177" i="15"/>
  <c r="R173" i="15"/>
  <c r="P169" i="15"/>
  <c r="R259" i="15"/>
  <c r="R244" i="15"/>
  <c r="R240" i="15"/>
  <c r="R228" i="15"/>
  <c r="R164" i="15"/>
  <c r="R160" i="15"/>
  <c r="R156" i="15"/>
  <c r="R152" i="15"/>
  <c r="R148" i="15"/>
  <c r="R144" i="15"/>
  <c r="R140" i="15"/>
  <c r="R136" i="15"/>
  <c r="R132" i="15"/>
  <c r="R128" i="15"/>
  <c r="R124" i="15"/>
  <c r="R120" i="15"/>
  <c r="R252" i="15"/>
  <c r="R251" i="15"/>
  <c r="R223" i="15"/>
  <c r="R212" i="15"/>
  <c r="R211" i="15"/>
  <c r="R234" i="15"/>
  <c r="R203" i="15"/>
  <c r="R202" i="15"/>
  <c r="R195" i="15"/>
  <c r="R194" i="15"/>
  <c r="R178" i="15"/>
  <c r="R174" i="15"/>
  <c r="R268" i="15"/>
  <c r="R253" i="15"/>
  <c r="R245" i="15"/>
  <c r="R241" i="15"/>
  <c r="R229" i="15"/>
  <c r="R214" i="15"/>
  <c r="R213" i="15"/>
  <c r="R165" i="15"/>
  <c r="R161" i="15"/>
  <c r="R157" i="15"/>
  <c r="R153" i="15"/>
  <c r="R149" i="15"/>
  <c r="R145" i="15"/>
  <c r="R141" i="15"/>
  <c r="R137" i="15"/>
  <c r="R133" i="15"/>
  <c r="R129" i="15"/>
  <c r="R125" i="15"/>
  <c r="R121" i="15"/>
  <c r="R117" i="15"/>
  <c r="R267" i="15"/>
  <c r="R224" i="15"/>
  <c r="R205" i="15"/>
  <c r="R204" i="15"/>
  <c r="R197" i="15"/>
  <c r="R196" i="15"/>
  <c r="R188" i="15"/>
  <c r="R184" i="15"/>
  <c r="X12" i="15"/>
  <c r="Z12" i="15" s="1"/>
  <c r="R272" i="15"/>
  <c r="R265" i="15"/>
  <c r="R254" i="15"/>
  <c r="R247" i="15"/>
  <c r="R246" i="15"/>
  <c r="R242" i="15"/>
  <c r="R231" i="15"/>
  <c r="R230" i="15"/>
  <c r="R207" i="15"/>
  <c r="R206" i="15"/>
  <c r="R198" i="15"/>
  <c r="R166" i="15"/>
  <c r="R162" i="15"/>
  <c r="R158" i="15"/>
  <c r="R154" i="15"/>
  <c r="R150" i="15"/>
  <c r="R146" i="15"/>
  <c r="R142" i="15"/>
  <c r="R138" i="15"/>
  <c r="R134" i="15"/>
  <c r="R130" i="15"/>
  <c r="R126" i="15"/>
  <c r="R122" i="15"/>
  <c r="R118" i="15"/>
  <c r="R179" i="15"/>
  <c r="R215" i="15"/>
  <c r="R116" i="15"/>
  <c r="R266" i="15"/>
  <c r="R235" i="15"/>
  <c r="R183" i="15"/>
  <c r="R175" i="15"/>
  <c r="R216" i="15"/>
  <c r="R236" i="15"/>
  <c r="R187" i="15"/>
  <c r="P323" i="3"/>
  <c r="V315" i="3"/>
  <c r="V313" i="3"/>
  <c r="V303" i="3"/>
  <c r="V295" i="3"/>
  <c r="V312" i="3"/>
  <c r="V270" i="3"/>
  <c r="V262" i="3"/>
  <c r="V242" i="3"/>
  <c r="V321" i="3"/>
  <c r="V309" i="3"/>
  <c r="V299" i="3"/>
  <c r="V319" i="3"/>
  <c r="V301" i="3"/>
  <c r="V293" i="3"/>
  <c r="V330" i="3"/>
  <c r="V329" i="3"/>
  <c r="V325" i="3"/>
  <c r="V317" i="3"/>
  <c r="V279" i="3"/>
  <c r="V267" i="3"/>
  <c r="V255" i="3"/>
  <c r="V247" i="3"/>
  <c r="V239" i="3"/>
  <c r="V300" i="3"/>
  <c r="V297" i="3"/>
  <c r="V291" i="3"/>
  <c r="V280" i="3"/>
  <c r="V246" i="3"/>
  <c r="V245" i="3"/>
  <c r="V231" i="3"/>
  <c r="V211" i="3"/>
  <c r="V209" i="3"/>
  <c r="V207" i="3"/>
  <c r="V203" i="3"/>
  <c r="V199" i="3"/>
  <c r="V195" i="3"/>
  <c r="V191" i="3"/>
  <c r="V187" i="3"/>
  <c r="V183" i="3"/>
  <c r="V179" i="3"/>
  <c r="V175" i="3"/>
  <c r="V171" i="3"/>
  <c r="V167" i="3"/>
  <c r="V163" i="3"/>
  <c r="V159" i="3"/>
  <c r="V155" i="3"/>
  <c r="V151" i="3"/>
  <c r="V147" i="3"/>
  <c r="V152" i="3"/>
  <c r="V229" i="3"/>
  <c r="V294" i="3"/>
  <c r="V285" i="3"/>
  <c r="V266" i="3"/>
  <c r="V265" i="3"/>
  <c r="V260" i="3"/>
  <c r="V259" i="3"/>
  <c r="V226" i="3"/>
  <c r="V222" i="3"/>
  <c r="T209" i="3"/>
  <c r="V286" i="3"/>
  <c r="V274" i="3"/>
  <c r="V251" i="3"/>
  <c r="V238" i="3"/>
  <c r="V233" i="3"/>
  <c r="V221" i="3"/>
  <c r="V217" i="3"/>
  <c r="V213" i="3"/>
  <c r="V318" i="3"/>
  <c r="V314" i="3"/>
  <c r="V281" i="3"/>
  <c r="V278" i="3"/>
  <c r="V204" i="3"/>
  <c r="V200" i="3"/>
  <c r="V196" i="3"/>
  <c r="V192" i="3"/>
  <c r="V188" i="3"/>
  <c r="V184" i="3"/>
  <c r="V180" i="3"/>
  <c r="V176" i="3"/>
  <c r="V172" i="3"/>
  <c r="V168" i="3"/>
  <c r="V164" i="3"/>
  <c r="V160" i="3"/>
  <c r="V156" i="3"/>
  <c r="V148" i="3"/>
  <c r="V284" i="3"/>
  <c r="V273" i="3"/>
  <c r="V241" i="3"/>
  <c r="V310" i="3"/>
  <c r="V298" i="3"/>
  <c r="V292" i="3"/>
  <c r="V289" i="3"/>
  <c r="V261" i="3"/>
  <c r="V256" i="3"/>
  <c r="V227" i="3"/>
  <c r="V223" i="3"/>
  <c r="V205" i="3"/>
  <c r="V193" i="3"/>
  <c r="V181" i="3"/>
  <c r="V177" i="3"/>
  <c r="V169" i="3"/>
  <c r="V161" i="3"/>
  <c r="V272" i="3"/>
  <c r="V248" i="3"/>
  <c r="V235" i="3"/>
  <c r="V234" i="3"/>
  <c r="V218" i="3"/>
  <c r="V214" i="3"/>
  <c r="V197" i="3"/>
  <c r="V185" i="3"/>
  <c r="V173" i="3"/>
  <c r="V165" i="3"/>
  <c r="V157" i="3"/>
  <c r="V153" i="3"/>
  <c r="V149" i="3"/>
  <c r="V306" i="3"/>
  <c r="V283" i="3"/>
  <c r="V282" i="3"/>
  <c r="V275" i="3"/>
  <c r="V271" i="3"/>
  <c r="V268" i="3"/>
  <c r="V252" i="3"/>
  <c r="V201" i="3"/>
  <c r="V189" i="3"/>
  <c r="V304" i="3"/>
  <c r="V302" i="3"/>
  <c r="V296" i="3"/>
  <c r="V287" i="3"/>
  <c r="V257" i="3"/>
  <c r="V253" i="3"/>
  <c r="V244" i="3"/>
  <c r="V243" i="3"/>
  <c r="V228" i="3"/>
  <c r="V224" i="3"/>
  <c r="Z12" i="3"/>
  <c r="V276" i="3"/>
  <c r="V316" i="3"/>
  <c r="V311" i="3"/>
  <c r="V290" i="3"/>
  <c r="V264" i="3"/>
  <c r="V263" i="3"/>
  <c r="V258" i="3"/>
  <c r="V249" i="3"/>
  <c r="V219" i="3"/>
  <c r="V215" i="3"/>
  <c r="V225" i="3"/>
  <c r="V320" i="3"/>
  <c r="V269" i="3"/>
  <c r="V250" i="3"/>
  <c r="V236" i="3"/>
  <c r="V230" i="3"/>
  <c r="V206" i="3"/>
  <c r="V202" i="3"/>
  <c r="V198" i="3"/>
  <c r="V194" i="3"/>
  <c r="V190" i="3"/>
  <c r="V186" i="3"/>
  <c r="V182" i="3"/>
  <c r="V178" i="3"/>
  <c r="V174" i="3"/>
  <c r="V170" i="3"/>
  <c r="V166" i="3"/>
  <c r="V162" i="3"/>
  <c r="V158" i="3"/>
  <c r="V154" i="3"/>
  <c r="V150" i="3"/>
  <c r="V308" i="3"/>
  <c r="V305" i="3"/>
  <c r="V288" i="3"/>
  <c r="V277" i="3"/>
  <c r="V254" i="3"/>
  <c r="V240" i="3"/>
  <c r="V232" i="3"/>
  <c r="V220" i="3"/>
  <c r="V216" i="3"/>
  <c r="V212" i="3"/>
  <c r="V237" i="3"/>
  <c r="P97" i="9"/>
  <c r="X93" i="9"/>
  <c r="T27" i="112"/>
  <c r="Z18" i="112"/>
  <c r="T27" i="50"/>
  <c r="Z18" i="50"/>
  <c r="X18" i="50"/>
  <c r="P27" i="50"/>
  <c r="T27" i="46"/>
  <c r="Z18" i="46"/>
  <c r="X18" i="38"/>
  <c r="P27" i="38"/>
  <c r="H27" i="35"/>
  <c r="N18" i="35"/>
  <c r="L18" i="23"/>
  <c r="D27" i="23"/>
  <c r="T27" i="32"/>
  <c r="Z18" i="32"/>
  <c r="X18" i="17"/>
  <c r="P27" i="17"/>
  <c r="X18" i="5"/>
  <c r="P27" i="5"/>
  <c r="T27" i="4"/>
  <c r="Z18" i="4"/>
  <c r="H27" i="4"/>
  <c r="N18" i="4"/>
  <c r="D27" i="4"/>
  <c r="L18" i="4"/>
  <c r="Z21" i="93"/>
  <c r="T80" i="93"/>
  <c r="N112" i="75"/>
  <c r="J321" i="3"/>
  <c r="J309" i="3"/>
  <c r="J325" i="3"/>
  <c r="J319" i="3"/>
  <c r="J301" i="3"/>
  <c r="J318" i="3"/>
  <c r="J302" i="3"/>
  <c r="J294" i="3"/>
  <c r="J290" i="3"/>
  <c r="J274" i="3"/>
  <c r="J268" i="3"/>
  <c r="J256" i="3"/>
  <c r="J248" i="3"/>
  <c r="J315" i="3"/>
  <c r="J303" i="3"/>
  <c r="J295" i="3"/>
  <c r="J313" i="3"/>
  <c r="J297" i="3"/>
  <c r="J311" i="3"/>
  <c r="J305" i="3"/>
  <c r="J277" i="3"/>
  <c r="J271" i="3"/>
  <c r="J263" i="3"/>
  <c r="J253" i="3"/>
  <c r="J243" i="3"/>
  <c r="J237" i="3"/>
  <c r="J330" i="3"/>
  <c r="J296" i="3"/>
  <c r="J293" i="3"/>
  <c r="J249" i="3"/>
  <c r="J244" i="3"/>
  <c r="J219" i="3"/>
  <c r="J215" i="3"/>
  <c r="J287" i="3"/>
  <c r="J239" i="3"/>
  <c r="J181" i="3"/>
  <c r="J161" i="3"/>
  <c r="J316" i="3"/>
  <c r="J284" i="3"/>
  <c r="J272" i="3"/>
  <c r="J269" i="3"/>
  <c r="J264" i="3"/>
  <c r="J258" i="3"/>
  <c r="J236" i="3"/>
  <c r="J206" i="3"/>
  <c r="J202" i="3"/>
  <c r="J198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320" i="3"/>
  <c r="J308" i="3"/>
  <c r="J276" i="3"/>
  <c r="J250" i="3"/>
  <c r="J240" i="3"/>
  <c r="J229" i="3"/>
  <c r="J225" i="3"/>
  <c r="J282" i="3"/>
  <c r="J317" i="3"/>
  <c r="J312" i="3"/>
  <c r="J300" i="3"/>
  <c r="J291" i="3"/>
  <c r="J288" i="3"/>
  <c r="J280" i="3"/>
  <c r="J273" i="3"/>
  <c r="J254" i="3"/>
  <c r="J245" i="3"/>
  <c r="J230" i="3"/>
  <c r="J220" i="3"/>
  <c r="J216" i="3"/>
  <c r="J299" i="3"/>
  <c r="J265" i="3"/>
  <c r="J259" i="3"/>
  <c r="J241" i="3"/>
  <c r="J231" i="3"/>
  <c r="J207" i="3"/>
  <c r="J203" i="3"/>
  <c r="J199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212" i="3"/>
  <c r="J242" i="3"/>
  <c r="J211" i="3"/>
  <c r="J147" i="3"/>
  <c r="J197" i="3"/>
  <c r="J177" i="3"/>
  <c r="J173" i="3"/>
  <c r="J157" i="3"/>
  <c r="J285" i="3"/>
  <c r="J270" i="3"/>
  <c r="J251" i="3"/>
  <c r="J232" i="3"/>
  <c r="J226" i="3"/>
  <c r="J221" i="3"/>
  <c r="J217" i="3"/>
  <c r="J213" i="3"/>
  <c r="J193" i="3"/>
  <c r="J165" i="3"/>
  <c r="J149" i="3"/>
  <c r="J329" i="3"/>
  <c r="J260" i="3"/>
  <c r="J246" i="3"/>
  <c r="J238" i="3"/>
  <c r="J233" i="3"/>
  <c r="J298" i="3"/>
  <c r="J289" i="3"/>
  <c r="J286" i="3"/>
  <c r="J281" i="3"/>
  <c r="J278" i="3"/>
  <c r="J266" i="3"/>
  <c r="J255" i="3"/>
  <c r="J222" i="3"/>
  <c r="H209" i="3"/>
  <c r="J204" i="3"/>
  <c r="J200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314" i="3"/>
  <c r="J292" i="3"/>
  <c r="J261" i="3"/>
  <c r="J247" i="3"/>
  <c r="J227" i="3"/>
  <c r="J223" i="3"/>
  <c r="J169" i="3"/>
  <c r="J310" i="3"/>
  <c r="J306" i="3"/>
  <c r="J275" i="3"/>
  <c r="J267" i="3"/>
  <c r="J262" i="3"/>
  <c r="J234" i="3"/>
  <c r="J218" i="3"/>
  <c r="J214" i="3"/>
  <c r="J304" i="3"/>
  <c r="J252" i="3"/>
  <c r="J283" i="3"/>
  <c r="J279" i="3"/>
  <c r="J257" i="3"/>
  <c r="J235" i="3"/>
  <c r="J228" i="3"/>
  <c r="J224" i="3"/>
  <c r="N12" i="3"/>
  <c r="J205" i="3"/>
  <c r="J201" i="3"/>
  <c r="J189" i="3"/>
  <c r="J185" i="3"/>
  <c r="J153" i="3"/>
  <c r="R62" i="110"/>
  <c r="R47" i="110"/>
  <c r="R46" i="110"/>
  <c r="R26" i="110"/>
  <c r="R22" i="110"/>
  <c r="R38" i="110"/>
  <c r="R37" i="110"/>
  <c r="R57" i="110"/>
  <c r="R56" i="110"/>
  <c r="R49" i="110"/>
  <c r="R48" i="110"/>
  <c r="R32" i="110"/>
  <c r="R64" i="110"/>
  <c r="R63" i="110"/>
  <c r="R40" i="110"/>
  <c r="R39" i="110"/>
  <c r="R27" i="110"/>
  <c r="R23" i="110"/>
  <c r="R59" i="110"/>
  <c r="R58" i="110"/>
  <c r="R51" i="110"/>
  <c r="R50" i="110"/>
  <c r="R66" i="110"/>
  <c r="R65" i="110"/>
  <c r="R42" i="110"/>
  <c r="R41" i="110"/>
  <c r="R33" i="110"/>
  <c r="R71" i="110"/>
  <c r="R60" i="110"/>
  <c r="R53" i="110"/>
  <c r="R52" i="110"/>
  <c r="R29" i="110"/>
  <c r="R28" i="110"/>
  <c r="R24" i="110"/>
  <c r="R70" i="110"/>
  <c r="R67" i="110"/>
  <c r="R43" i="110"/>
  <c r="R75" i="110"/>
  <c r="R61" i="110"/>
  <c r="R25" i="110"/>
  <c r="R21" i="110"/>
  <c r="X12" i="110"/>
  <c r="Z12" i="110" s="1"/>
  <c r="R45" i="110"/>
  <c r="R31" i="110"/>
  <c r="P17" i="110"/>
  <c r="R54" i="110"/>
  <c r="R69" i="110"/>
  <c r="R35" i="110"/>
  <c r="R19" i="110"/>
  <c r="R36" i="110"/>
  <c r="R30" i="110"/>
  <c r="R44" i="110"/>
  <c r="R34" i="110"/>
  <c r="R20" i="110"/>
  <c r="R15" i="110"/>
  <c r="R55" i="110"/>
  <c r="L16" i="107"/>
  <c r="D24" i="107"/>
  <c r="V61" i="104"/>
  <c r="V53" i="104"/>
  <c r="V82" i="104"/>
  <c r="V80" i="104"/>
  <c r="V72" i="104"/>
  <c r="V68" i="104"/>
  <c r="V56" i="104"/>
  <c r="V74" i="104"/>
  <c r="V58" i="104"/>
  <c r="V46" i="104"/>
  <c r="V38" i="104"/>
  <c r="V73" i="104"/>
  <c r="V69" i="104"/>
  <c r="V57" i="104"/>
  <c r="V45" i="104"/>
  <c r="V33" i="104"/>
  <c r="V29" i="104"/>
  <c r="V25" i="104"/>
  <c r="V86" i="104"/>
  <c r="V76" i="104"/>
  <c r="V64" i="104"/>
  <c r="V48" i="104"/>
  <c r="V75" i="104"/>
  <c r="V59" i="104"/>
  <c r="V47" i="104"/>
  <c r="V39" i="104"/>
  <c r="V35" i="104"/>
  <c r="V78" i="104"/>
  <c r="V70" i="104"/>
  <c r="V66" i="104"/>
  <c r="V77" i="104"/>
  <c r="V65" i="104"/>
  <c r="V49" i="104"/>
  <c r="V60" i="104"/>
  <c r="V52" i="104"/>
  <c r="V40" i="104"/>
  <c r="V36" i="104"/>
  <c r="V62" i="104"/>
  <c r="V54" i="104"/>
  <c r="V42" i="104"/>
  <c r="V18" i="104"/>
  <c r="V31" i="104"/>
  <c r="V26" i="104"/>
  <c r="V20" i="104"/>
  <c r="V63" i="104"/>
  <c r="T22" i="104"/>
  <c r="V79" i="104"/>
  <c r="V32" i="104"/>
  <c r="V27" i="104"/>
  <c r="V67" i="104"/>
  <c r="V51" i="104"/>
  <c r="V43" i="104"/>
  <c r="V24" i="104"/>
  <c r="V55" i="104"/>
  <c r="V41" i="104"/>
  <c r="V34" i="104"/>
  <c r="V30" i="104"/>
  <c r="V28" i="104"/>
  <c r="Z12" i="104"/>
  <c r="V19" i="104"/>
  <c r="V71" i="104"/>
  <c r="V37" i="104"/>
  <c r="V44" i="104"/>
  <c r="V50" i="104"/>
  <c r="F70" i="104"/>
  <c r="F77" i="104"/>
  <c r="F76" i="104"/>
  <c r="F65" i="104"/>
  <c r="F49" i="104"/>
  <c r="F79" i="104"/>
  <c r="F78" i="104"/>
  <c r="F71" i="104"/>
  <c r="F67" i="104"/>
  <c r="F66" i="104"/>
  <c r="F51" i="104"/>
  <c r="F50" i="104"/>
  <c r="F31" i="104"/>
  <c r="F61" i="104"/>
  <c r="F53" i="104"/>
  <c r="F52" i="104"/>
  <c r="F41" i="104"/>
  <c r="F37" i="104"/>
  <c r="F80" i="104"/>
  <c r="F72" i="104"/>
  <c r="F68" i="104"/>
  <c r="F63" i="104"/>
  <c r="F62" i="104"/>
  <c r="F55" i="104"/>
  <c r="F54" i="104"/>
  <c r="F38" i="104"/>
  <c r="F82" i="104"/>
  <c r="F73" i="104"/>
  <c r="F69" i="104"/>
  <c r="F57" i="104"/>
  <c r="F56" i="104"/>
  <c r="F45" i="104"/>
  <c r="F44" i="104"/>
  <c r="F33" i="104"/>
  <c r="F29" i="104"/>
  <c r="F75" i="104"/>
  <c r="F74" i="104"/>
  <c r="F59" i="104"/>
  <c r="F58" i="104"/>
  <c r="F47" i="104"/>
  <c r="F46" i="104"/>
  <c r="F39" i="104"/>
  <c r="F24" i="104"/>
  <c r="L12" i="104"/>
  <c r="N12" i="104" s="1"/>
  <c r="F48" i="104"/>
  <c r="F28" i="104"/>
  <c r="F19" i="104"/>
  <c r="F86" i="104"/>
  <c r="F25" i="104"/>
  <c r="F42" i="104"/>
  <c r="F35" i="104"/>
  <c r="F26" i="104"/>
  <c r="F20" i="104"/>
  <c r="F40" i="104"/>
  <c r="F43" i="104"/>
  <c r="F60" i="104"/>
  <c r="F36" i="104"/>
  <c r="F32" i="104"/>
  <c r="F27" i="104"/>
  <c r="F22" i="104"/>
  <c r="F64" i="104"/>
  <c r="D22" i="104"/>
  <c r="F34" i="104"/>
  <c r="F18" i="104"/>
  <c r="F30" i="104"/>
  <c r="F78" i="102"/>
  <c r="F77" i="102"/>
  <c r="F66" i="102"/>
  <c r="F50" i="102"/>
  <c r="F49" i="102"/>
  <c r="F25" i="102"/>
  <c r="F23" i="102"/>
  <c r="F80" i="102"/>
  <c r="F79" i="102"/>
  <c r="F72" i="102"/>
  <c r="F68" i="102"/>
  <c r="F67" i="102"/>
  <c r="F60" i="102"/>
  <c r="F52" i="102"/>
  <c r="F51" i="102"/>
  <c r="F85" i="102"/>
  <c r="F83" i="102"/>
  <c r="F62" i="102"/>
  <c r="F61" i="102"/>
  <c r="F54" i="102"/>
  <c r="F53" i="102"/>
  <c r="F42" i="102"/>
  <c r="F38" i="102"/>
  <c r="F87" i="102"/>
  <c r="F82" i="102"/>
  <c r="F73" i="102"/>
  <c r="F69" i="102"/>
  <c r="F33" i="102"/>
  <c r="F29" i="102"/>
  <c r="F64" i="102"/>
  <c r="F63" i="102"/>
  <c r="F56" i="102"/>
  <c r="F55" i="102"/>
  <c r="F92" i="102"/>
  <c r="F89" i="102"/>
  <c r="F74" i="102"/>
  <c r="F70" i="102"/>
  <c r="F58" i="102"/>
  <c r="F57" i="102"/>
  <c r="F46" i="102"/>
  <c r="F45" i="102"/>
  <c r="F65" i="102"/>
  <c r="F71" i="102"/>
  <c r="F59" i="102"/>
  <c r="F35" i="102"/>
  <c r="F31" i="102"/>
  <c r="F27" i="102"/>
  <c r="F26" i="102"/>
  <c r="F76" i="102"/>
  <c r="F43" i="102"/>
  <c r="F30" i="102"/>
  <c r="F41" i="102"/>
  <c r="F28" i="102"/>
  <c r="F19" i="102"/>
  <c r="F44" i="102"/>
  <c r="D23" i="102"/>
  <c r="F36" i="102"/>
  <c r="F20" i="102"/>
  <c r="F39" i="102"/>
  <c r="F75" i="102"/>
  <c r="F47" i="102"/>
  <c r="F37" i="102"/>
  <c r="F34" i="102"/>
  <c r="F21" i="102"/>
  <c r="F40" i="102"/>
  <c r="F32" i="102"/>
  <c r="F48" i="102"/>
  <c r="L12" i="102"/>
  <c r="N12" i="102" s="1"/>
  <c r="D58" i="105"/>
  <c r="P69" i="101"/>
  <c r="X22" i="101"/>
  <c r="Z22" i="101" s="1"/>
  <c r="X70" i="94"/>
  <c r="Z70" i="94" s="1"/>
  <c r="V18" i="86"/>
  <c r="R58" i="79"/>
  <c r="R42" i="79"/>
  <c r="R68" i="79"/>
  <c r="R50" i="79"/>
  <c r="R49" i="79"/>
  <c r="R37" i="79"/>
  <c r="R33" i="79"/>
  <c r="R67" i="79"/>
  <c r="R66" i="79"/>
  <c r="R60" i="79"/>
  <c r="R59" i="79"/>
  <c r="R51" i="79"/>
  <c r="R43" i="79"/>
  <c r="R20" i="79"/>
  <c r="R72" i="79"/>
  <c r="R65" i="79"/>
  <c r="R39" i="79"/>
  <c r="R38" i="79"/>
  <c r="R34" i="79"/>
  <c r="R64" i="79"/>
  <c r="R61" i="79"/>
  <c r="R30" i="79"/>
  <c r="R25" i="79"/>
  <c r="R21" i="79"/>
  <c r="R63" i="79"/>
  <c r="R35" i="79"/>
  <c r="R31" i="79"/>
  <c r="P27" i="79"/>
  <c r="R55" i="79"/>
  <c r="R54" i="79"/>
  <c r="R22" i="79"/>
  <c r="R46" i="79"/>
  <c r="R45" i="79"/>
  <c r="R41" i="79"/>
  <c r="R48" i="79"/>
  <c r="R47" i="79"/>
  <c r="R23" i="79"/>
  <c r="R56" i="79"/>
  <c r="R36" i="79"/>
  <c r="R52" i="79"/>
  <c r="R29" i="79"/>
  <c r="R53" i="79"/>
  <c r="R40" i="79"/>
  <c r="R24" i="79"/>
  <c r="X12" i="79"/>
  <c r="Z12" i="79" s="1"/>
  <c r="R57" i="79"/>
  <c r="R32" i="79"/>
  <c r="R44" i="79"/>
  <c r="R27" i="79"/>
  <c r="N63" i="79"/>
  <c r="T111" i="77"/>
  <c r="X12" i="73"/>
  <c r="Z12" i="73" s="1"/>
  <c r="V54" i="77"/>
  <c r="N116" i="71"/>
  <c r="Z16" i="59"/>
  <c r="T65" i="59"/>
  <c r="L16" i="55"/>
  <c r="D33" i="55"/>
  <c r="H33" i="55"/>
  <c r="N16" i="55"/>
  <c r="D26" i="54"/>
  <c r="L22" i="54"/>
  <c r="F17" i="48"/>
  <c r="L69" i="48"/>
  <c r="X69" i="48"/>
  <c r="Z69" i="48" s="1"/>
  <c r="H94" i="45"/>
  <c r="N24" i="45"/>
  <c r="D94" i="45"/>
  <c r="L24" i="45"/>
  <c r="X12" i="42"/>
  <c r="Z12" i="42" s="1"/>
  <c r="F124" i="36"/>
  <c r="F115" i="36"/>
  <c r="F114" i="36"/>
  <c r="F87" i="36"/>
  <c r="F67" i="36"/>
  <c r="F66" i="36"/>
  <c r="F59" i="36"/>
  <c r="F58" i="36"/>
  <c r="F123" i="36"/>
  <c r="F98" i="36"/>
  <c r="F94" i="36"/>
  <c r="F93" i="36"/>
  <c r="F78" i="36"/>
  <c r="F77" i="36"/>
  <c r="F50" i="36"/>
  <c r="F46" i="36"/>
  <c r="F117" i="36"/>
  <c r="F116" i="36"/>
  <c r="F109" i="36"/>
  <c r="F105" i="36"/>
  <c r="F69" i="36"/>
  <c r="F68" i="36"/>
  <c r="F41" i="36"/>
  <c r="F37" i="36"/>
  <c r="F100" i="36"/>
  <c r="F99" i="36"/>
  <c r="F88" i="36"/>
  <c r="F80" i="36"/>
  <c r="F79" i="36"/>
  <c r="F60" i="36"/>
  <c r="F28" i="36"/>
  <c r="F27" i="36"/>
  <c r="F95" i="36"/>
  <c r="F71" i="36"/>
  <c r="F70" i="36"/>
  <c r="F51" i="36"/>
  <c r="F47" i="36"/>
  <c r="F118" i="36"/>
  <c r="F110" i="36"/>
  <c r="F106" i="36"/>
  <c r="F82" i="36"/>
  <c r="F81" i="36"/>
  <c r="F42" i="36"/>
  <c r="F38" i="36"/>
  <c r="F101" i="36"/>
  <c r="F89" i="36"/>
  <c r="F96" i="36"/>
  <c r="F84" i="36"/>
  <c r="F83" i="36"/>
  <c r="F48" i="36"/>
  <c r="L12" i="36"/>
  <c r="N12" i="36" s="1"/>
  <c r="F119" i="36"/>
  <c r="F111" i="36"/>
  <c r="F107" i="36"/>
  <c r="F103" i="36"/>
  <c r="F102" i="36"/>
  <c r="F91" i="36"/>
  <c r="F90" i="36"/>
  <c r="F63" i="36"/>
  <c r="F62" i="36"/>
  <c r="F55" i="36"/>
  <c r="F54" i="36"/>
  <c r="F43" i="36"/>
  <c r="F39" i="36"/>
  <c r="F35" i="36"/>
  <c r="F34" i="36"/>
  <c r="F86" i="36"/>
  <c r="F85" i="36"/>
  <c r="F74" i="36"/>
  <c r="F33" i="36"/>
  <c r="F130" i="36"/>
  <c r="F125" i="36"/>
  <c r="F108" i="36"/>
  <c r="F104" i="36"/>
  <c r="F92" i="36"/>
  <c r="F76" i="36"/>
  <c r="F75" i="36"/>
  <c r="F40" i="36"/>
  <c r="F36" i="36"/>
  <c r="F121" i="36"/>
  <c r="F112" i="36"/>
  <c r="F57" i="36"/>
  <c r="F53" i="36"/>
  <c r="F61" i="36"/>
  <c r="F44" i="36"/>
  <c r="F126" i="36"/>
  <c r="F72" i="36"/>
  <c r="F29" i="36"/>
  <c r="F45" i="36"/>
  <c r="F120" i="36"/>
  <c r="F113" i="36"/>
  <c r="F64" i="36"/>
  <c r="F56" i="36"/>
  <c r="F73" i="36"/>
  <c r="F52" i="36"/>
  <c r="F97" i="36"/>
  <c r="F65" i="36"/>
  <c r="F49" i="36"/>
  <c r="D31" i="36"/>
  <c r="L148" i="30"/>
  <c r="N148" i="30" s="1"/>
  <c r="F100" i="27"/>
  <c r="F92" i="27"/>
  <c r="F84" i="27"/>
  <c r="F83" i="27"/>
  <c r="F72" i="27"/>
  <c r="F68" i="27"/>
  <c r="F120" i="27"/>
  <c r="F115" i="27"/>
  <c r="F114" i="27"/>
  <c r="F124" i="27"/>
  <c r="F119" i="27"/>
  <c r="F118" i="27"/>
  <c r="F117" i="27"/>
  <c r="F108" i="27"/>
  <c r="F96" i="27"/>
  <c r="F95" i="27"/>
  <c r="F60" i="27"/>
  <c r="F56" i="27"/>
  <c r="F52" i="27"/>
  <c r="F48" i="27"/>
  <c r="F103" i="27"/>
  <c r="F87" i="27"/>
  <c r="F86" i="27"/>
  <c r="F79" i="27"/>
  <c r="F105" i="27"/>
  <c r="F104" i="27"/>
  <c r="F111" i="27"/>
  <c r="F99" i="27"/>
  <c r="F91" i="27"/>
  <c r="F90" i="27"/>
  <c r="F113" i="27"/>
  <c r="F112" i="27"/>
  <c r="F77" i="27"/>
  <c r="F70" i="27"/>
  <c r="F97" i="27"/>
  <c r="F94" i="27"/>
  <c r="F75" i="27"/>
  <c r="F65" i="27"/>
  <c r="F57" i="27"/>
  <c r="F102" i="27"/>
  <c r="F89" i="27"/>
  <c r="F80" i="27"/>
  <c r="F54" i="27"/>
  <c r="F51" i="27"/>
  <c r="F44" i="27"/>
  <c r="F78" i="27"/>
  <c r="F66" i="27"/>
  <c r="F98" i="27"/>
  <c r="F73" i="27"/>
  <c r="F45" i="27"/>
  <c r="L12" i="27"/>
  <c r="N12" i="27" s="1"/>
  <c r="F109" i="27"/>
  <c r="F107" i="27"/>
  <c r="F76" i="27"/>
  <c r="F71" i="27"/>
  <c r="F55" i="27"/>
  <c r="F81" i="27"/>
  <c r="F58" i="27"/>
  <c r="F69" i="27"/>
  <c r="F49" i="27"/>
  <c r="F82" i="27"/>
  <c r="F67" i="27"/>
  <c r="D62" i="27"/>
  <c r="F46" i="27"/>
  <c r="F110" i="27"/>
  <c r="F93" i="27"/>
  <c r="F74" i="27"/>
  <c r="F59" i="27"/>
  <c r="F106" i="27"/>
  <c r="F64" i="27"/>
  <c r="F50" i="27"/>
  <c r="F47" i="27"/>
  <c r="F88" i="27"/>
  <c r="F53" i="27"/>
  <c r="F85" i="27"/>
  <c r="F101" i="27"/>
  <c r="Z259" i="15"/>
  <c r="V148" i="30"/>
  <c r="J29" i="21"/>
  <c r="F293" i="18"/>
  <c r="F260" i="18"/>
  <c r="F292" i="18"/>
  <c r="F279" i="18"/>
  <c r="F271" i="18"/>
  <c r="F267" i="18"/>
  <c r="F255" i="18"/>
  <c r="F231" i="18"/>
  <c r="F230" i="18"/>
  <c r="F223" i="18"/>
  <c r="F222" i="18"/>
  <c r="F291" i="18"/>
  <c r="F262" i="18"/>
  <c r="F261" i="18"/>
  <c r="F250" i="18"/>
  <c r="F290" i="18"/>
  <c r="F289" i="18"/>
  <c r="F280" i="18"/>
  <c r="F268" i="18"/>
  <c r="F244" i="18"/>
  <c r="F243" i="18"/>
  <c r="F224" i="18"/>
  <c r="F216" i="18"/>
  <c r="F215" i="18"/>
  <c r="F192" i="18"/>
  <c r="F188" i="18"/>
  <c r="F184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288" i="18"/>
  <c r="F263" i="18"/>
  <c r="F251" i="18"/>
  <c r="F235" i="18"/>
  <c r="F234" i="18"/>
  <c r="F286" i="18"/>
  <c r="F269" i="18"/>
  <c r="F265" i="18"/>
  <c r="F264" i="18"/>
  <c r="F253" i="18"/>
  <c r="F252" i="18"/>
  <c r="F285" i="18"/>
  <c r="F276" i="18"/>
  <c r="F275" i="18"/>
  <c r="F248" i="18"/>
  <c r="F247" i="18"/>
  <c r="F236" i="18"/>
  <c r="F296" i="18"/>
  <c r="F284" i="18"/>
  <c r="F294" i="18"/>
  <c r="F249" i="18"/>
  <c r="F229" i="18"/>
  <c r="F228" i="18"/>
  <c r="F221" i="18"/>
  <c r="F220" i="18"/>
  <c r="F213" i="18"/>
  <c r="F209" i="18"/>
  <c r="F295" i="18"/>
  <c r="F254" i="18"/>
  <c r="F225" i="18"/>
  <c r="F207" i="18"/>
  <c r="F178" i="18"/>
  <c r="F135" i="18"/>
  <c r="F281" i="18"/>
  <c r="F266" i="18"/>
  <c r="F257" i="18"/>
  <c r="F233" i="18"/>
  <c r="F214" i="18"/>
  <c r="F212" i="18"/>
  <c r="F175" i="18"/>
  <c r="F165" i="18"/>
  <c r="F149" i="18"/>
  <c r="F142" i="18"/>
  <c r="F259" i="18"/>
  <c r="F226" i="18"/>
  <c r="F217" i="18"/>
  <c r="F210" i="18"/>
  <c r="F208" i="18"/>
  <c r="F199" i="18"/>
  <c r="F185" i="18"/>
  <c r="F162" i="18"/>
  <c r="F159" i="18"/>
  <c r="F139" i="18"/>
  <c r="L12" i="18"/>
  <c r="N12" i="18" s="1"/>
  <c r="F274" i="18"/>
  <c r="F241" i="18"/>
  <c r="F238" i="18"/>
  <c r="F218" i="18"/>
  <c r="F202" i="18"/>
  <c r="F182" i="18"/>
  <c r="F179" i="18"/>
  <c r="F146" i="18"/>
  <c r="F278" i="18"/>
  <c r="F272" i="18"/>
  <c r="F270" i="18"/>
  <c r="F205" i="18"/>
  <c r="F189" i="18"/>
  <c r="F169" i="18"/>
  <c r="F153" i="18"/>
  <c r="F143" i="18"/>
  <c r="F282" i="18"/>
  <c r="F186" i="18"/>
  <c r="F166" i="18"/>
  <c r="F163" i="18"/>
  <c r="F150" i="18"/>
  <c r="F200" i="18"/>
  <c r="F183" i="18"/>
  <c r="F173" i="18"/>
  <c r="F147" i="18"/>
  <c r="F258" i="18"/>
  <c r="F242" i="18"/>
  <c r="F239" i="18"/>
  <c r="F203" i="18"/>
  <c r="D194" i="18"/>
  <c r="F194" i="18" s="1"/>
  <c r="F190" i="18"/>
  <c r="F170" i="18"/>
  <c r="F157" i="18"/>
  <c r="F137" i="18"/>
  <c r="F287" i="18"/>
  <c r="F245" i="18"/>
  <c r="F227" i="18"/>
  <c r="F211" i="18"/>
  <c r="F206" i="18"/>
  <c r="F196" i="18"/>
  <c r="F187" i="18"/>
  <c r="F167" i="18"/>
  <c r="F154" i="18"/>
  <c r="F151" i="18"/>
  <c r="F273" i="18"/>
  <c r="F256" i="18"/>
  <c r="F240" i="18"/>
  <c r="F232" i="18"/>
  <c r="F219" i="18"/>
  <c r="F197" i="18"/>
  <c r="F177" i="18"/>
  <c r="F141" i="18"/>
  <c r="F246" i="18"/>
  <c r="F237" i="18"/>
  <c r="F204" i="18"/>
  <c r="F201" i="18"/>
  <c r="F181" i="18"/>
  <c r="F158" i="18"/>
  <c r="F155" i="18"/>
  <c r="F145" i="18"/>
  <c r="F138" i="18"/>
  <c r="F134" i="18"/>
  <c r="F300" i="18"/>
  <c r="F174" i="18"/>
  <c r="F161" i="18"/>
  <c r="F171" i="18"/>
  <c r="F277" i="18"/>
  <c r="F191" i="18"/>
  <c r="F198" i="18"/>
  <c r="V270" i="12"/>
  <c r="V264" i="12"/>
  <c r="V252" i="12"/>
  <c r="V248" i="12"/>
  <c r="V236" i="12"/>
  <c r="V261" i="12"/>
  <c r="V253" i="12"/>
  <c r="V277" i="12"/>
  <c r="V243" i="12"/>
  <c r="V239" i="12"/>
  <c r="V281" i="12"/>
  <c r="V273" i="12"/>
  <c r="V263" i="12"/>
  <c r="V255" i="12"/>
  <c r="V251" i="12"/>
  <c r="V247" i="12"/>
  <c r="V235" i="12"/>
  <c r="V271" i="12"/>
  <c r="V265" i="12"/>
  <c r="V257" i="12"/>
  <c r="V241" i="12"/>
  <c r="V276" i="12"/>
  <c r="V246" i="12"/>
  <c r="V244" i="12"/>
  <c r="V232" i="12"/>
  <c r="V221" i="12"/>
  <c r="V209" i="12"/>
  <c r="V201" i="12"/>
  <c r="V193" i="12"/>
  <c r="V189" i="12"/>
  <c r="V258" i="12"/>
  <c r="V220" i="12"/>
  <c r="V212" i="12"/>
  <c r="V184" i="12"/>
  <c r="V180" i="12"/>
  <c r="V272" i="12"/>
  <c r="V256" i="12"/>
  <c r="V223" i="12"/>
  <c r="V211" i="12"/>
  <c r="V203" i="12"/>
  <c r="V195" i="12"/>
  <c r="V171" i="12"/>
  <c r="V167" i="12"/>
  <c r="V163" i="12"/>
  <c r="V159" i="12"/>
  <c r="V155" i="12"/>
  <c r="V151" i="12"/>
  <c r="V147" i="12"/>
  <c r="V143" i="12"/>
  <c r="V139" i="12"/>
  <c r="V135" i="12"/>
  <c r="V131" i="12"/>
  <c r="V127" i="12"/>
  <c r="V123" i="12"/>
  <c r="V119" i="12"/>
  <c r="V268" i="12"/>
  <c r="V250" i="12"/>
  <c r="V222" i="12"/>
  <c r="V214" i="12"/>
  <c r="V194" i="12"/>
  <c r="V190" i="12"/>
  <c r="V259" i="12"/>
  <c r="V230" i="12"/>
  <c r="V225" i="12"/>
  <c r="V213" i="12"/>
  <c r="V205" i="12"/>
  <c r="V197" i="12"/>
  <c r="V185" i="12"/>
  <c r="V181" i="12"/>
  <c r="V177" i="12"/>
  <c r="V242" i="12"/>
  <c r="V224" i="12"/>
  <c r="V204" i="12"/>
  <c r="V196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274" i="12"/>
  <c r="V269" i="12"/>
  <c r="V262" i="12"/>
  <c r="V245" i="12"/>
  <c r="V233" i="12"/>
  <c r="V227" i="12"/>
  <c r="V215" i="12"/>
  <c r="V191" i="12"/>
  <c r="V187" i="12"/>
  <c r="T174" i="12"/>
  <c r="V231" i="12"/>
  <c r="V226" i="12"/>
  <c r="V206" i="12"/>
  <c r="V198" i="12"/>
  <c r="V186" i="12"/>
  <c r="V182" i="12"/>
  <c r="V178" i="12"/>
  <c r="V240" i="12"/>
  <c r="V234" i="12"/>
  <c r="V217" i="12"/>
  <c r="V169" i="12"/>
  <c r="V165" i="12"/>
  <c r="V161" i="12"/>
  <c r="V157" i="12"/>
  <c r="V153" i="12"/>
  <c r="V149" i="12"/>
  <c r="V145" i="12"/>
  <c r="V141" i="12"/>
  <c r="V137" i="12"/>
  <c r="V133" i="12"/>
  <c r="V129" i="12"/>
  <c r="V125" i="12"/>
  <c r="V121" i="12"/>
  <c r="V275" i="12"/>
  <c r="V238" i="12"/>
  <c r="V216" i="12"/>
  <c r="V208" i="12"/>
  <c r="V200" i="12"/>
  <c r="V192" i="12"/>
  <c r="V188" i="12"/>
  <c r="Z12" i="12"/>
  <c r="V260" i="12"/>
  <c r="V249" i="12"/>
  <c r="V229" i="12"/>
  <c r="V218" i="12"/>
  <c r="V210" i="12"/>
  <c r="V202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219" i="12"/>
  <c r="V207" i="12"/>
  <c r="V179" i="12"/>
  <c r="V266" i="12"/>
  <c r="V254" i="12"/>
  <c r="V199" i="12"/>
  <c r="V237" i="12"/>
  <c r="V183" i="12"/>
  <c r="V228" i="12"/>
  <c r="J276" i="12"/>
  <c r="J240" i="12"/>
  <c r="J234" i="12"/>
  <c r="J228" i="12"/>
  <c r="J273" i="12"/>
  <c r="J257" i="12"/>
  <c r="J271" i="12"/>
  <c r="J265" i="12"/>
  <c r="J261" i="12"/>
  <c r="J243" i="12"/>
  <c r="J239" i="12"/>
  <c r="J277" i="12"/>
  <c r="J245" i="12"/>
  <c r="J233" i="12"/>
  <c r="J275" i="12"/>
  <c r="J227" i="12"/>
  <c r="J187" i="12"/>
  <c r="H174" i="12"/>
  <c r="J169" i="12"/>
  <c r="J165" i="12"/>
  <c r="J161" i="12"/>
  <c r="J157" i="12"/>
  <c r="J153" i="12"/>
  <c r="J149" i="12"/>
  <c r="J145" i="12"/>
  <c r="J141" i="12"/>
  <c r="J137" i="12"/>
  <c r="J133" i="12"/>
  <c r="J129" i="12"/>
  <c r="J125" i="12"/>
  <c r="J121" i="12"/>
  <c r="J270" i="12"/>
  <c r="J266" i="12"/>
  <c r="J263" i="12"/>
  <c r="J237" i="12"/>
  <c r="J216" i="12"/>
  <c r="J192" i="12"/>
  <c r="J188" i="12"/>
  <c r="J260" i="12"/>
  <c r="J254" i="12"/>
  <c r="J249" i="12"/>
  <c r="J246" i="12"/>
  <c r="J217" i="12"/>
  <c r="J207" i="12"/>
  <c r="J199" i="12"/>
  <c r="J183" i="12"/>
  <c r="J179" i="12"/>
  <c r="J241" i="12"/>
  <c r="J238" i="12"/>
  <c r="J232" i="12"/>
  <c r="J229" i="12"/>
  <c r="J218" i="12"/>
  <c r="J208" i="12"/>
  <c r="J200" i="12"/>
  <c r="J170" i="12"/>
  <c r="J166" i="12"/>
  <c r="J162" i="12"/>
  <c r="J158" i="12"/>
  <c r="J154" i="12"/>
  <c r="J150" i="12"/>
  <c r="J146" i="12"/>
  <c r="J142" i="12"/>
  <c r="J138" i="12"/>
  <c r="J134" i="12"/>
  <c r="J130" i="12"/>
  <c r="J126" i="12"/>
  <c r="J122" i="12"/>
  <c r="J258" i="12"/>
  <c r="J252" i="12"/>
  <c r="J235" i="12"/>
  <c r="J219" i="12"/>
  <c r="J209" i="12"/>
  <c r="J201" i="12"/>
  <c r="J193" i="12"/>
  <c r="J189" i="12"/>
  <c r="J255" i="12"/>
  <c r="J244" i="12"/>
  <c r="J220" i="12"/>
  <c r="J210" i="12"/>
  <c r="J202" i="12"/>
  <c r="J184" i="12"/>
  <c r="J180" i="12"/>
  <c r="J281" i="12"/>
  <c r="J272" i="12"/>
  <c r="J264" i="12"/>
  <c r="J247" i="12"/>
  <c r="J230" i="12"/>
  <c r="J221" i="12"/>
  <c r="J211" i="12"/>
  <c r="J203" i="12"/>
  <c r="J171" i="12"/>
  <c r="J167" i="12"/>
  <c r="J163" i="12"/>
  <c r="J159" i="12"/>
  <c r="J155" i="12"/>
  <c r="J151" i="12"/>
  <c r="J147" i="12"/>
  <c r="J143" i="12"/>
  <c r="J139" i="12"/>
  <c r="J135" i="12"/>
  <c r="J131" i="12"/>
  <c r="J127" i="12"/>
  <c r="J123" i="12"/>
  <c r="J268" i="12"/>
  <c r="J256" i="12"/>
  <c r="J250" i="12"/>
  <c r="J222" i="12"/>
  <c r="J212" i="12"/>
  <c r="J194" i="12"/>
  <c r="J190" i="12"/>
  <c r="J259" i="12"/>
  <c r="J253" i="12"/>
  <c r="J223" i="12"/>
  <c r="J213" i="12"/>
  <c r="J195" i="12"/>
  <c r="J185" i="12"/>
  <c r="J181" i="12"/>
  <c r="J119" i="12"/>
  <c r="J242" i="12"/>
  <c r="J236" i="12"/>
  <c r="J224" i="12"/>
  <c r="J214" i="12"/>
  <c r="J204" i="12"/>
  <c r="J196" i="12"/>
  <c r="J172" i="12"/>
  <c r="J168" i="12"/>
  <c r="J164" i="12"/>
  <c r="J160" i="12"/>
  <c r="J156" i="12"/>
  <c r="J152" i="12"/>
  <c r="J148" i="12"/>
  <c r="J144" i="12"/>
  <c r="J140" i="12"/>
  <c r="J136" i="12"/>
  <c r="J132" i="12"/>
  <c r="J128" i="12"/>
  <c r="J124" i="12"/>
  <c r="J120" i="12"/>
  <c r="J274" i="12"/>
  <c r="J231" i="12"/>
  <c r="J226" i="12"/>
  <c r="J206" i="12"/>
  <c r="J198" i="12"/>
  <c r="J186" i="12"/>
  <c r="J182" i="12"/>
  <c r="J178" i="12"/>
  <c r="J176" i="12"/>
  <c r="J174" i="12"/>
  <c r="J215" i="12"/>
  <c r="J205" i="12"/>
  <c r="J191" i="12"/>
  <c r="J177" i="12"/>
  <c r="J262" i="12"/>
  <c r="J225" i="12"/>
  <c r="J197" i="12"/>
  <c r="J251" i="12"/>
  <c r="J248" i="12"/>
  <c r="J269" i="12"/>
  <c r="X16" i="9"/>
  <c r="H27" i="43"/>
  <c r="N18" i="43"/>
  <c r="H27" i="41"/>
  <c r="N18" i="41"/>
  <c r="T27" i="40"/>
  <c r="Z18" i="40"/>
  <c r="H27" i="28"/>
  <c r="N18" i="28"/>
  <c r="X18" i="32"/>
  <c r="P27" i="32"/>
  <c r="L18" i="32"/>
  <c r="D27" i="32"/>
  <c r="H27" i="26"/>
  <c r="N18" i="26"/>
  <c r="H27" i="19"/>
  <c r="N18" i="19"/>
  <c r="L18" i="17"/>
  <c r="D27" i="17"/>
  <c r="H27" i="10"/>
  <c r="N18" i="10"/>
  <c r="H31" i="19" l="1"/>
  <c r="N27" i="19"/>
  <c r="X27" i="40"/>
  <c r="P31" i="40"/>
  <c r="T298" i="18"/>
  <c r="L94" i="45"/>
  <c r="D98" i="45"/>
  <c r="F94" i="45"/>
  <c r="T69" i="59"/>
  <c r="L27" i="23"/>
  <c r="D31" i="23"/>
  <c r="D76" i="101"/>
  <c r="N27" i="5"/>
  <c r="H31" i="5"/>
  <c r="H31" i="37"/>
  <c r="N27" i="37"/>
  <c r="P279" i="12"/>
  <c r="X174" i="12"/>
  <c r="R174" i="12"/>
  <c r="T54" i="60"/>
  <c r="D30" i="86"/>
  <c r="L18" i="86"/>
  <c r="N18" i="86" s="1"/>
  <c r="Z27" i="7"/>
  <c r="T31" i="7"/>
  <c r="Z27" i="37"/>
  <c r="T31" i="37"/>
  <c r="X27" i="112"/>
  <c r="P31" i="112"/>
  <c r="L50" i="60"/>
  <c r="N50" i="60" s="1"/>
  <c r="D54" i="60"/>
  <c r="J20" i="84"/>
  <c r="T34" i="86"/>
  <c r="V30" i="86"/>
  <c r="X27" i="8"/>
  <c r="P31" i="8"/>
  <c r="P31" i="29"/>
  <c r="X27" i="29"/>
  <c r="T31" i="49"/>
  <c r="Z27" i="49"/>
  <c r="X27" i="20"/>
  <c r="P31" i="20"/>
  <c r="Z30" i="42"/>
  <c r="T125" i="42"/>
  <c r="X50" i="60"/>
  <c r="Z50" i="60" s="1"/>
  <c r="P54" i="60"/>
  <c r="X27" i="7"/>
  <c r="P31" i="7"/>
  <c r="N42" i="33"/>
  <c r="H100" i="33"/>
  <c r="P31" i="14"/>
  <c r="X27" i="14"/>
  <c r="D31" i="35"/>
  <c r="L27" i="35"/>
  <c r="L74" i="56"/>
  <c r="N74" i="56" s="1"/>
  <c r="D78" i="56"/>
  <c r="H81" i="89"/>
  <c r="J77" i="89"/>
  <c r="X87" i="98"/>
  <c r="Z87" i="98" s="1"/>
  <c r="P91" i="98"/>
  <c r="R87" i="98"/>
  <c r="N27" i="17"/>
  <c r="H31" i="17"/>
  <c r="T81" i="89"/>
  <c r="V77" i="89"/>
  <c r="Z27" i="14"/>
  <c r="T31" i="14"/>
  <c r="H31" i="112"/>
  <c r="N27" i="112"/>
  <c r="L128" i="69"/>
  <c r="D132" i="69"/>
  <c r="T89" i="102"/>
  <c r="V85" i="102"/>
  <c r="H302" i="18"/>
  <c r="J298" i="18"/>
  <c r="H279" i="12"/>
  <c r="N174" i="12"/>
  <c r="H98" i="45"/>
  <c r="N94" i="45"/>
  <c r="J94" i="45"/>
  <c r="D61" i="105"/>
  <c r="T84" i="104"/>
  <c r="T323" i="3"/>
  <c r="X169" i="15"/>
  <c r="Z169" i="15" s="1"/>
  <c r="P270" i="15"/>
  <c r="H54" i="105"/>
  <c r="L21" i="105"/>
  <c r="N21" i="105" s="1"/>
  <c r="T100" i="33"/>
  <c r="N27" i="11"/>
  <c r="H31" i="11"/>
  <c r="T31" i="34"/>
  <c r="Z27" i="34"/>
  <c r="N22" i="6"/>
  <c r="H26" i="6"/>
  <c r="T111" i="51"/>
  <c r="Z54" i="51"/>
  <c r="H68" i="68"/>
  <c r="H34" i="86"/>
  <c r="J30" i="86"/>
  <c r="Z27" i="11"/>
  <c r="T31" i="11"/>
  <c r="X27" i="111"/>
  <c r="P31" i="111"/>
  <c r="L27" i="111"/>
  <c r="D31" i="111"/>
  <c r="D279" i="12"/>
  <c r="L174" i="12"/>
  <c r="D77" i="48"/>
  <c r="F73" i="48"/>
  <c r="T65" i="68"/>
  <c r="X27" i="53"/>
  <c r="P31" i="53"/>
  <c r="T81" i="56"/>
  <c r="H84" i="93"/>
  <c r="J80" i="93"/>
  <c r="H31" i="20"/>
  <c r="N27" i="20"/>
  <c r="D100" i="33"/>
  <c r="L42" i="33"/>
  <c r="L27" i="13"/>
  <c r="D31" i="13"/>
  <c r="T31" i="16"/>
  <c r="Z27" i="16"/>
  <c r="H31" i="53"/>
  <c r="N27" i="53"/>
  <c r="D77" i="58"/>
  <c r="L73" i="58"/>
  <c r="X21" i="106"/>
  <c r="Z21" i="106" s="1"/>
  <c r="P85" i="106"/>
  <c r="P77" i="58"/>
  <c r="X73" i="58"/>
  <c r="Z27" i="29"/>
  <c r="T31" i="29"/>
  <c r="Z27" i="111"/>
  <c r="T31" i="111"/>
  <c r="T84" i="73"/>
  <c r="X26" i="73"/>
  <c r="Z26" i="73" s="1"/>
  <c r="H31" i="52"/>
  <c r="N27" i="52"/>
  <c r="H31" i="26"/>
  <c r="N27" i="26"/>
  <c r="N27" i="43"/>
  <c r="H31" i="43"/>
  <c r="D128" i="36"/>
  <c r="L31" i="36"/>
  <c r="D84" i="104"/>
  <c r="L22" i="104"/>
  <c r="N22" i="104" s="1"/>
  <c r="V22" i="104"/>
  <c r="N27" i="4"/>
  <c r="H31" i="4"/>
  <c r="N27" i="35"/>
  <c r="H31" i="35"/>
  <c r="P100" i="9"/>
  <c r="L27" i="16"/>
  <c r="D31" i="16"/>
  <c r="H125" i="42"/>
  <c r="P30" i="86"/>
  <c r="X18" i="86"/>
  <c r="Z18" i="86" s="1"/>
  <c r="T91" i="98"/>
  <c r="V87" i="98"/>
  <c r="P54" i="105"/>
  <c r="X21" i="105"/>
  <c r="L27" i="10"/>
  <c r="D31" i="10"/>
  <c r="P31" i="28"/>
  <c r="X27" i="28"/>
  <c r="D31" i="112"/>
  <c r="L27" i="112"/>
  <c r="R73" i="48"/>
  <c r="P77" i="48"/>
  <c r="L46" i="100"/>
  <c r="D50" i="100"/>
  <c r="H79" i="57"/>
  <c r="L27" i="11"/>
  <c r="D31" i="11"/>
  <c r="Z27" i="28"/>
  <c r="T31" i="28"/>
  <c r="Z27" i="35"/>
  <c r="T31" i="35"/>
  <c r="F174" i="12"/>
  <c r="H100" i="9"/>
  <c r="X33" i="55"/>
  <c r="Z33" i="55" s="1"/>
  <c r="P37" i="55"/>
  <c r="P31" i="22"/>
  <c r="X27" i="22"/>
  <c r="Z27" i="43"/>
  <c r="T31" i="43"/>
  <c r="T270" i="15"/>
  <c r="J29" i="83"/>
  <c r="H33" i="83"/>
  <c r="D93" i="96"/>
  <c r="L20" i="96"/>
  <c r="N20" i="96" s="1"/>
  <c r="D31" i="26"/>
  <c r="L27" i="26"/>
  <c r="D86" i="88"/>
  <c r="L20" i="88"/>
  <c r="H77" i="110"/>
  <c r="J73" i="110"/>
  <c r="L27" i="14"/>
  <c r="D31" i="14"/>
  <c r="H69" i="59"/>
  <c r="N65" i="59"/>
  <c r="D90" i="84"/>
  <c r="L86" i="84"/>
  <c r="L27" i="25"/>
  <c r="D31" i="25"/>
  <c r="X27" i="113"/>
  <c r="P31" i="113"/>
  <c r="X27" i="25"/>
  <c r="P31" i="25"/>
  <c r="T98" i="74"/>
  <c r="V94" i="74"/>
  <c r="N20" i="99"/>
  <c r="H53" i="99"/>
  <c r="P85" i="102"/>
  <c r="X23" i="102"/>
  <c r="Z23" i="102" s="1"/>
  <c r="T91" i="108"/>
  <c r="V87" i="108"/>
  <c r="Z27" i="112"/>
  <c r="T31" i="112"/>
  <c r="N27" i="113"/>
  <c r="H31" i="113"/>
  <c r="D74" i="70"/>
  <c r="L20" i="70"/>
  <c r="N20" i="70" s="1"/>
  <c r="P90" i="88"/>
  <c r="R86" i="88"/>
  <c r="D31" i="32"/>
  <c r="L27" i="32"/>
  <c r="D85" i="102"/>
  <c r="L23" i="102"/>
  <c r="D28" i="107"/>
  <c r="L24" i="107"/>
  <c r="X27" i="38"/>
  <c r="P31" i="38"/>
  <c r="X209" i="3"/>
  <c r="Z209" i="3" s="1"/>
  <c r="R169" i="15"/>
  <c r="D72" i="59"/>
  <c r="D65" i="68"/>
  <c r="L61" i="68"/>
  <c r="N61" i="68" s="1"/>
  <c r="J21" i="105"/>
  <c r="J30" i="42"/>
  <c r="T73" i="101"/>
  <c r="V69" i="101"/>
  <c r="H31" i="13"/>
  <c r="N27" i="13"/>
  <c r="Z27" i="44"/>
  <c r="T31" i="44"/>
  <c r="T126" i="27"/>
  <c r="V122" i="27"/>
  <c r="T77" i="58"/>
  <c r="Z73" i="58"/>
  <c r="D77" i="110"/>
  <c r="L73" i="110"/>
  <c r="N73" i="110" s="1"/>
  <c r="F73" i="110"/>
  <c r="T143" i="24"/>
  <c r="H112" i="21"/>
  <c r="N108" i="21"/>
  <c r="J108" i="21"/>
  <c r="H91" i="98"/>
  <c r="J87" i="98"/>
  <c r="N22" i="101"/>
  <c r="H69" i="101"/>
  <c r="L22" i="101"/>
  <c r="H121" i="71"/>
  <c r="H119" i="75"/>
  <c r="J115" i="75"/>
  <c r="L27" i="5"/>
  <c r="D31" i="5"/>
  <c r="L27" i="53"/>
  <c r="D31" i="53"/>
  <c r="D105" i="64"/>
  <c r="L101" i="64"/>
  <c r="D94" i="74"/>
  <c r="L52" i="74"/>
  <c r="N27" i="47"/>
  <c r="H31" i="47"/>
  <c r="H155" i="30"/>
  <c r="J151" i="30"/>
  <c r="X22" i="104"/>
  <c r="Z22" i="104" s="1"/>
  <c r="H31" i="8"/>
  <c r="N27" i="8"/>
  <c r="L61" i="71"/>
  <c r="N61" i="71" s="1"/>
  <c r="D121" i="71"/>
  <c r="H79" i="76"/>
  <c r="N96" i="92"/>
  <c r="H100" i="92"/>
  <c r="D60" i="61"/>
  <c r="Z27" i="113"/>
  <c r="T31" i="113"/>
  <c r="T37" i="55"/>
  <c r="P36" i="83"/>
  <c r="R33" i="83"/>
  <c r="D80" i="93"/>
  <c r="L21" i="93"/>
  <c r="N21" i="93" s="1"/>
  <c r="N209" i="3"/>
  <c r="H323" i="3"/>
  <c r="T31" i="4"/>
  <c r="Z27" i="4"/>
  <c r="X323" i="3"/>
  <c r="P327" i="3"/>
  <c r="R323" i="3"/>
  <c r="D111" i="77"/>
  <c r="L54" i="77"/>
  <c r="N54" i="77" s="1"/>
  <c r="P31" i="13"/>
  <c r="X27" i="13"/>
  <c r="L27" i="34"/>
  <c r="D31" i="34"/>
  <c r="P31" i="43"/>
  <c r="X27" i="43"/>
  <c r="L209" i="3"/>
  <c r="P108" i="21"/>
  <c r="X29" i="21"/>
  <c r="Z29" i="21" s="1"/>
  <c r="T29" i="83"/>
  <c r="X21" i="83"/>
  <c r="Z21" i="83" s="1"/>
  <c r="P73" i="94"/>
  <c r="X20" i="94"/>
  <c r="Z20" i="94" s="1"/>
  <c r="P93" i="96"/>
  <c r="X20" i="96"/>
  <c r="Z20" i="96" s="1"/>
  <c r="H54" i="103"/>
  <c r="T31" i="10"/>
  <c r="Z27" i="10"/>
  <c r="H31" i="31"/>
  <c r="N27" i="31"/>
  <c r="P31" i="44"/>
  <c r="X27" i="44"/>
  <c r="N27" i="111"/>
  <c r="H31" i="111"/>
  <c r="P91" i="73"/>
  <c r="R88" i="73"/>
  <c r="T70" i="79"/>
  <c r="H31" i="32"/>
  <c r="N27" i="32"/>
  <c r="P31" i="47"/>
  <c r="X27" i="47"/>
  <c r="H122" i="27"/>
  <c r="P78" i="56"/>
  <c r="X74" i="56"/>
  <c r="Z74" i="56" s="1"/>
  <c r="L29" i="83"/>
  <c r="N29" i="83" s="1"/>
  <c r="D33" i="83"/>
  <c r="F29" i="83"/>
  <c r="H86" i="88"/>
  <c r="N20" i="88"/>
  <c r="H31" i="34"/>
  <c r="N27" i="34"/>
  <c r="V194" i="18"/>
  <c r="T84" i="81"/>
  <c r="V80" i="81"/>
  <c r="X27" i="52"/>
  <c r="P31" i="52"/>
  <c r="N73" i="58"/>
  <c r="H77" i="58"/>
  <c r="X84" i="104"/>
  <c r="P88" i="104"/>
  <c r="R84" i="104"/>
  <c r="Z27" i="22"/>
  <c r="T31" i="22"/>
  <c r="L72" i="30"/>
  <c r="N72" i="30" s="1"/>
  <c r="D151" i="30"/>
  <c r="T128" i="36"/>
  <c r="P94" i="74"/>
  <c r="X52" i="74"/>
  <c r="Z52" i="74" s="1"/>
  <c r="H124" i="85"/>
  <c r="L124" i="85" s="1"/>
  <c r="X27" i="26"/>
  <c r="P31" i="26"/>
  <c r="D111" i="51"/>
  <c r="L54" i="51"/>
  <c r="N54" i="51" s="1"/>
  <c r="P79" i="57"/>
  <c r="N17" i="48"/>
  <c r="H73" i="48"/>
  <c r="H31" i="41"/>
  <c r="N27" i="41"/>
  <c r="D31" i="4"/>
  <c r="L27" i="4"/>
  <c r="H77" i="80"/>
  <c r="J73" i="80"/>
  <c r="L27" i="41"/>
  <c r="D31" i="41"/>
  <c r="T31" i="8"/>
  <c r="Z27" i="8"/>
  <c r="X27" i="32"/>
  <c r="P31" i="32"/>
  <c r="X17" i="110"/>
  <c r="Z17" i="110" s="1"/>
  <c r="P73" i="110"/>
  <c r="X27" i="5"/>
  <c r="P31" i="5"/>
  <c r="H143" i="24"/>
  <c r="L143" i="24" s="1"/>
  <c r="P151" i="30"/>
  <c r="X72" i="30"/>
  <c r="Z72" i="30" s="1"/>
  <c r="P128" i="69"/>
  <c r="X76" i="69"/>
  <c r="Z76" i="69" s="1"/>
  <c r="L112" i="21"/>
  <c r="D115" i="21"/>
  <c r="F112" i="21"/>
  <c r="D125" i="42"/>
  <c r="L30" i="42"/>
  <c r="N30" i="42" s="1"/>
  <c r="Z79" i="76"/>
  <c r="T83" i="76"/>
  <c r="V79" i="76"/>
  <c r="N20" i="84"/>
  <c r="H86" i="84"/>
  <c r="P124" i="85"/>
  <c r="X58" i="85"/>
  <c r="Z58" i="85" s="1"/>
  <c r="X27" i="23"/>
  <c r="P31" i="23"/>
  <c r="Z27" i="41"/>
  <c r="T31" i="41"/>
  <c r="D327" i="3"/>
  <c r="L323" i="3"/>
  <c r="F323" i="3"/>
  <c r="V83" i="24"/>
  <c r="T54" i="103"/>
  <c r="Z50" i="103"/>
  <c r="Z93" i="9"/>
  <c r="T97" i="9"/>
  <c r="H84" i="81"/>
  <c r="J80" i="81"/>
  <c r="P91" i="108"/>
  <c r="X87" i="108"/>
  <c r="Z87" i="108" s="1"/>
  <c r="R87" i="108"/>
  <c r="L27" i="29"/>
  <c r="D31" i="29"/>
  <c r="L27" i="43"/>
  <c r="D31" i="43"/>
  <c r="L27" i="37"/>
  <c r="D31" i="37"/>
  <c r="D31" i="113"/>
  <c r="L27" i="113"/>
  <c r="T78" i="70"/>
  <c r="V74" i="70"/>
  <c r="N27" i="25"/>
  <c r="H31" i="25"/>
  <c r="Z27" i="26"/>
  <c r="T31" i="26"/>
  <c r="T31" i="5"/>
  <c r="Z27" i="5"/>
  <c r="N27" i="29"/>
  <c r="H31" i="29"/>
  <c r="H77" i="95"/>
  <c r="J20" i="95"/>
  <c r="P100" i="92"/>
  <c r="X96" i="92"/>
  <c r="P41" i="109"/>
  <c r="X37" i="109"/>
  <c r="Z37" i="109" s="1"/>
  <c r="N27" i="40"/>
  <c r="H31" i="40"/>
  <c r="Z27" i="19"/>
  <c r="T31" i="19"/>
  <c r="D122" i="27"/>
  <c r="L62" i="27"/>
  <c r="N62" i="27" s="1"/>
  <c r="D31" i="54"/>
  <c r="R17" i="110"/>
  <c r="Z27" i="46"/>
  <c r="T31" i="46"/>
  <c r="T132" i="69"/>
  <c r="V128" i="69"/>
  <c r="T100" i="92"/>
  <c r="Z96" i="92"/>
  <c r="X27" i="37"/>
  <c r="P31" i="37"/>
  <c r="H26" i="54"/>
  <c r="N22" i="54"/>
  <c r="P111" i="77"/>
  <c r="X54" i="77"/>
  <c r="Z54" i="77" s="1"/>
  <c r="T121" i="71"/>
  <c r="P84" i="95"/>
  <c r="R81" i="95"/>
  <c r="P31" i="16"/>
  <c r="X27" i="16"/>
  <c r="X27" i="49"/>
  <c r="P31" i="49"/>
  <c r="R29" i="21"/>
  <c r="P119" i="75"/>
  <c r="X115" i="75"/>
  <c r="R115" i="75"/>
  <c r="V21" i="83"/>
  <c r="H97" i="96"/>
  <c r="J93" i="96"/>
  <c r="T89" i="106"/>
  <c r="V85" i="106"/>
  <c r="Z27" i="17"/>
  <c r="T31" i="17"/>
  <c r="Z27" i="31"/>
  <c r="T31" i="31"/>
  <c r="H31" i="46"/>
  <c r="N27" i="46"/>
  <c r="Z22" i="6"/>
  <c r="T26" i="6"/>
  <c r="H105" i="64"/>
  <c r="N101" i="64"/>
  <c r="L73" i="80"/>
  <c r="N73" i="80" s="1"/>
  <c r="D77" i="80"/>
  <c r="J22" i="101"/>
  <c r="P31" i="4"/>
  <c r="X27" i="4"/>
  <c r="T77" i="95"/>
  <c r="X20" i="95"/>
  <c r="Z20" i="95" s="1"/>
  <c r="V20" i="95"/>
  <c r="T31" i="23"/>
  <c r="Z27" i="23"/>
  <c r="L20" i="89"/>
  <c r="N20" i="89" s="1"/>
  <c r="D77" i="89"/>
  <c r="L50" i="103"/>
  <c r="N50" i="103" s="1"/>
  <c r="D54" i="103"/>
  <c r="P31" i="11"/>
  <c r="X27" i="11"/>
  <c r="D31" i="38"/>
  <c r="L27" i="38"/>
  <c r="H94" i="74"/>
  <c r="N52" i="74"/>
  <c r="D70" i="79"/>
  <c r="L27" i="79"/>
  <c r="T86" i="88"/>
  <c r="X86" i="88" s="1"/>
  <c r="Z20" i="88"/>
  <c r="H28" i="107"/>
  <c r="N24" i="107"/>
  <c r="L27" i="50"/>
  <c r="D31" i="50"/>
  <c r="H81" i="56"/>
  <c r="V26" i="73"/>
  <c r="T128" i="85"/>
  <c r="V124" i="85"/>
  <c r="Z27" i="38"/>
  <c r="T31" i="38"/>
  <c r="P94" i="45"/>
  <c r="X24" i="45"/>
  <c r="Z24" i="45" s="1"/>
  <c r="P31" i="35"/>
  <c r="X27" i="35"/>
  <c r="H85" i="106"/>
  <c r="L85" i="106" s="1"/>
  <c r="L194" i="18"/>
  <c r="N194" i="18" s="1"/>
  <c r="D298" i="18"/>
  <c r="P31" i="17"/>
  <c r="X27" i="17"/>
  <c r="P31" i="50"/>
  <c r="X27" i="50"/>
  <c r="H57" i="61"/>
  <c r="N53" i="61"/>
  <c r="D88" i="73"/>
  <c r="L84" i="73"/>
  <c r="F84" i="73"/>
  <c r="L53" i="75"/>
  <c r="N53" i="75" s="1"/>
  <c r="D115" i="75"/>
  <c r="P84" i="81"/>
  <c r="X80" i="81"/>
  <c r="Z80" i="81" s="1"/>
  <c r="R80" i="81"/>
  <c r="V42" i="33"/>
  <c r="P129" i="42"/>
  <c r="X125" i="42"/>
  <c r="R125" i="42"/>
  <c r="P50" i="100"/>
  <c r="X46" i="100"/>
  <c r="Z46" i="100" s="1"/>
  <c r="N27" i="23"/>
  <c r="H31" i="23"/>
  <c r="Z27" i="47"/>
  <c r="T31" i="47"/>
  <c r="D26" i="6"/>
  <c r="L22" i="6"/>
  <c r="D31" i="52"/>
  <c r="L27" i="52"/>
  <c r="L83" i="24"/>
  <c r="N83" i="24" s="1"/>
  <c r="H85" i="102"/>
  <c r="N23" i="102"/>
  <c r="T28" i="107"/>
  <c r="J62" i="27"/>
  <c r="D76" i="57"/>
  <c r="L72" i="57"/>
  <c r="N72" i="57" s="1"/>
  <c r="D84" i="81"/>
  <c r="L80" i="81"/>
  <c r="N80" i="81" s="1"/>
  <c r="P77" i="89"/>
  <c r="X20" i="89"/>
  <c r="Z20" i="89" s="1"/>
  <c r="D31" i="20"/>
  <c r="L27" i="20"/>
  <c r="N46" i="100"/>
  <c r="H50" i="100"/>
  <c r="T31" i="25"/>
  <c r="Z27" i="25"/>
  <c r="T31" i="52"/>
  <c r="Z27" i="52"/>
  <c r="P122" i="27"/>
  <c r="X62" i="27"/>
  <c r="Z62" i="27" s="1"/>
  <c r="X54" i="51"/>
  <c r="D89" i="106"/>
  <c r="N84" i="73"/>
  <c r="H88" i="73"/>
  <c r="J84" i="73"/>
  <c r="L58" i="85"/>
  <c r="N58" i="85" s="1"/>
  <c r="T54" i="105"/>
  <c r="Z21" i="105"/>
  <c r="T98" i="45"/>
  <c r="V94" i="45"/>
  <c r="T77" i="80"/>
  <c r="V73" i="80"/>
  <c r="X105" i="64"/>
  <c r="P108" i="64"/>
  <c r="P31" i="10"/>
  <c r="X27" i="10"/>
  <c r="H77" i="94"/>
  <c r="J73" i="94"/>
  <c r="H44" i="109"/>
  <c r="N27" i="10"/>
  <c r="H31" i="10"/>
  <c r="N27" i="28"/>
  <c r="H31" i="28"/>
  <c r="F31" i="36"/>
  <c r="H37" i="55"/>
  <c r="T97" i="96"/>
  <c r="V93" i="96"/>
  <c r="X27" i="41"/>
  <c r="P31" i="41"/>
  <c r="L20" i="95"/>
  <c r="N20" i="95" s="1"/>
  <c r="D77" i="95"/>
  <c r="X79" i="76"/>
  <c r="P83" i="76"/>
  <c r="R79" i="76"/>
  <c r="D270" i="15"/>
  <c r="L169" i="15"/>
  <c r="N169" i="15" s="1"/>
  <c r="P100" i="33"/>
  <c r="X42" i="33"/>
  <c r="Z42" i="33" s="1"/>
  <c r="P84" i="93"/>
  <c r="X80" i="93"/>
  <c r="R80" i="93"/>
  <c r="D31" i="49"/>
  <c r="L27" i="49"/>
  <c r="P74" i="70"/>
  <c r="X20" i="70"/>
  <c r="Z20" i="70" s="1"/>
  <c r="P121" i="71"/>
  <c r="X61" i="71"/>
  <c r="Z61" i="71" s="1"/>
  <c r="H31" i="7"/>
  <c r="N27" i="7"/>
  <c r="N27" i="16"/>
  <c r="H31" i="16"/>
  <c r="L27" i="28"/>
  <c r="D31" i="28"/>
  <c r="D147" i="24"/>
  <c r="F143" i="24"/>
  <c r="H31" i="38"/>
  <c r="N27" i="38"/>
  <c r="N27" i="44"/>
  <c r="H31" i="44"/>
  <c r="J61" i="71"/>
  <c r="L27" i="46"/>
  <c r="D31" i="46"/>
  <c r="N128" i="69"/>
  <c r="H132" i="69"/>
  <c r="J128" i="69"/>
  <c r="L31" i="76"/>
  <c r="N31" i="76" s="1"/>
  <c r="D79" i="76"/>
  <c r="L20" i="99"/>
  <c r="D53" i="99"/>
  <c r="X27" i="31"/>
  <c r="P31" i="31"/>
  <c r="R62" i="27"/>
  <c r="X111" i="51"/>
  <c r="P115" i="51"/>
  <c r="R111" i="51"/>
  <c r="P53" i="99"/>
  <c r="X20" i="99"/>
  <c r="R20" i="99"/>
  <c r="L21" i="106"/>
  <c r="N21" i="106" s="1"/>
  <c r="D128" i="85"/>
  <c r="R21" i="106"/>
  <c r="D87" i="108"/>
  <c r="L21" i="108"/>
  <c r="N21" i="108" s="1"/>
  <c r="L27" i="22"/>
  <c r="D31" i="22"/>
  <c r="L27" i="7"/>
  <c r="D31" i="7"/>
  <c r="L27" i="47"/>
  <c r="D31" i="47"/>
  <c r="P69" i="59"/>
  <c r="X65" i="59"/>
  <c r="Z65" i="59" s="1"/>
  <c r="P73" i="101"/>
  <c r="X69" i="101"/>
  <c r="Z69" i="101" s="1"/>
  <c r="R69" i="101"/>
  <c r="N27" i="14"/>
  <c r="H31" i="14"/>
  <c r="X54" i="103"/>
  <c r="P57" i="103"/>
  <c r="L27" i="17"/>
  <c r="D31" i="17"/>
  <c r="Z174" i="12"/>
  <c r="T279" i="12"/>
  <c r="V174" i="12"/>
  <c r="D37" i="55"/>
  <c r="L33" i="55"/>
  <c r="N33" i="55" s="1"/>
  <c r="Z80" i="93"/>
  <c r="T84" i="93"/>
  <c r="V80" i="93"/>
  <c r="N31" i="36"/>
  <c r="H128" i="36"/>
  <c r="X86" i="84"/>
  <c r="P90" i="84"/>
  <c r="R86" i="84"/>
  <c r="T77" i="94"/>
  <c r="V73" i="94"/>
  <c r="Z17" i="48"/>
  <c r="T73" i="48"/>
  <c r="X73" i="48" s="1"/>
  <c r="D41" i="109"/>
  <c r="L37" i="109"/>
  <c r="N37" i="109" s="1"/>
  <c r="X27" i="34"/>
  <c r="P31" i="34"/>
  <c r="N27" i="50"/>
  <c r="H31" i="50"/>
  <c r="L96" i="92"/>
  <c r="D100" i="92"/>
  <c r="N27" i="22"/>
  <c r="H31" i="22"/>
  <c r="T112" i="21"/>
  <c r="V108" i="21"/>
  <c r="R20" i="94"/>
  <c r="R20" i="96"/>
  <c r="H91" i="108"/>
  <c r="J87" i="108"/>
  <c r="D31" i="8"/>
  <c r="L27" i="8"/>
  <c r="D31" i="31"/>
  <c r="L27" i="31"/>
  <c r="H54" i="60"/>
  <c r="H70" i="79"/>
  <c r="N27" i="79"/>
  <c r="D31" i="40"/>
  <c r="L27" i="40"/>
  <c r="Z20" i="84"/>
  <c r="T86" i="84"/>
  <c r="X27" i="19"/>
  <c r="P31" i="19"/>
  <c r="L27" i="44"/>
  <c r="D31" i="44"/>
  <c r="X22" i="6"/>
  <c r="P298" i="18"/>
  <c r="X194" i="18"/>
  <c r="Z194" i="18" s="1"/>
  <c r="T155" i="30"/>
  <c r="V151" i="30"/>
  <c r="H134" i="39"/>
  <c r="N38" i="39"/>
  <c r="L87" i="98"/>
  <c r="N87" i="98" s="1"/>
  <c r="D91" i="98"/>
  <c r="F42" i="33"/>
  <c r="X22" i="54"/>
  <c r="P26" i="54"/>
  <c r="X28" i="107"/>
  <c r="P31" i="107"/>
  <c r="Z27" i="13"/>
  <c r="T31" i="13"/>
  <c r="N27" i="49"/>
  <c r="H31" i="49"/>
  <c r="P138" i="39"/>
  <c r="X134" i="39"/>
  <c r="R134" i="39"/>
  <c r="X73" i="80"/>
  <c r="Z73" i="80" s="1"/>
  <c r="P77" i="80"/>
  <c r="R73" i="80"/>
  <c r="Z105" i="64"/>
  <c r="T108" i="64"/>
  <c r="T134" i="39"/>
  <c r="X31" i="36"/>
  <c r="Z31" i="36" s="1"/>
  <c r="P128" i="36"/>
  <c r="X61" i="68"/>
  <c r="Z61" i="68" s="1"/>
  <c r="P65" i="68"/>
  <c r="Z27" i="40"/>
  <c r="T31" i="40"/>
  <c r="F62" i="27"/>
  <c r="T115" i="77"/>
  <c r="V111" i="77"/>
  <c r="P70" i="79"/>
  <c r="X27" i="79"/>
  <c r="Z27" i="79" s="1"/>
  <c r="J209" i="3"/>
  <c r="Z27" i="32"/>
  <c r="T31" i="32"/>
  <c r="T31" i="50"/>
  <c r="Z27" i="50"/>
  <c r="T53" i="100"/>
  <c r="T57" i="61"/>
  <c r="X53" i="61"/>
  <c r="Z53" i="61" s="1"/>
  <c r="T76" i="57"/>
  <c r="X76" i="57" s="1"/>
  <c r="Z72" i="57"/>
  <c r="T57" i="99"/>
  <c r="Z53" i="99"/>
  <c r="T77" i="110"/>
  <c r="V73" i="110"/>
  <c r="Z27" i="20"/>
  <c r="T31" i="20"/>
  <c r="T31" i="53"/>
  <c r="Z27" i="53"/>
  <c r="V27" i="79"/>
  <c r="L73" i="94"/>
  <c r="N73" i="94" s="1"/>
  <c r="D77" i="94"/>
  <c r="H274" i="15"/>
  <c r="J270" i="15"/>
  <c r="T119" i="75"/>
  <c r="Z115" i="75"/>
  <c r="V115" i="75"/>
  <c r="X26" i="6"/>
  <c r="P31" i="6"/>
  <c r="R194" i="18"/>
  <c r="X83" i="24"/>
  <c r="Z83" i="24" s="1"/>
  <c r="P143" i="24"/>
  <c r="D138" i="39"/>
  <c r="F134" i="39"/>
  <c r="H115" i="51"/>
  <c r="J111" i="51"/>
  <c r="H78" i="70"/>
  <c r="J74" i="70"/>
  <c r="H88" i="104"/>
  <c r="J84" i="104"/>
  <c r="D97" i="9"/>
  <c r="L93" i="9"/>
  <c r="N93" i="9" s="1"/>
  <c r="X24" i="107"/>
  <c r="Z24" i="107" s="1"/>
  <c r="X27" i="46"/>
  <c r="P31" i="46"/>
  <c r="J52" i="74"/>
  <c r="J31" i="76"/>
  <c r="F27" i="79"/>
  <c r="J58" i="85"/>
  <c r="V21" i="105"/>
  <c r="D31" i="19"/>
  <c r="L27" i="19"/>
  <c r="X38" i="39"/>
  <c r="Z38" i="39" s="1"/>
  <c r="H111" i="77"/>
  <c r="P36" i="14" l="1"/>
  <c r="X31" i="14"/>
  <c r="T138" i="39"/>
  <c r="Z134" i="39"/>
  <c r="V134" i="39"/>
  <c r="Z86" i="84"/>
  <c r="T90" i="84"/>
  <c r="V86" i="84"/>
  <c r="N31" i="22"/>
  <c r="H36" i="22"/>
  <c r="N36" i="22" s="1"/>
  <c r="D40" i="55"/>
  <c r="L40" i="55" s="1"/>
  <c r="L37" i="55"/>
  <c r="X73" i="101"/>
  <c r="P76" i="101"/>
  <c r="R73" i="101"/>
  <c r="L31" i="49"/>
  <c r="D36" i="49"/>
  <c r="T101" i="45"/>
  <c r="V98" i="45"/>
  <c r="P126" i="27"/>
  <c r="X122" i="27"/>
  <c r="Z122" i="27" s="1"/>
  <c r="R122" i="27"/>
  <c r="L84" i="81"/>
  <c r="N84" i="81" s="1"/>
  <c r="D87" i="81"/>
  <c r="L87" i="81" s="1"/>
  <c r="L31" i="52"/>
  <c r="D36" i="52"/>
  <c r="T131" i="85"/>
  <c r="V128" i="85"/>
  <c r="X119" i="75"/>
  <c r="P122" i="75"/>
  <c r="R119" i="75"/>
  <c r="T36" i="46"/>
  <c r="Z36" i="46" s="1"/>
  <c r="Z31" i="46"/>
  <c r="N31" i="40"/>
  <c r="H36" i="40"/>
  <c r="N36" i="40" s="1"/>
  <c r="T36" i="5"/>
  <c r="Z36" i="5" s="1"/>
  <c r="Z31" i="5"/>
  <c r="L31" i="37"/>
  <c r="D36" i="37"/>
  <c r="X91" i="108"/>
  <c r="Z91" i="108" s="1"/>
  <c r="P94" i="108"/>
  <c r="R91" i="108"/>
  <c r="T36" i="41"/>
  <c r="Z36" i="41" s="1"/>
  <c r="Z31" i="41"/>
  <c r="D129" i="42"/>
  <c r="L125" i="42"/>
  <c r="X73" i="110"/>
  <c r="Z73" i="110" s="1"/>
  <c r="P77" i="110"/>
  <c r="R73" i="110"/>
  <c r="H36" i="34"/>
  <c r="N36" i="34" s="1"/>
  <c r="N31" i="34"/>
  <c r="X73" i="94"/>
  <c r="Z73" i="94" s="1"/>
  <c r="P77" i="94"/>
  <c r="R73" i="94"/>
  <c r="P36" i="13"/>
  <c r="X31" i="13"/>
  <c r="H103" i="92"/>
  <c r="X31" i="38"/>
  <c r="P36" i="38"/>
  <c r="L93" i="96"/>
  <c r="N93" i="96" s="1"/>
  <c r="D97" i="96"/>
  <c r="N31" i="43"/>
  <c r="H36" i="43"/>
  <c r="N36" i="43" s="1"/>
  <c r="H101" i="45"/>
  <c r="J98" i="45"/>
  <c r="T92" i="102"/>
  <c r="V89" i="102"/>
  <c r="X31" i="20"/>
  <c r="P36" i="20"/>
  <c r="D57" i="60"/>
  <c r="L54" i="60"/>
  <c r="H138" i="39"/>
  <c r="J134" i="39"/>
  <c r="H135" i="69"/>
  <c r="J132" i="69"/>
  <c r="P36" i="4"/>
  <c r="X31" i="4"/>
  <c r="D36" i="4"/>
  <c r="L31" i="4"/>
  <c r="H158" i="30"/>
  <c r="J155" i="30"/>
  <c r="Z73" i="101"/>
  <c r="T76" i="101"/>
  <c r="V73" i="101"/>
  <c r="N33" i="83"/>
  <c r="H36" i="83"/>
  <c r="J33" i="83"/>
  <c r="P58" i="105"/>
  <c r="X54" i="105"/>
  <c r="Z54" i="105" s="1"/>
  <c r="R54" i="105"/>
  <c r="Z31" i="20"/>
  <c r="T36" i="20"/>
  <c r="Z36" i="20" s="1"/>
  <c r="L100" i="92"/>
  <c r="N100" i="92" s="1"/>
  <c r="D103" i="92"/>
  <c r="L103" i="92" s="1"/>
  <c r="T283" i="12"/>
  <c r="V279" i="12"/>
  <c r="P72" i="59"/>
  <c r="X69" i="59"/>
  <c r="N37" i="55"/>
  <c r="H40" i="55"/>
  <c r="Z31" i="52"/>
  <c r="T36" i="52"/>
  <c r="Z36" i="52" s="1"/>
  <c r="D79" i="57"/>
  <c r="L79" i="57" s="1"/>
  <c r="L76" i="57"/>
  <c r="N76" i="57" s="1"/>
  <c r="P132" i="42"/>
  <c r="R129" i="42"/>
  <c r="L77" i="89"/>
  <c r="N77" i="89" s="1"/>
  <c r="D81" i="89"/>
  <c r="X31" i="49"/>
  <c r="P36" i="49"/>
  <c r="P115" i="77"/>
  <c r="X111" i="77"/>
  <c r="Z111" i="77" s="1"/>
  <c r="R111" i="77"/>
  <c r="H87" i="81"/>
  <c r="J84" i="81"/>
  <c r="X31" i="23"/>
  <c r="P36" i="23"/>
  <c r="L115" i="21"/>
  <c r="F115" i="21"/>
  <c r="X31" i="32"/>
  <c r="P36" i="32"/>
  <c r="H90" i="88"/>
  <c r="J86" i="88"/>
  <c r="P36" i="44"/>
  <c r="X31" i="44"/>
  <c r="T33" i="83"/>
  <c r="V29" i="83"/>
  <c r="X29" i="83"/>
  <c r="Z29" i="83" s="1"/>
  <c r="L111" i="77"/>
  <c r="D115" i="77"/>
  <c r="F111" i="77"/>
  <c r="L80" i="93"/>
  <c r="N80" i="93" s="1"/>
  <c r="D84" i="93"/>
  <c r="H83" i="76"/>
  <c r="J79" i="76"/>
  <c r="H36" i="47"/>
  <c r="N36" i="47" s="1"/>
  <c r="N31" i="47"/>
  <c r="H122" i="75"/>
  <c r="J119" i="75"/>
  <c r="N112" i="21"/>
  <c r="H115" i="21"/>
  <c r="J112" i="21"/>
  <c r="H36" i="113"/>
  <c r="N36" i="113" s="1"/>
  <c r="N31" i="113"/>
  <c r="D36" i="14"/>
  <c r="L31" i="14"/>
  <c r="Z31" i="111"/>
  <c r="T36" i="111"/>
  <c r="Z36" i="111" s="1"/>
  <c r="L31" i="111"/>
  <c r="D36" i="111"/>
  <c r="T115" i="51"/>
  <c r="X115" i="51" s="1"/>
  <c r="Z111" i="51"/>
  <c r="V111" i="51"/>
  <c r="P274" i="15"/>
  <c r="X270" i="15"/>
  <c r="R270" i="15"/>
  <c r="H283" i="12"/>
  <c r="J279" i="12"/>
  <c r="H104" i="33"/>
  <c r="J100" i="33"/>
  <c r="X31" i="112"/>
  <c r="P36" i="112"/>
  <c r="T72" i="59"/>
  <c r="Z69" i="59"/>
  <c r="T36" i="53"/>
  <c r="Z36" i="53" s="1"/>
  <c r="Z31" i="53"/>
  <c r="P118" i="51"/>
  <c r="R115" i="51"/>
  <c r="D91" i="73"/>
  <c r="L88" i="73"/>
  <c r="N88" i="73" s="1"/>
  <c r="F88" i="73"/>
  <c r="T88" i="73"/>
  <c r="V84" i="73"/>
  <c r="X84" i="73"/>
  <c r="Z84" i="73" s="1"/>
  <c r="Z54" i="60"/>
  <c r="T57" i="60"/>
  <c r="N111" i="77"/>
  <c r="H115" i="77"/>
  <c r="J111" i="77"/>
  <c r="P36" i="46"/>
  <c r="X31" i="46"/>
  <c r="H81" i="70"/>
  <c r="J78" i="70"/>
  <c r="T36" i="40"/>
  <c r="Z36" i="40" s="1"/>
  <c r="Z31" i="40"/>
  <c r="X31" i="107"/>
  <c r="T158" i="30"/>
  <c r="V155" i="30"/>
  <c r="D36" i="40"/>
  <c r="L31" i="40"/>
  <c r="L31" i="47"/>
  <c r="D36" i="47"/>
  <c r="L31" i="46"/>
  <c r="D36" i="46"/>
  <c r="N31" i="16"/>
  <c r="H36" i="16"/>
  <c r="N36" i="16" s="1"/>
  <c r="X84" i="93"/>
  <c r="P87" i="93"/>
  <c r="R84" i="93"/>
  <c r="H80" i="94"/>
  <c r="J77" i="94"/>
  <c r="T58" i="105"/>
  <c r="V54" i="105"/>
  <c r="H60" i="61"/>
  <c r="L60" i="61" s="1"/>
  <c r="D80" i="80"/>
  <c r="L77" i="80"/>
  <c r="X41" i="109"/>
  <c r="Z41" i="109" s="1"/>
  <c r="P44" i="109"/>
  <c r="X44" i="109" s="1"/>
  <c r="Z44" i="109" s="1"/>
  <c r="H36" i="41"/>
  <c r="N36" i="41" s="1"/>
  <c r="N31" i="41"/>
  <c r="N124" i="85"/>
  <c r="H128" i="85"/>
  <c r="J124" i="85"/>
  <c r="H80" i="58"/>
  <c r="H36" i="32"/>
  <c r="N36" i="32" s="1"/>
  <c r="N31" i="32"/>
  <c r="T80" i="58"/>
  <c r="D31" i="107"/>
  <c r="L31" i="107" s="1"/>
  <c r="L28" i="107"/>
  <c r="T101" i="74"/>
  <c r="V98" i="74"/>
  <c r="Z31" i="35"/>
  <c r="T36" i="35"/>
  <c r="Z36" i="35" s="1"/>
  <c r="P80" i="48"/>
  <c r="R77" i="48"/>
  <c r="T94" i="98"/>
  <c r="V91" i="98"/>
  <c r="N31" i="4"/>
  <c r="H36" i="4"/>
  <c r="N36" i="4" s="1"/>
  <c r="N31" i="26"/>
  <c r="H36" i="26"/>
  <c r="N36" i="26" s="1"/>
  <c r="T36" i="16"/>
  <c r="Z36" i="16" s="1"/>
  <c r="Z31" i="16"/>
  <c r="X31" i="53"/>
  <c r="P36" i="53"/>
  <c r="H31" i="6"/>
  <c r="N26" i="6"/>
  <c r="T36" i="49"/>
  <c r="Z36" i="49" s="1"/>
  <c r="Z31" i="49"/>
  <c r="D283" i="12"/>
  <c r="L279" i="12"/>
  <c r="N279" i="12" s="1"/>
  <c r="F279" i="12"/>
  <c r="X77" i="80"/>
  <c r="Z77" i="80" s="1"/>
  <c r="P80" i="80"/>
  <c r="R77" i="80"/>
  <c r="H94" i="108"/>
  <c r="J91" i="108"/>
  <c r="N31" i="50"/>
  <c r="H36" i="50"/>
  <c r="N36" i="50" s="1"/>
  <c r="X90" i="84"/>
  <c r="P93" i="84"/>
  <c r="R90" i="84"/>
  <c r="L31" i="17"/>
  <c r="D36" i="17"/>
  <c r="X31" i="31"/>
  <c r="P36" i="31"/>
  <c r="T36" i="25"/>
  <c r="Z36" i="25" s="1"/>
  <c r="Z31" i="25"/>
  <c r="D31" i="6"/>
  <c r="L31" i="6" s="1"/>
  <c r="L26" i="6"/>
  <c r="L31" i="50"/>
  <c r="D36" i="50"/>
  <c r="T92" i="106"/>
  <c r="V89" i="106"/>
  <c r="N26" i="54"/>
  <c r="H31" i="54"/>
  <c r="T100" i="9"/>
  <c r="H77" i="48"/>
  <c r="L77" i="48" s="1"/>
  <c r="J73" i="48"/>
  <c r="H36" i="31"/>
  <c r="N36" i="31" s="1"/>
  <c r="N31" i="31"/>
  <c r="P332" i="3"/>
  <c r="R327" i="3"/>
  <c r="R36" i="83"/>
  <c r="D125" i="71"/>
  <c r="L121" i="71"/>
  <c r="N121" i="71" s="1"/>
  <c r="F121" i="71"/>
  <c r="Z31" i="112"/>
  <c r="T36" i="112"/>
  <c r="Z36" i="112" s="1"/>
  <c r="X31" i="25"/>
  <c r="P36" i="25"/>
  <c r="Z31" i="29"/>
  <c r="T36" i="29"/>
  <c r="Z36" i="29" s="1"/>
  <c r="L31" i="13"/>
  <c r="D36" i="13"/>
  <c r="X31" i="111"/>
  <c r="P36" i="111"/>
  <c r="Z323" i="3"/>
  <c r="T327" i="3"/>
  <c r="V323" i="3"/>
  <c r="H36" i="112"/>
  <c r="N36" i="112" s="1"/>
  <c r="N31" i="112"/>
  <c r="Z31" i="37"/>
  <c r="T36" i="37"/>
  <c r="Z36" i="37" s="1"/>
  <c r="P283" i="12"/>
  <c r="X279" i="12"/>
  <c r="Z279" i="12" s="1"/>
  <c r="R279" i="12"/>
  <c r="L98" i="45"/>
  <c r="N98" i="45" s="1"/>
  <c r="D101" i="45"/>
  <c r="F98" i="45"/>
  <c r="H118" i="51"/>
  <c r="J115" i="51"/>
  <c r="Z119" i="75"/>
  <c r="T122" i="75"/>
  <c r="V119" i="75"/>
  <c r="T80" i="110"/>
  <c r="V77" i="110"/>
  <c r="T36" i="50"/>
  <c r="Z36" i="50" s="1"/>
  <c r="Z31" i="50"/>
  <c r="L31" i="7"/>
  <c r="D36" i="7"/>
  <c r="P36" i="41"/>
  <c r="X31" i="41"/>
  <c r="N31" i="28"/>
  <c r="H36" i="28"/>
  <c r="N36" i="28" s="1"/>
  <c r="P36" i="10"/>
  <c r="X31" i="10"/>
  <c r="N50" i="100"/>
  <c r="H53" i="100"/>
  <c r="Z28" i="107"/>
  <c r="T31" i="107"/>
  <c r="P36" i="50"/>
  <c r="X31" i="50"/>
  <c r="X31" i="35"/>
  <c r="P36" i="35"/>
  <c r="N94" i="74"/>
  <c r="H98" i="74"/>
  <c r="J94" i="74"/>
  <c r="T36" i="23"/>
  <c r="Z36" i="23" s="1"/>
  <c r="Z31" i="23"/>
  <c r="P36" i="16"/>
  <c r="X31" i="16"/>
  <c r="X31" i="37"/>
  <c r="P36" i="37"/>
  <c r="L26" i="54"/>
  <c r="P103" i="92"/>
  <c r="X100" i="92"/>
  <c r="N31" i="25"/>
  <c r="H36" i="25"/>
  <c r="N36" i="25" s="1"/>
  <c r="X124" i="85"/>
  <c r="Z124" i="85" s="1"/>
  <c r="P128" i="85"/>
  <c r="R124" i="85"/>
  <c r="X128" i="69"/>
  <c r="Z128" i="69" s="1"/>
  <c r="P132" i="69"/>
  <c r="R128" i="69"/>
  <c r="P98" i="74"/>
  <c r="X94" i="74"/>
  <c r="Z94" i="74" s="1"/>
  <c r="R94" i="74"/>
  <c r="X31" i="52"/>
  <c r="P36" i="52"/>
  <c r="X108" i="21"/>
  <c r="Z108" i="21" s="1"/>
  <c r="P112" i="21"/>
  <c r="R108" i="21"/>
  <c r="H125" i="71"/>
  <c r="J121" i="71"/>
  <c r="T129" i="27"/>
  <c r="V126" i="27"/>
  <c r="L85" i="102"/>
  <c r="D89" i="102"/>
  <c r="Z270" i="15"/>
  <c r="T274" i="15"/>
  <c r="V270" i="15"/>
  <c r="Z31" i="28"/>
  <c r="T36" i="28"/>
  <c r="Z36" i="28" s="1"/>
  <c r="Z65" i="68"/>
  <c r="T68" i="68"/>
  <c r="Z31" i="14"/>
  <c r="T36" i="14"/>
  <c r="Z36" i="14" s="1"/>
  <c r="P36" i="29"/>
  <c r="X31" i="29"/>
  <c r="T118" i="77"/>
  <c r="V115" i="77"/>
  <c r="Z31" i="32"/>
  <c r="T36" i="32"/>
  <c r="Z36" i="32" s="1"/>
  <c r="X298" i="18"/>
  <c r="P302" i="18"/>
  <c r="R298" i="18"/>
  <c r="X31" i="34"/>
  <c r="P36" i="34"/>
  <c r="H132" i="36"/>
  <c r="J128" i="36"/>
  <c r="D57" i="99"/>
  <c r="L53" i="99"/>
  <c r="N31" i="44"/>
  <c r="H36" i="44"/>
  <c r="N36" i="44" s="1"/>
  <c r="H36" i="7"/>
  <c r="N36" i="7" s="1"/>
  <c r="N31" i="7"/>
  <c r="X108" i="64"/>
  <c r="Z108" i="64" s="1"/>
  <c r="H91" i="73"/>
  <c r="J88" i="73"/>
  <c r="Z31" i="47"/>
  <c r="T36" i="47"/>
  <c r="Z36" i="47" s="1"/>
  <c r="H108" i="64"/>
  <c r="L31" i="54"/>
  <c r="L31" i="43"/>
  <c r="D36" i="43"/>
  <c r="H90" i="84"/>
  <c r="N86" i="84"/>
  <c r="J86" i="84"/>
  <c r="T36" i="8"/>
  <c r="Z36" i="8" s="1"/>
  <c r="Z31" i="8"/>
  <c r="X79" i="57"/>
  <c r="D36" i="83"/>
  <c r="L33" i="83"/>
  <c r="F33" i="83"/>
  <c r="T36" i="10"/>
  <c r="Z36" i="10" s="1"/>
  <c r="Z31" i="10"/>
  <c r="L94" i="74"/>
  <c r="D98" i="74"/>
  <c r="F94" i="74"/>
  <c r="X31" i="113"/>
  <c r="P36" i="113"/>
  <c r="H80" i="110"/>
  <c r="J77" i="110"/>
  <c r="Z31" i="43"/>
  <c r="T36" i="43"/>
  <c r="Z36" i="43" s="1"/>
  <c r="P34" i="86"/>
  <c r="X30" i="86"/>
  <c r="Z30" i="86" s="1"/>
  <c r="R30" i="86"/>
  <c r="Z31" i="11"/>
  <c r="T36" i="11"/>
  <c r="Z36" i="11" s="1"/>
  <c r="T36" i="34"/>
  <c r="Z36" i="34" s="1"/>
  <c r="Z31" i="34"/>
  <c r="T88" i="104"/>
  <c r="Z84" i="104"/>
  <c r="V84" i="104"/>
  <c r="H84" i="89"/>
  <c r="J81" i="89"/>
  <c r="X31" i="7"/>
  <c r="P36" i="7"/>
  <c r="X31" i="8"/>
  <c r="P36" i="8"/>
  <c r="Z31" i="7"/>
  <c r="T36" i="7"/>
  <c r="Z36" i="7" s="1"/>
  <c r="H36" i="37"/>
  <c r="N36" i="37" s="1"/>
  <c r="N31" i="37"/>
  <c r="D36" i="8"/>
  <c r="L31" i="8"/>
  <c r="L132" i="69"/>
  <c r="N132" i="69" s="1"/>
  <c r="D135" i="69"/>
  <c r="L135" i="69" s="1"/>
  <c r="D36" i="19"/>
  <c r="L31" i="19"/>
  <c r="L97" i="9"/>
  <c r="N97" i="9" s="1"/>
  <c r="D100" i="9"/>
  <c r="L100" i="9" s="1"/>
  <c r="N100" i="9" s="1"/>
  <c r="X65" i="68"/>
  <c r="P68" i="68"/>
  <c r="P31" i="54"/>
  <c r="X31" i="54" s="1"/>
  <c r="Z31" i="54" s="1"/>
  <c r="X26" i="54"/>
  <c r="N70" i="79"/>
  <c r="H74" i="79"/>
  <c r="J70" i="79"/>
  <c r="L31" i="22"/>
  <c r="D36" i="22"/>
  <c r="P57" i="99"/>
  <c r="X53" i="99"/>
  <c r="R53" i="99"/>
  <c r="X100" i="33"/>
  <c r="P104" i="33"/>
  <c r="R100" i="33"/>
  <c r="N31" i="10"/>
  <c r="H36" i="10"/>
  <c r="N36" i="10" s="1"/>
  <c r="N85" i="102"/>
  <c r="H89" i="102"/>
  <c r="J85" i="102"/>
  <c r="P36" i="17"/>
  <c r="X31" i="17"/>
  <c r="P98" i="45"/>
  <c r="X94" i="45"/>
  <c r="Z94" i="45" s="1"/>
  <c r="R94" i="45"/>
  <c r="D36" i="38"/>
  <c r="L31" i="38"/>
  <c r="Z26" i="6"/>
  <c r="T31" i="6"/>
  <c r="X31" i="6" s="1"/>
  <c r="R84" i="95"/>
  <c r="Z54" i="103"/>
  <c r="T57" i="103"/>
  <c r="X151" i="30"/>
  <c r="Z151" i="30" s="1"/>
  <c r="P155" i="30"/>
  <c r="R151" i="30"/>
  <c r="L31" i="41"/>
  <c r="D36" i="41"/>
  <c r="Z128" i="36"/>
  <c r="T132" i="36"/>
  <c r="V128" i="36"/>
  <c r="T74" i="79"/>
  <c r="V70" i="79"/>
  <c r="T36" i="4"/>
  <c r="Z36" i="4" s="1"/>
  <c r="Z31" i="4"/>
  <c r="Z37" i="55"/>
  <c r="T40" i="55"/>
  <c r="H73" i="101"/>
  <c r="L69" i="101"/>
  <c r="N69" i="101" s="1"/>
  <c r="J69" i="101"/>
  <c r="T147" i="24"/>
  <c r="V143" i="24"/>
  <c r="Z31" i="44"/>
  <c r="T36" i="44"/>
  <c r="Z36" i="44" s="1"/>
  <c r="L65" i="68"/>
  <c r="N65" i="68" s="1"/>
  <c r="D68" i="68"/>
  <c r="L68" i="68" s="1"/>
  <c r="D36" i="32"/>
  <c r="L31" i="32"/>
  <c r="T94" i="108"/>
  <c r="V91" i="108"/>
  <c r="L31" i="11"/>
  <c r="D36" i="11"/>
  <c r="D36" i="112"/>
  <c r="L31" i="112"/>
  <c r="L84" i="104"/>
  <c r="N84" i="104" s="1"/>
  <c r="D88" i="104"/>
  <c r="F84" i="104"/>
  <c r="X77" i="58"/>
  <c r="Z77" i="58" s="1"/>
  <c r="P80" i="58"/>
  <c r="X80" i="58" s="1"/>
  <c r="D104" i="33"/>
  <c r="L100" i="33"/>
  <c r="N100" i="33" s="1"/>
  <c r="F100" i="33"/>
  <c r="N31" i="11"/>
  <c r="H36" i="11"/>
  <c r="N36" i="11" s="1"/>
  <c r="N31" i="5"/>
  <c r="H36" i="5"/>
  <c r="N36" i="5" s="1"/>
  <c r="Z298" i="18"/>
  <c r="T302" i="18"/>
  <c r="V298" i="18"/>
  <c r="L134" i="39"/>
  <c r="N134" i="39" s="1"/>
  <c r="H277" i="15"/>
  <c r="J274" i="15"/>
  <c r="Z57" i="99"/>
  <c r="T60" i="99"/>
  <c r="Z60" i="99" s="1"/>
  <c r="X138" i="39"/>
  <c r="P141" i="39"/>
  <c r="R138" i="39"/>
  <c r="L31" i="44"/>
  <c r="D36" i="44"/>
  <c r="N31" i="14"/>
  <c r="H36" i="14"/>
  <c r="N36" i="14" s="1"/>
  <c r="X121" i="71"/>
  <c r="Z121" i="71" s="1"/>
  <c r="P125" i="71"/>
  <c r="R121" i="71"/>
  <c r="T100" i="96"/>
  <c r="V97" i="96"/>
  <c r="D36" i="20"/>
  <c r="L31" i="20"/>
  <c r="N31" i="23"/>
  <c r="H36" i="23"/>
  <c r="N36" i="23" s="1"/>
  <c r="X84" i="81"/>
  <c r="P87" i="81"/>
  <c r="R84" i="81"/>
  <c r="D302" i="18"/>
  <c r="L298" i="18"/>
  <c r="N298" i="18" s="1"/>
  <c r="F298" i="18"/>
  <c r="Z31" i="38"/>
  <c r="T36" i="38"/>
  <c r="Z36" i="38" s="1"/>
  <c r="H100" i="96"/>
  <c r="J97" i="96"/>
  <c r="T103" i="92"/>
  <c r="Z100" i="92"/>
  <c r="L122" i="27"/>
  <c r="D126" i="27"/>
  <c r="F122" i="27"/>
  <c r="N77" i="95"/>
  <c r="H81" i="95"/>
  <c r="J77" i="95"/>
  <c r="L31" i="29"/>
  <c r="D36" i="29"/>
  <c r="D155" i="30"/>
  <c r="L151" i="30"/>
  <c r="N151" i="30" s="1"/>
  <c r="F151" i="30"/>
  <c r="T87" i="81"/>
  <c r="Z84" i="81"/>
  <c r="V84" i="81"/>
  <c r="H57" i="103"/>
  <c r="P36" i="43"/>
  <c r="X31" i="43"/>
  <c r="N323" i="3"/>
  <c r="H327" i="3"/>
  <c r="L327" i="3" s="1"/>
  <c r="J323" i="3"/>
  <c r="Z31" i="113"/>
  <c r="T36" i="113"/>
  <c r="Z36" i="113" s="1"/>
  <c r="L105" i="64"/>
  <c r="N105" i="64" s="1"/>
  <c r="D108" i="64"/>
  <c r="L108" i="64" s="1"/>
  <c r="L72" i="59"/>
  <c r="L31" i="25"/>
  <c r="D36" i="25"/>
  <c r="D90" i="88"/>
  <c r="L86" i="88"/>
  <c r="N86" i="88" s="1"/>
  <c r="H129" i="42"/>
  <c r="N125" i="42"/>
  <c r="J125" i="42"/>
  <c r="H36" i="52"/>
  <c r="N36" i="52" s="1"/>
  <c r="N31" i="52"/>
  <c r="P89" i="106"/>
  <c r="X85" i="106"/>
  <c r="Z85" i="106" s="1"/>
  <c r="R85" i="106"/>
  <c r="D80" i="48"/>
  <c r="F77" i="48"/>
  <c r="D81" i="56"/>
  <c r="L81" i="56" s="1"/>
  <c r="N81" i="56" s="1"/>
  <c r="L78" i="56"/>
  <c r="N78" i="56" s="1"/>
  <c r="X54" i="60"/>
  <c r="P57" i="60"/>
  <c r="X57" i="60" s="1"/>
  <c r="X31" i="40"/>
  <c r="P36" i="40"/>
  <c r="Z57" i="61"/>
  <c r="T60" i="61"/>
  <c r="X57" i="61"/>
  <c r="L31" i="28"/>
  <c r="D36" i="28"/>
  <c r="D74" i="79"/>
  <c r="L70" i="79"/>
  <c r="F70" i="79"/>
  <c r="X88" i="104"/>
  <c r="P91" i="104"/>
  <c r="R88" i="104"/>
  <c r="L74" i="70"/>
  <c r="N74" i="70" s="1"/>
  <c r="D78" i="70"/>
  <c r="H72" i="59"/>
  <c r="N31" i="35"/>
  <c r="H36" i="35"/>
  <c r="N36" i="35" s="1"/>
  <c r="H36" i="53"/>
  <c r="N36" i="53" s="1"/>
  <c r="N31" i="53"/>
  <c r="H58" i="105"/>
  <c r="L54" i="105"/>
  <c r="N54" i="105" s="1"/>
  <c r="J54" i="105"/>
  <c r="L138" i="39"/>
  <c r="D141" i="39"/>
  <c r="F138" i="39"/>
  <c r="D80" i="94"/>
  <c r="L80" i="94" s="1"/>
  <c r="L77" i="94"/>
  <c r="N77" i="94" s="1"/>
  <c r="X128" i="36"/>
  <c r="P132" i="36"/>
  <c r="R128" i="36"/>
  <c r="N31" i="49"/>
  <c r="H36" i="49"/>
  <c r="N36" i="49" s="1"/>
  <c r="H57" i="60"/>
  <c r="N54" i="60"/>
  <c r="L41" i="109"/>
  <c r="N41" i="109" s="1"/>
  <c r="D44" i="109"/>
  <c r="L44" i="109" s="1"/>
  <c r="T87" i="93"/>
  <c r="Z84" i="93"/>
  <c r="V84" i="93"/>
  <c r="H36" i="38"/>
  <c r="N36" i="38" s="1"/>
  <c r="N31" i="38"/>
  <c r="D274" i="15"/>
  <c r="L270" i="15"/>
  <c r="N270" i="15" s="1"/>
  <c r="F270" i="15"/>
  <c r="L89" i="106"/>
  <c r="D92" i="106"/>
  <c r="D119" i="75"/>
  <c r="L115" i="75"/>
  <c r="N115" i="75" s="1"/>
  <c r="F115" i="75"/>
  <c r="H31" i="107"/>
  <c r="N31" i="107" s="1"/>
  <c r="N28" i="107"/>
  <c r="P36" i="11"/>
  <c r="X31" i="11"/>
  <c r="T81" i="95"/>
  <c r="V77" i="95"/>
  <c r="X77" i="95"/>
  <c r="Z77" i="95" s="1"/>
  <c r="N31" i="29"/>
  <c r="H36" i="29"/>
  <c r="N36" i="29" s="1"/>
  <c r="T81" i="70"/>
  <c r="V78" i="70"/>
  <c r="T86" i="76"/>
  <c r="V83" i="76"/>
  <c r="N143" i="24"/>
  <c r="H147" i="24"/>
  <c r="J143" i="24"/>
  <c r="D115" i="51"/>
  <c r="L111" i="51"/>
  <c r="N111" i="51" s="1"/>
  <c r="F111" i="51"/>
  <c r="X78" i="56"/>
  <c r="Z78" i="56" s="1"/>
  <c r="P81" i="56"/>
  <c r="X81" i="56" s="1"/>
  <c r="Z81" i="56" s="1"/>
  <c r="D36" i="34"/>
  <c r="L31" i="34"/>
  <c r="H36" i="8"/>
  <c r="N36" i="8" s="1"/>
  <c r="N31" i="8"/>
  <c r="L31" i="53"/>
  <c r="D36" i="53"/>
  <c r="L69" i="59"/>
  <c r="N69" i="59" s="1"/>
  <c r="P36" i="22"/>
  <c r="X31" i="22"/>
  <c r="P36" i="28"/>
  <c r="X31" i="28"/>
  <c r="L31" i="16"/>
  <c r="D36" i="16"/>
  <c r="H36" i="20"/>
  <c r="N36" i="20" s="1"/>
  <c r="N31" i="20"/>
  <c r="L73" i="48"/>
  <c r="N73" i="48" s="1"/>
  <c r="H37" i="86"/>
  <c r="J34" i="86"/>
  <c r="H305" i="18"/>
  <c r="J302" i="18"/>
  <c r="T84" i="89"/>
  <c r="V81" i="89"/>
  <c r="T37" i="86"/>
  <c r="V34" i="86"/>
  <c r="D131" i="85"/>
  <c r="D81" i="95"/>
  <c r="L77" i="95"/>
  <c r="H89" i="106"/>
  <c r="N85" i="106"/>
  <c r="J85" i="106"/>
  <c r="Z31" i="17"/>
  <c r="T36" i="17"/>
  <c r="Z36" i="17" s="1"/>
  <c r="T36" i="26"/>
  <c r="Z36" i="26" s="1"/>
  <c r="Z31" i="26"/>
  <c r="P36" i="47"/>
  <c r="X31" i="47"/>
  <c r="H91" i="104"/>
  <c r="J88" i="104"/>
  <c r="P147" i="24"/>
  <c r="X143" i="24"/>
  <c r="Z143" i="24" s="1"/>
  <c r="R143" i="24"/>
  <c r="Z76" i="57"/>
  <c r="T79" i="57"/>
  <c r="P74" i="79"/>
  <c r="X70" i="79"/>
  <c r="Z70" i="79" s="1"/>
  <c r="R70" i="79"/>
  <c r="D94" i="98"/>
  <c r="L94" i="98" s="1"/>
  <c r="L91" i="98"/>
  <c r="X31" i="19"/>
  <c r="P36" i="19"/>
  <c r="T115" i="21"/>
  <c r="V112" i="21"/>
  <c r="T77" i="48"/>
  <c r="Z73" i="48"/>
  <c r="V73" i="48"/>
  <c r="D91" i="108"/>
  <c r="L87" i="108"/>
  <c r="N87" i="108" s="1"/>
  <c r="L79" i="76"/>
  <c r="N79" i="76" s="1"/>
  <c r="D83" i="76"/>
  <c r="F79" i="76"/>
  <c r="P78" i="70"/>
  <c r="X74" i="70"/>
  <c r="Z74" i="70" s="1"/>
  <c r="R74" i="70"/>
  <c r="T80" i="80"/>
  <c r="V77" i="80"/>
  <c r="X77" i="89"/>
  <c r="Z77" i="89" s="1"/>
  <c r="P81" i="89"/>
  <c r="R77" i="89"/>
  <c r="D57" i="103"/>
  <c r="L57" i="103" s="1"/>
  <c r="L54" i="103"/>
  <c r="N54" i="103" s="1"/>
  <c r="H36" i="46"/>
  <c r="N36" i="46" s="1"/>
  <c r="N31" i="46"/>
  <c r="T125" i="71"/>
  <c r="V121" i="71"/>
  <c r="Z31" i="19"/>
  <c r="T36" i="19"/>
  <c r="Z36" i="19" s="1"/>
  <c r="P36" i="5"/>
  <c r="X31" i="5"/>
  <c r="H80" i="80"/>
  <c r="N77" i="80"/>
  <c r="J77" i="80"/>
  <c r="P36" i="26"/>
  <c r="X31" i="26"/>
  <c r="Z31" i="22"/>
  <c r="T36" i="22"/>
  <c r="Z36" i="22" s="1"/>
  <c r="R91" i="73"/>
  <c r="X93" i="96"/>
  <c r="Z93" i="96" s="1"/>
  <c r="P97" i="96"/>
  <c r="R93" i="96"/>
  <c r="H36" i="13"/>
  <c r="N36" i="13" s="1"/>
  <c r="N31" i="13"/>
  <c r="P89" i="102"/>
  <c r="X85" i="102"/>
  <c r="Z85" i="102" s="1"/>
  <c r="R85" i="102"/>
  <c r="L31" i="26"/>
  <c r="D36" i="26"/>
  <c r="P40" i="55"/>
  <c r="X40" i="55" s="1"/>
  <c r="X37" i="55"/>
  <c r="N79" i="57"/>
  <c r="L31" i="10"/>
  <c r="D36" i="10"/>
  <c r="T104" i="33"/>
  <c r="Z100" i="33"/>
  <c r="V100" i="33"/>
  <c r="N31" i="17"/>
  <c r="H36" i="17"/>
  <c r="N36" i="17" s="1"/>
  <c r="Z125" i="42"/>
  <c r="T129" i="42"/>
  <c r="V125" i="42"/>
  <c r="T80" i="94"/>
  <c r="V77" i="94"/>
  <c r="P94" i="98"/>
  <c r="X91" i="98"/>
  <c r="Z91" i="98" s="1"/>
  <c r="R91" i="98"/>
  <c r="Z31" i="13"/>
  <c r="T36" i="13"/>
  <c r="Z36" i="13" s="1"/>
  <c r="D36" i="31"/>
  <c r="L31" i="31"/>
  <c r="L147" i="24"/>
  <c r="D150" i="24"/>
  <c r="F147" i="24"/>
  <c r="P86" i="76"/>
  <c r="X83" i="76"/>
  <c r="Z83" i="76" s="1"/>
  <c r="R83" i="76"/>
  <c r="N44" i="109"/>
  <c r="X50" i="100"/>
  <c r="Z50" i="100" s="1"/>
  <c r="P53" i="100"/>
  <c r="X53" i="100" s="1"/>
  <c r="Z53" i="100" s="1"/>
  <c r="T90" i="88"/>
  <c r="Z86" i="88"/>
  <c r="V86" i="88"/>
  <c r="Z31" i="31"/>
  <c r="T36" i="31"/>
  <c r="Z36" i="31" s="1"/>
  <c r="T135" i="69"/>
  <c r="V132" i="69"/>
  <c r="D36" i="113"/>
  <c r="L31" i="113"/>
  <c r="D332" i="3"/>
  <c r="F327" i="3"/>
  <c r="H126" i="27"/>
  <c r="N122" i="27"/>
  <c r="J122" i="27"/>
  <c r="N31" i="111"/>
  <c r="H36" i="111"/>
  <c r="N36" i="111" s="1"/>
  <c r="L57" i="61"/>
  <c r="N57" i="61" s="1"/>
  <c r="L31" i="5"/>
  <c r="D36" i="5"/>
  <c r="N91" i="98"/>
  <c r="H94" i="98"/>
  <c r="J91" i="98"/>
  <c r="L77" i="110"/>
  <c r="N77" i="110" s="1"/>
  <c r="D80" i="110"/>
  <c r="F77" i="110"/>
  <c r="X90" i="88"/>
  <c r="P93" i="88"/>
  <c r="R90" i="88"/>
  <c r="N53" i="99"/>
  <c r="H57" i="99"/>
  <c r="D93" i="84"/>
  <c r="L50" i="100"/>
  <c r="D53" i="100"/>
  <c r="L53" i="100" s="1"/>
  <c r="X97" i="9"/>
  <c r="Z97" i="9" s="1"/>
  <c r="D132" i="36"/>
  <c r="L128" i="36"/>
  <c r="N128" i="36" s="1"/>
  <c r="F128" i="36"/>
  <c r="D80" i="58"/>
  <c r="L80" i="58" s="1"/>
  <c r="L77" i="58"/>
  <c r="N77" i="58" s="1"/>
  <c r="H87" i="93"/>
  <c r="J84" i="93"/>
  <c r="N68" i="68"/>
  <c r="D36" i="35"/>
  <c r="L31" i="35"/>
  <c r="L30" i="86"/>
  <c r="N30" i="86" s="1"/>
  <c r="D34" i="86"/>
  <c r="L31" i="23"/>
  <c r="D36" i="23"/>
  <c r="H36" i="19"/>
  <c r="N36" i="19" s="1"/>
  <c r="N31" i="19"/>
  <c r="L36" i="53" l="1"/>
  <c r="X36" i="40"/>
  <c r="X36" i="5"/>
  <c r="L36" i="41"/>
  <c r="X36" i="29"/>
  <c r="X36" i="16"/>
  <c r="L36" i="25"/>
  <c r="X36" i="7"/>
  <c r="X36" i="11"/>
  <c r="X36" i="52"/>
  <c r="L36" i="50"/>
  <c r="L36" i="113"/>
  <c r="L36" i="32"/>
  <c r="X36" i="25"/>
  <c r="L36" i="10"/>
  <c r="X36" i="20"/>
  <c r="L36" i="112"/>
  <c r="L36" i="26"/>
  <c r="L36" i="40"/>
  <c r="L36" i="23"/>
  <c r="L36" i="22"/>
  <c r="X36" i="34"/>
  <c r="X36" i="47"/>
  <c r="L36" i="16"/>
  <c r="L36" i="34"/>
  <c r="L36" i="8"/>
  <c r="L36" i="4"/>
  <c r="L36" i="31"/>
  <c r="L36" i="43"/>
  <c r="L36" i="5"/>
  <c r="X36" i="26"/>
  <c r="X36" i="28"/>
  <c r="X36" i="22"/>
  <c r="X36" i="10"/>
  <c r="L36" i="28"/>
  <c r="L36" i="19"/>
  <c r="X36" i="32"/>
  <c r="X36" i="37"/>
  <c r="X36" i="50"/>
  <c r="X36" i="41"/>
  <c r="L36" i="7"/>
  <c r="X36" i="23"/>
  <c r="L36" i="20"/>
  <c r="L36" i="38"/>
  <c r="X36" i="31"/>
  <c r="L36" i="29"/>
  <c r="X36" i="111"/>
  <c r="L36" i="47"/>
  <c r="X36" i="46"/>
  <c r="T80" i="48"/>
  <c r="V77" i="48"/>
  <c r="N91" i="73"/>
  <c r="J91" i="73"/>
  <c r="L97" i="96"/>
  <c r="N97" i="96" s="1"/>
  <c r="D100" i="96"/>
  <c r="L100" i="96" s="1"/>
  <c r="R93" i="88"/>
  <c r="X86" i="76"/>
  <c r="Z86" i="76" s="1"/>
  <c r="R86" i="76"/>
  <c r="X94" i="98"/>
  <c r="R94" i="98"/>
  <c r="T107" i="33"/>
  <c r="V104" i="33"/>
  <c r="P92" i="102"/>
  <c r="X89" i="102"/>
  <c r="Z89" i="102" s="1"/>
  <c r="R89" i="102"/>
  <c r="Z125" i="71"/>
  <c r="T128" i="71"/>
  <c r="V125" i="71"/>
  <c r="Z79" i="57"/>
  <c r="N37" i="86"/>
  <c r="J37" i="86"/>
  <c r="L92" i="106"/>
  <c r="F141" i="39"/>
  <c r="L78" i="70"/>
  <c r="N78" i="70" s="1"/>
  <c r="D81" i="70"/>
  <c r="L81" i="70" s="1"/>
  <c r="N57" i="103"/>
  <c r="D305" i="18"/>
  <c r="L302" i="18"/>
  <c r="N302" i="18" s="1"/>
  <c r="F302" i="18"/>
  <c r="X125" i="71"/>
  <c r="P128" i="71"/>
  <c r="R125" i="71"/>
  <c r="Z132" i="36"/>
  <c r="T135" i="36"/>
  <c r="V132" i="36"/>
  <c r="H77" i="79"/>
  <c r="J74" i="79"/>
  <c r="X34" i="86"/>
  <c r="Z34" i="86" s="1"/>
  <c r="P37" i="86"/>
  <c r="R34" i="86"/>
  <c r="H135" i="36"/>
  <c r="J132" i="36"/>
  <c r="V118" i="77"/>
  <c r="T277" i="15"/>
  <c r="V274" i="15"/>
  <c r="X128" i="85"/>
  <c r="Z128" i="85" s="1"/>
  <c r="P131" i="85"/>
  <c r="R128" i="85"/>
  <c r="N53" i="100"/>
  <c r="J118" i="51"/>
  <c r="T332" i="3"/>
  <c r="X332" i="3" s="1"/>
  <c r="Z327" i="3"/>
  <c r="V327" i="3"/>
  <c r="R93" i="84"/>
  <c r="D286" i="12"/>
  <c r="L283" i="12"/>
  <c r="N283" i="12" s="1"/>
  <c r="F283" i="12"/>
  <c r="Z57" i="60"/>
  <c r="L36" i="111"/>
  <c r="X36" i="49"/>
  <c r="N40" i="55"/>
  <c r="L57" i="60"/>
  <c r="X77" i="94"/>
  <c r="Z77" i="94" s="1"/>
  <c r="P80" i="94"/>
  <c r="R77" i="94"/>
  <c r="X94" i="108"/>
  <c r="Z94" i="108" s="1"/>
  <c r="R94" i="108"/>
  <c r="P129" i="27"/>
  <c r="X126" i="27"/>
  <c r="Z126" i="27" s="1"/>
  <c r="R126" i="27"/>
  <c r="L126" i="27"/>
  <c r="N126" i="27" s="1"/>
  <c r="D129" i="27"/>
  <c r="F126" i="27"/>
  <c r="H93" i="84"/>
  <c r="N90" i="84"/>
  <c r="J90" i="84"/>
  <c r="H131" i="85"/>
  <c r="J128" i="85"/>
  <c r="H107" i="33"/>
  <c r="J104" i="33"/>
  <c r="L150" i="24"/>
  <c r="F150" i="24"/>
  <c r="V80" i="94"/>
  <c r="X87" i="81"/>
  <c r="R87" i="81"/>
  <c r="J277" i="15"/>
  <c r="D107" i="33"/>
  <c r="L104" i="33"/>
  <c r="N104" i="33" s="1"/>
  <c r="F104" i="33"/>
  <c r="N73" i="101"/>
  <c r="H76" i="101"/>
  <c r="J73" i="101"/>
  <c r="L73" i="101"/>
  <c r="P107" i="33"/>
  <c r="X104" i="33"/>
  <c r="Z104" i="33" s="1"/>
  <c r="R104" i="33"/>
  <c r="L89" i="102"/>
  <c r="D92" i="102"/>
  <c r="H101" i="74"/>
  <c r="N98" i="74"/>
  <c r="J98" i="74"/>
  <c r="L101" i="45"/>
  <c r="F101" i="45"/>
  <c r="D128" i="71"/>
  <c r="L125" i="71"/>
  <c r="N125" i="71" s="1"/>
  <c r="F125" i="71"/>
  <c r="Z80" i="58"/>
  <c r="L36" i="46"/>
  <c r="L91" i="73"/>
  <c r="F91" i="73"/>
  <c r="L81" i="89"/>
  <c r="N81" i="89" s="1"/>
  <c r="D84" i="89"/>
  <c r="L84" i="89" s="1"/>
  <c r="X58" i="105"/>
  <c r="P61" i="105"/>
  <c r="R58" i="105"/>
  <c r="L36" i="37"/>
  <c r="V101" i="45"/>
  <c r="Z90" i="84"/>
  <c r="T93" i="84"/>
  <c r="X93" i="84" s="1"/>
  <c r="V90" i="84"/>
  <c r="L34" i="86"/>
  <c r="N34" i="86" s="1"/>
  <c r="D37" i="86"/>
  <c r="L37" i="86" s="1"/>
  <c r="D135" i="36"/>
  <c r="L132" i="36"/>
  <c r="N132" i="36" s="1"/>
  <c r="F132" i="36"/>
  <c r="L80" i="110"/>
  <c r="N80" i="110" s="1"/>
  <c r="F80" i="110"/>
  <c r="H129" i="27"/>
  <c r="J126" i="27"/>
  <c r="V37" i="86"/>
  <c r="N147" i="24"/>
  <c r="H150" i="24"/>
  <c r="J147" i="24"/>
  <c r="N57" i="60"/>
  <c r="X91" i="104"/>
  <c r="R91" i="104"/>
  <c r="P92" i="106"/>
  <c r="X89" i="106"/>
  <c r="Z89" i="106" s="1"/>
  <c r="R89" i="106"/>
  <c r="Z87" i="81"/>
  <c r="V87" i="81"/>
  <c r="Z88" i="104"/>
  <c r="T91" i="104"/>
  <c r="V88" i="104"/>
  <c r="Z94" i="98"/>
  <c r="V94" i="98"/>
  <c r="X72" i="59"/>
  <c r="Z72" i="59" s="1"/>
  <c r="X36" i="4"/>
  <c r="X36" i="38"/>
  <c r="Z90" i="88"/>
  <c r="T93" i="88"/>
  <c r="X93" i="88" s="1"/>
  <c r="V90" i="88"/>
  <c r="V115" i="21"/>
  <c r="P150" i="24"/>
  <c r="X147" i="24"/>
  <c r="R147" i="24"/>
  <c r="Z81" i="95"/>
  <c r="T84" i="95"/>
  <c r="V81" i="95"/>
  <c r="X81" i="95"/>
  <c r="L274" i="15"/>
  <c r="N274" i="15" s="1"/>
  <c r="D277" i="15"/>
  <c r="F274" i="15"/>
  <c r="Z40" i="55"/>
  <c r="X68" i="68"/>
  <c r="J80" i="110"/>
  <c r="X302" i="18"/>
  <c r="P305" i="18"/>
  <c r="R302" i="18"/>
  <c r="X36" i="35"/>
  <c r="L36" i="13"/>
  <c r="N31" i="6"/>
  <c r="H286" i="12"/>
  <c r="J283" i="12"/>
  <c r="T36" i="83"/>
  <c r="V33" i="83"/>
  <c r="X33" i="83"/>
  <c r="Z33" i="83" s="1"/>
  <c r="J36" i="83"/>
  <c r="L36" i="49"/>
  <c r="L332" i="3"/>
  <c r="F332" i="3"/>
  <c r="J80" i="80"/>
  <c r="X78" i="70"/>
  <c r="Z78" i="70" s="1"/>
  <c r="P81" i="70"/>
  <c r="R78" i="70"/>
  <c r="X36" i="19"/>
  <c r="N89" i="106"/>
  <c r="H92" i="106"/>
  <c r="J89" i="106"/>
  <c r="N58" i="105"/>
  <c r="H61" i="105"/>
  <c r="J58" i="105"/>
  <c r="L58" i="105"/>
  <c r="X155" i="30"/>
  <c r="Z155" i="30" s="1"/>
  <c r="P158" i="30"/>
  <c r="R155" i="30"/>
  <c r="P101" i="45"/>
  <c r="X98" i="45"/>
  <c r="Z98" i="45" s="1"/>
  <c r="R98" i="45"/>
  <c r="V129" i="27"/>
  <c r="X103" i="92"/>
  <c r="Z103" i="92" s="1"/>
  <c r="V80" i="110"/>
  <c r="N31" i="54"/>
  <c r="J94" i="108"/>
  <c r="X36" i="53"/>
  <c r="X80" i="48"/>
  <c r="R80" i="48"/>
  <c r="Z58" i="105"/>
  <c r="T61" i="105"/>
  <c r="V58" i="105"/>
  <c r="Z88" i="73"/>
  <c r="T91" i="73"/>
  <c r="V88" i="73"/>
  <c r="X88" i="73"/>
  <c r="R118" i="51"/>
  <c r="N87" i="81"/>
  <c r="J87" i="81"/>
  <c r="T286" i="12"/>
  <c r="Z283" i="12"/>
  <c r="V283" i="12"/>
  <c r="V92" i="102"/>
  <c r="X77" i="110"/>
  <c r="Z77" i="110" s="1"/>
  <c r="P80" i="110"/>
  <c r="R77" i="110"/>
  <c r="V131" i="85"/>
  <c r="L115" i="51"/>
  <c r="N115" i="51" s="1"/>
  <c r="D118" i="51"/>
  <c r="F115" i="51"/>
  <c r="L36" i="35"/>
  <c r="N94" i="98"/>
  <c r="J94" i="98"/>
  <c r="T132" i="42"/>
  <c r="V129" i="42"/>
  <c r="D158" i="30"/>
  <c r="L155" i="30"/>
  <c r="N155" i="30" s="1"/>
  <c r="F155" i="30"/>
  <c r="N100" i="96"/>
  <c r="J100" i="96"/>
  <c r="L36" i="44"/>
  <c r="Z302" i="18"/>
  <c r="T305" i="18"/>
  <c r="V302" i="18"/>
  <c r="D91" i="104"/>
  <c r="L88" i="104"/>
  <c r="N88" i="104" s="1"/>
  <c r="F88" i="104"/>
  <c r="X57" i="99"/>
  <c r="P60" i="99"/>
  <c r="R57" i="99"/>
  <c r="X36" i="8"/>
  <c r="X36" i="113"/>
  <c r="N108" i="64"/>
  <c r="P286" i="12"/>
  <c r="X283" i="12"/>
  <c r="R283" i="12"/>
  <c r="X327" i="3"/>
  <c r="X77" i="48"/>
  <c r="Z77" i="48" s="1"/>
  <c r="N81" i="70"/>
  <c r="J81" i="70"/>
  <c r="L36" i="14"/>
  <c r="X36" i="44"/>
  <c r="X129" i="42"/>
  <c r="Z129" i="42" s="1"/>
  <c r="N135" i="69"/>
  <c r="J135" i="69"/>
  <c r="L36" i="52"/>
  <c r="Z138" i="39"/>
  <c r="T141" i="39"/>
  <c r="V138" i="39"/>
  <c r="L93" i="84"/>
  <c r="X97" i="96"/>
  <c r="Z97" i="96" s="1"/>
  <c r="P100" i="96"/>
  <c r="R97" i="96"/>
  <c r="L83" i="76"/>
  <c r="N83" i="76" s="1"/>
  <c r="D86" i="76"/>
  <c r="F83" i="76"/>
  <c r="J91" i="104"/>
  <c r="D84" i="95"/>
  <c r="L81" i="95"/>
  <c r="V84" i="89"/>
  <c r="V86" i="76"/>
  <c r="X132" i="36"/>
  <c r="P135" i="36"/>
  <c r="R132" i="36"/>
  <c r="D77" i="79"/>
  <c r="L74" i="79"/>
  <c r="N74" i="79" s="1"/>
  <c r="F74" i="79"/>
  <c r="N327" i="3"/>
  <c r="H332" i="3"/>
  <c r="J327" i="3"/>
  <c r="X36" i="17"/>
  <c r="L36" i="83"/>
  <c r="N36" i="83" s="1"/>
  <c r="F36" i="83"/>
  <c r="Z68" i="68"/>
  <c r="X98" i="74"/>
  <c r="Z98" i="74" s="1"/>
  <c r="P101" i="74"/>
  <c r="R98" i="74"/>
  <c r="R332" i="3"/>
  <c r="H86" i="76"/>
  <c r="J83" i="76"/>
  <c r="X132" i="42"/>
  <c r="R132" i="42"/>
  <c r="Z76" i="101"/>
  <c r="V76" i="101"/>
  <c r="N101" i="45"/>
  <c r="J101" i="45"/>
  <c r="X76" i="101"/>
  <c r="R76" i="101"/>
  <c r="Z60" i="61"/>
  <c r="X60" i="61"/>
  <c r="X122" i="75"/>
  <c r="R122" i="75"/>
  <c r="L90" i="84"/>
  <c r="X81" i="89"/>
  <c r="Z81" i="89" s="1"/>
  <c r="P84" i="89"/>
  <c r="R81" i="89"/>
  <c r="L131" i="85"/>
  <c r="H132" i="42"/>
  <c r="J129" i="42"/>
  <c r="D60" i="99"/>
  <c r="L57" i="99"/>
  <c r="Z122" i="75"/>
  <c r="V122" i="75"/>
  <c r="V92" i="106"/>
  <c r="X80" i="80"/>
  <c r="R80" i="80"/>
  <c r="L80" i="80"/>
  <c r="N80" i="80" s="1"/>
  <c r="N80" i="94"/>
  <c r="J80" i="94"/>
  <c r="P277" i="15"/>
  <c r="X274" i="15"/>
  <c r="Z274" i="15" s="1"/>
  <c r="R274" i="15"/>
  <c r="D87" i="93"/>
  <c r="L87" i="93" s="1"/>
  <c r="L84" i="93"/>
  <c r="N84" i="93" s="1"/>
  <c r="H93" i="88"/>
  <c r="J90" i="88"/>
  <c r="H141" i="39"/>
  <c r="L141" i="39" s="1"/>
  <c r="N138" i="39"/>
  <c r="J138" i="39"/>
  <c r="N103" i="92"/>
  <c r="L129" i="42"/>
  <c r="N129" i="42" s="1"/>
  <c r="D132" i="42"/>
  <c r="L132" i="42" s="1"/>
  <c r="N57" i="99"/>
  <c r="H60" i="99"/>
  <c r="N60" i="99" s="1"/>
  <c r="L128" i="85"/>
  <c r="N128" i="85" s="1"/>
  <c r="V81" i="70"/>
  <c r="V100" i="96"/>
  <c r="R141" i="39"/>
  <c r="N89" i="102"/>
  <c r="H92" i="102"/>
  <c r="J89" i="102"/>
  <c r="X57" i="103"/>
  <c r="Z57" i="103" s="1"/>
  <c r="H128" i="71"/>
  <c r="J125" i="71"/>
  <c r="X132" i="69"/>
  <c r="Z132" i="69" s="1"/>
  <c r="P135" i="69"/>
  <c r="R132" i="69"/>
  <c r="L36" i="17"/>
  <c r="N60" i="61"/>
  <c r="J122" i="75"/>
  <c r="N87" i="93"/>
  <c r="J87" i="93"/>
  <c r="L91" i="108"/>
  <c r="N91" i="108" s="1"/>
  <c r="D94" i="108"/>
  <c r="L94" i="108" s="1"/>
  <c r="N94" i="108" s="1"/>
  <c r="J305" i="18"/>
  <c r="N72" i="59"/>
  <c r="D93" i="88"/>
  <c r="L93" i="88" s="1"/>
  <c r="L90" i="88"/>
  <c r="N90" i="88" s="1"/>
  <c r="X36" i="43"/>
  <c r="N81" i="95"/>
  <c r="H84" i="95"/>
  <c r="J81" i="95"/>
  <c r="L36" i="11"/>
  <c r="T77" i="79"/>
  <c r="V74" i="79"/>
  <c r="Z31" i="107"/>
  <c r="V101" i="74"/>
  <c r="N80" i="58"/>
  <c r="X87" i="93"/>
  <c r="Z87" i="93" s="1"/>
  <c r="R87" i="93"/>
  <c r="N115" i="77"/>
  <c r="H118" i="77"/>
  <c r="J115" i="77"/>
  <c r="X36" i="112"/>
  <c r="N115" i="21"/>
  <c r="J115" i="21"/>
  <c r="X36" i="13"/>
  <c r="X36" i="14"/>
  <c r="V94" i="108"/>
  <c r="V135" i="69"/>
  <c r="Z80" i="80"/>
  <c r="V80" i="80"/>
  <c r="X74" i="79"/>
  <c r="Z74" i="79" s="1"/>
  <c r="P77" i="79"/>
  <c r="R74" i="79"/>
  <c r="D122" i="75"/>
  <c r="L119" i="75"/>
  <c r="N119" i="75" s="1"/>
  <c r="F119" i="75"/>
  <c r="V87" i="93"/>
  <c r="L80" i="48"/>
  <c r="F80" i="48"/>
  <c r="T150" i="24"/>
  <c r="Z147" i="24"/>
  <c r="V147" i="24"/>
  <c r="Z31" i="6"/>
  <c r="N84" i="89"/>
  <c r="J84" i="89"/>
  <c r="L98" i="74"/>
  <c r="D101" i="74"/>
  <c r="F98" i="74"/>
  <c r="X112" i="21"/>
  <c r="Z112" i="21" s="1"/>
  <c r="P115" i="21"/>
  <c r="R112" i="21"/>
  <c r="N77" i="48"/>
  <c r="H80" i="48"/>
  <c r="J77" i="48"/>
  <c r="V158" i="30"/>
  <c r="T118" i="51"/>
  <c r="X118" i="51" s="1"/>
  <c r="Z115" i="51"/>
  <c r="V115" i="51"/>
  <c r="L115" i="77"/>
  <c r="D118" i="77"/>
  <c r="F115" i="77"/>
  <c r="X115" i="77"/>
  <c r="Z115" i="77" s="1"/>
  <c r="P118" i="77"/>
  <c r="R115" i="77"/>
  <c r="J158" i="30"/>
  <c r="X100" i="9"/>
  <c r="Z100" i="9" s="1"/>
  <c r="X100" i="96" l="1"/>
  <c r="Z100" i="96" s="1"/>
  <c r="R100" i="96"/>
  <c r="N80" i="48"/>
  <c r="J80" i="48"/>
  <c r="V61" i="105"/>
  <c r="N92" i="106"/>
  <c r="J92" i="106"/>
  <c r="X92" i="106"/>
  <c r="Z92" i="106" s="1"/>
  <c r="R92" i="106"/>
  <c r="L128" i="71"/>
  <c r="N128" i="71" s="1"/>
  <c r="F128" i="71"/>
  <c r="L129" i="27"/>
  <c r="F129" i="27"/>
  <c r="N135" i="36"/>
  <c r="J135" i="36"/>
  <c r="V150" i="24"/>
  <c r="J84" i="95"/>
  <c r="X60" i="99"/>
  <c r="R60" i="99"/>
  <c r="L118" i="51"/>
  <c r="N118" i="51" s="1"/>
  <c r="F118" i="51"/>
  <c r="V286" i="12"/>
  <c r="X305" i="18"/>
  <c r="Z305" i="18" s="1"/>
  <c r="R305" i="18"/>
  <c r="V84" i="95"/>
  <c r="X84" i="95"/>
  <c r="Z84" i="95" s="1"/>
  <c r="X61" i="105"/>
  <c r="Z61" i="105" s="1"/>
  <c r="R61" i="105"/>
  <c r="X37" i="86"/>
  <c r="Z37" i="86" s="1"/>
  <c r="R37" i="86"/>
  <c r="V128" i="71"/>
  <c r="X115" i="21"/>
  <c r="Z115" i="21" s="1"/>
  <c r="R115" i="21"/>
  <c r="L158" i="30"/>
  <c r="N158" i="30" s="1"/>
  <c r="F158" i="30"/>
  <c r="X101" i="45"/>
  <c r="Z101" i="45" s="1"/>
  <c r="R101" i="45"/>
  <c r="J107" i="33"/>
  <c r="X131" i="85"/>
  <c r="Z131" i="85" s="1"/>
  <c r="R131" i="85"/>
  <c r="L305" i="18"/>
  <c r="N305" i="18" s="1"/>
  <c r="F305" i="18"/>
  <c r="L118" i="77"/>
  <c r="F118" i="77"/>
  <c r="N92" i="102"/>
  <c r="J92" i="102"/>
  <c r="L60" i="99"/>
  <c r="J86" i="76"/>
  <c r="X81" i="70"/>
  <c r="Z81" i="70" s="1"/>
  <c r="R81" i="70"/>
  <c r="Z36" i="83"/>
  <c r="V36" i="83"/>
  <c r="X36" i="83"/>
  <c r="L135" i="36"/>
  <c r="F135" i="36"/>
  <c r="X129" i="27"/>
  <c r="Z129" i="27" s="1"/>
  <c r="R129" i="27"/>
  <c r="X277" i="15"/>
  <c r="R277" i="15"/>
  <c r="N332" i="3"/>
  <c r="J332" i="3"/>
  <c r="X158" i="30"/>
  <c r="Z158" i="30" s="1"/>
  <c r="R158" i="30"/>
  <c r="N150" i="24"/>
  <c r="J150" i="24"/>
  <c r="N101" i="74"/>
  <c r="J101" i="74"/>
  <c r="L107" i="33"/>
  <c r="N107" i="33" s="1"/>
  <c r="F107" i="33"/>
  <c r="L286" i="12"/>
  <c r="F286" i="12"/>
  <c r="J77" i="79"/>
  <c r="J128" i="71"/>
  <c r="L101" i="74"/>
  <c r="F101" i="74"/>
  <c r="N132" i="42"/>
  <c r="J132" i="42"/>
  <c r="L84" i="95"/>
  <c r="N84" i="95" s="1"/>
  <c r="V141" i="39"/>
  <c r="L91" i="104"/>
  <c r="N91" i="104" s="1"/>
  <c r="F91" i="104"/>
  <c r="Z132" i="42"/>
  <c r="V132" i="42"/>
  <c r="X150" i="24"/>
  <c r="Z150" i="24" s="1"/>
  <c r="R150" i="24"/>
  <c r="Z91" i="104"/>
  <c r="V91" i="104"/>
  <c r="L92" i="102"/>
  <c r="N131" i="85"/>
  <c r="J131" i="85"/>
  <c r="Z277" i="15"/>
  <c r="V277" i="15"/>
  <c r="X92" i="102"/>
  <c r="Z92" i="102" s="1"/>
  <c r="R92" i="102"/>
  <c r="N118" i="77"/>
  <c r="J118" i="77"/>
  <c r="X141" i="39"/>
  <c r="Z141" i="39" s="1"/>
  <c r="X80" i="110"/>
  <c r="Z80" i="110" s="1"/>
  <c r="R80" i="110"/>
  <c r="N286" i="12"/>
  <c r="J286" i="12"/>
  <c r="Z118" i="51"/>
  <c r="V118" i="51"/>
  <c r="L122" i="75"/>
  <c r="N122" i="75" s="1"/>
  <c r="F122" i="75"/>
  <c r="V305" i="18"/>
  <c r="Z93" i="84"/>
  <c r="V93" i="84"/>
  <c r="X80" i="94"/>
  <c r="Z80" i="94" s="1"/>
  <c r="R80" i="94"/>
  <c r="Z135" i="36"/>
  <c r="V135" i="36"/>
  <c r="X135" i="69"/>
  <c r="Z135" i="69" s="1"/>
  <c r="R135" i="69"/>
  <c r="N141" i="39"/>
  <c r="J141" i="39"/>
  <c r="X101" i="74"/>
  <c r="Z101" i="74" s="1"/>
  <c r="R101" i="74"/>
  <c r="L77" i="79"/>
  <c r="N77" i="79" s="1"/>
  <c r="F77" i="79"/>
  <c r="X286" i="12"/>
  <c r="Z286" i="12" s="1"/>
  <c r="R286" i="12"/>
  <c r="Z91" i="73"/>
  <c r="V91" i="73"/>
  <c r="X91" i="73"/>
  <c r="J61" i="105"/>
  <c r="L61" i="105"/>
  <c r="N61" i="105" s="1"/>
  <c r="Z107" i="33"/>
  <c r="V107" i="33"/>
  <c r="X77" i="79"/>
  <c r="Z77" i="79" s="1"/>
  <c r="R77" i="79"/>
  <c r="V77" i="79"/>
  <c r="X84" i="89"/>
  <c r="Z84" i="89" s="1"/>
  <c r="R84" i="89"/>
  <c r="L86" i="76"/>
  <c r="N86" i="76" s="1"/>
  <c r="F86" i="76"/>
  <c r="L277" i="15"/>
  <c r="N277" i="15" s="1"/>
  <c r="F277" i="15"/>
  <c r="Z93" i="88"/>
  <c r="V93" i="88"/>
  <c r="N129" i="27"/>
  <c r="J129" i="27"/>
  <c r="X107" i="33"/>
  <c r="R107" i="33"/>
  <c r="N93" i="84"/>
  <c r="J93" i="84"/>
  <c r="Z332" i="3"/>
  <c r="V332" i="3"/>
  <c r="X118" i="77"/>
  <c r="Z118" i="77" s="1"/>
  <c r="R118" i="77"/>
  <c r="J76" i="101"/>
  <c r="L76" i="101"/>
  <c r="N76" i="101" s="1"/>
  <c r="N93" i="88"/>
  <c r="J93" i="88"/>
  <c r="X135" i="36"/>
  <c r="R135" i="36"/>
  <c r="X128" i="71"/>
  <c r="Z128" i="71" s="1"/>
  <c r="R128" i="71"/>
  <c r="Z80" i="48"/>
  <c r="V80" i="48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<sst xmlns="http://schemas.openxmlformats.org/spreadsheetml/2006/main" count="2948" uniqueCount="314">
  <si>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</si>
  <si>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</si>
  <si>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</si>
  <si>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</si>
  <si>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</si>
  <si>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</si>
  <si>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</si>
  <si>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</si>
  <si>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</si>
  <si>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</si>
  <si>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</si>
  <si>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</si>
  <si>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</si>
  <si>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</si>
  <si>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</si>
  <si>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</si>
  <si>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</si>
  <si>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</si>
  <si>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</si>
  <si>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</si>
  <si>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</si>
  <si>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</si>
  <si>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</si>
  <si>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</si>
  <si>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</si>
  <si>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</si>
  <si>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</si>
  <si>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</si>
  <si>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</si>
  <si>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</si>
  <si>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</si>
  <si>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</si>
  <si>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</si>
  <si>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</si>
  <si>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</si>
  <si>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</si>
  <si>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</si>
  <si>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</si>
  <si>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</si>
  <si>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</si>
  <si>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</si>
  <si>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</si>
  <si>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</si>
  <si>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</si>
  <si>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</si>
  <si>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</si>
  <si>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</si>
  <si>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</si>
  <si>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</si>
  <si>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</si>
  <si>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</si>
  <si>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</si>
  <si>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</si>
  <si>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</si>
  <si>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</si>
  <si>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</si>
  <si>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</si>
  <si>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</si>
  <si>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</si>
  <si>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</si>
  <si>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</si>
  <si>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</si>
  <si>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</si>
  <si>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</si>
  <si>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</si>
  <si>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</si>
  <si>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</si>
  <si>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</si>
  <si>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</si>
  <si>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</si>
  <si>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</si>
  <si>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</si>
  <si>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</si>
  <si>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</si>
  <si>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</si>
  <si>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</si>
  <si>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</si>
  <si>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</si>
  <si>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</si>
  <si>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</si>
  <si>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</si>
  <si>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</si>
  <si>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</si>
  <si>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</si>
  <si>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</si>
  <si>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</si>
  <si>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</si>
  <si>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</si>
  <si>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</si>
  <si>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</si>
  <si>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</si>
  <si>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</si>
  <si>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</si>
  <si>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</si>
  <si>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</si>
  <si>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</si>
  <si>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</si>
  <si>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</si>
  <si>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</si>
  <si>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</si>
  <si>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</si>
  <si>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</si>
  <si>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</si>
  <si>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</si>
  <si>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</si>
  <si>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</si>
  <si>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</si>
  <si>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</si>
  <si>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</si>
  <si>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</si>
  <si>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</si>
  <si>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</si>
  <si>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</si>
  <si>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</si>
  <si>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</si>
  <si>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</si>
  <si>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</si>
  <si>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</si>
  <si>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</si>
  <si>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</si>
  <si>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</si>
  <si>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</si>
  <si>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</si>
  <si>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</si>
  <si>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</si>
  <si>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</si>
  <si>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</si>
  <si>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</si>
  <si>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</si>
  <si>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</si>
  <si>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</si>
  <si>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</si>
  <si>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</si>
  <si>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</si>
  <si>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</si>
  <si>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</si>
  <si>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</si>
  <si>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</si>
  <si>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</si>
  <si>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</si>
  <si>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</si>
  <si>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</si>
  <si>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</si>
  <si>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</si>
  <si>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</si>
  <si>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</si>
  <si>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</si>
  <si>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</si>
  <si>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</si>
  <si>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</si>
  <si>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</si>
  <si>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</si>
  <si>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</si>
  <si>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</si>
  <si>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</si>
  <si>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</si>
  <si>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</si>
  <si>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</si>
  <si>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</si>
  <si>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</si>
  <si>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</si>
  <si>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</si>
  <si>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</si>
  <si>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</si>
  <si>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</si>
  <si>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</si>
  <si>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</si>
  <si>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</si>
  <si>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</si>
  <si>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</si>
  <si>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</si>
  <si>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</si>
  <si>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</si>
  <si>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</si>
  <si>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</si>
  <si>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</si>
  <si>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</si>
  <si>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</si>
  <si>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</si>
  <si>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</si>
  <si>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</si>
  <si>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</si>
  <si>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</si>
  <si>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</si>
  <si>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</si>
  <si>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</si>
  <si>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</si>
  <si>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</si>
  <si>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</si>
  <si>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</si>
  <si>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</si>
  <si>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</si>
  <si>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</si>
  <si>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</si>
  <si>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</si>
  <si>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</si>
  <si>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</si>
  <si>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</si>
  <si>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</si>
  <si>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</si>
  <si>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</si>
  <si>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</si>
  <si>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</si>
  <si>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</si>
  <si>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</si>
  <si>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</si>
  <si>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</si>
  <si>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</si>
  <si>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</si>
  <si>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</si>
  <si>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</si>
  <si>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</si>
  <si>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</si>
  <si>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</si>
  <si>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</si>
  <si>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</si>
  <si>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</si>
  <si>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</si>
  <si>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</si>
  <si>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</si>
  <si>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</si>
  <si>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</si>
  <si>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</si>
  <si>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</si>
  <si>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</si>
  <si>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</si>
  <si>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</si>
  <si>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</si>
  <si>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</si>
  <si>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</si>
  <si>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</si>
  <si>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</si>
  <si>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</si>
  <si>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</si>
  <si>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</si>
  <si>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</si>
  <si>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</si>
  <si>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</si>
  <si>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</si>
  <si>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</si>
  <si>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</si>
  <si>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</si>
  <si>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</si>
  <si>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</si>
  <si>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</si>
  <si>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</si>
  <si>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</si>
  <si>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</si>
  <si>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</si>
  <si>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</si>
  <si>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</si>
  <si>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</si>
  <si>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</si>
  <si>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</si>
  <si>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</si>
  <si>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</si>
  <si>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</si>
  <si>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</si>
  <si>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</si>
  <si>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</si>
  <si>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</si>
  <si>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</si>
  <si>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</si>
  <si>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</si>
  <si>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</si>
  <si>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</si>
  <si>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</si>
  <si>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</si>
  <si>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</si>
  <si>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</si>
  <si>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</si>
  <si>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</si>
  <si>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</si>
  <si>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</si>
  <si>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</si>
  <si>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</si>
  <si>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</si>
  <si>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</si>
  <si>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</si>
  <si>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</si>
  <si>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</si>
  <si>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</si>
  <si>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</si>
  <si>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</si>
  <si>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</si>
  <si>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</si>
  <si>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</si>
  <si>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</si>
  <si>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</si>
  <si>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</si>
  <si>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</si>
  <si>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</si>
  <si>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</si>
  <si>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</si>
  <si>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</si>
  <si>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</si>
  <si>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</si>
  <si>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</si>
  <si>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</si>
  <si>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</si>
  <si>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</si>
  <si>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</si>
  <si>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</si>
  <si>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</si>
  <si>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</si>
  <si>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</si>
  <si>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</si>
  <si>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</si>
  <si>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</si>
  <si>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</si>
  <si>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</si>
  <si>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</si>
  <si>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</si>
  <si>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49er.local\suriarte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</si>
</sst>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0" applyNumberFormat="1" applyFill="1"/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0" fontId="0" fillId="0" borderId="0" xfId="0" applyFill="1" applyAlignment="1">
      <alignment horizontal="centerContinuous"/>
    </xf>
    <xf numFmtId="0" fontId="0" fillId="0" borderId="0" xfId="0" applyBorder="1"/>
    <xf numFmtId="166" fontId="3" fillId="0" borderId="0" xfId="0" applyNumberFormat="1" applyFont="1" applyAlignment="1">
      <alignment horizontal="left"/>
    </xf>
    <xf numFmtId="0" fontId="2" fillId="0" borderId="0" xfId="0" applyFont="1" applyFill="1" applyBorder="1"/>
    <xf numFmtId="49" fontId="2" fillId="2" borderId="1" xfId="0" applyNumberFormat="1" applyFont="1" applyFill="1" applyBorder="1" applyAlignment="1">
      <alignment horizontal="center"/>
    </xf>
    <xf numFmtId="165" fontId="0" fillId="0" borderId="0" xfId="0" applyNumberFormat="1"/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Alignment="1">
      <alignment horizontal="left"/>
    </xf>
    <xf numFmtId="0" fontId="4" fillId="0" borderId="0" xfId="0" applyFont="1" applyFill="1"/>
    <xf numFmtId="0" fontId="5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229399.66</v>
      </c>
      <c r="E18" s="22"/>
      <c r="F18" s="35">
        <f t="shared" ref="F18:F30" si="0">IF(D$12=0,0,D18/D$12)</f>
        <v>0</v>
      </c>
      <c r="G18" s="22"/>
      <c r="H18" s="22">
        <f>SUM(OSRRefH22x_0)</f>
        <v>384697</v>
      </c>
      <c r="I18" s="22"/>
      <c r="J18" s="35">
        <f t="shared" ref="J18:J30" si="1">IF(H$12=0,0,H18/H$12)</f>
        <v>0</v>
      </c>
      <c r="K18" s="4"/>
      <c r="L18" s="22">
        <f t="shared" ref="L18:L30" si="2">+D18-H18</f>
        <v>-155297.34</v>
      </c>
      <c r="M18" s="4"/>
      <c r="N18" s="35">
        <f t="shared" ref="N18:N30" si="3">IF(H18=0,0,L18/H18)</f>
        <v>-0.40368742152915149</v>
      </c>
      <c r="O18" s="10"/>
      <c r="P18" s="22">
        <f>SUM(OSRRefP22x_0)</f>
        <v>3127384.56</v>
      </c>
      <c r="Q18" s="22"/>
      <c r="R18" s="35">
        <f t="shared" ref="R18:R30" si="4">IF(P$12=0,0,P18/P$12)</f>
        <v>0</v>
      </c>
      <c r="S18" s="22"/>
      <c r="T18" s="22">
        <f>SUM(OSRRefT22x_0)</f>
        <v>3355826.5</v>
      </c>
      <c r="U18" s="22"/>
      <c r="V18" s="35">
        <f t="shared" ref="V18:V30" si="5">IF(T$12=0,0,T18/T$12)</f>
        <v>0</v>
      </c>
      <c r="W18" s="4"/>
      <c r="X18" s="22">
        <f t="shared" ref="X18:X30" si="6">+P18-T18</f>
        <v>-228441.93999999994</v>
      </c>
      <c r="Y18" s="4"/>
      <c r="Z18" s="35">
        <f t="shared" ref="Z18:Z30" si="7">IF(T18=0,0,X18/T18)</f>
        <v>-6.8073227266069902E-2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45025.14</v>
      </c>
      <c r="E19" s="1"/>
      <c r="F19" s="5">
        <f t="shared" si="0"/>
        <v>0</v>
      </c>
      <c r="G19" s="1"/>
      <c r="H19" s="1">
        <f>SUM(OSRRefH22_0x_0)</f>
        <v>83286.52</v>
      </c>
      <c r="I19" s="1"/>
      <c r="J19" s="5">
        <f t="shared" si="1"/>
        <v>0</v>
      </c>
      <c r="K19" s="1"/>
      <c r="L19" s="1">
        <f t="shared" si="2"/>
        <v>-38261.380000000005</v>
      </c>
      <c r="M19" s="1"/>
      <c r="N19" s="5">
        <f t="shared" si="3"/>
        <v>-0.45939462952708315</v>
      </c>
      <c r="O19" s="13"/>
      <c r="P19" s="1">
        <f>SUM(OSRRefP22_0x_0)</f>
        <v>870769.05</v>
      </c>
      <c r="Q19" s="1"/>
      <c r="R19" s="5">
        <f t="shared" si="4"/>
        <v>0</v>
      </c>
      <c r="S19" s="1"/>
      <c r="T19" s="1">
        <f>SUM(OSRRefT22_0x_0)</f>
        <v>982597.45</v>
      </c>
      <c r="U19" s="1"/>
      <c r="V19" s="5">
        <f t="shared" si="5"/>
        <v>0</v>
      </c>
      <c r="W19" s="1"/>
      <c r="X19" s="1">
        <f t="shared" si="6"/>
        <v>-111828.39999999991</v>
      </c>
      <c r="Y19" s="1"/>
      <c r="Z19" s="5">
        <f t="shared" si="7"/>
        <v>-0.11380896622518195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10981.95</v>
      </c>
      <c r="E20" s="2"/>
      <c r="F20" s="7">
        <f t="shared" si="0"/>
        <v>0</v>
      </c>
      <c r="G20" s="2"/>
      <c r="H20" s="6">
        <v>10373.129999999999</v>
      </c>
      <c r="I20" s="2"/>
      <c r="J20" s="7">
        <f t="shared" si="1"/>
        <v>0</v>
      </c>
      <c r="K20" s="2"/>
      <c r="L20" s="6">
        <f t="shared" si="2"/>
        <v>608.82000000000153</v>
      </c>
      <c r="M20" s="2"/>
      <c r="N20" s="7">
        <f t="shared" si="3"/>
        <v>5.869202449019742E-2</v>
      </c>
      <c r="O20" s="11"/>
      <c r="P20" s="6">
        <v>98432.450000000012</v>
      </c>
      <c r="Q20" s="2"/>
      <c r="R20" s="7">
        <f t="shared" si="4"/>
        <v>0</v>
      </c>
      <c r="S20" s="2"/>
      <c r="T20" s="6">
        <v>99001.069999999992</v>
      </c>
      <c r="U20" s="2"/>
      <c r="V20" s="7">
        <f t="shared" si="5"/>
        <v>0</v>
      </c>
      <c r="W20" s="2"/>
      <c r="X20" s="6">
        <f t="shared" si="6"/>
        <v>-568.61999999998079</v>
      </c>
      <c r="Y20" s="2"/>
      <c r="Z20" s="7">
        <f t="shared" si="7"/>
        <v>-5.7435742866211534E-3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594.42999999999995</v>
      </c>
      <c r="E21" s="2"/>
      <c r="F21" s="7">
        <f t="shared" si="0"/>
        <v>0</v>
      </c>
      <c r="G21" s="2"/>
      <c r="H21" s="6">
        <v>619.36</v>
      </c>
      <c r="I21" s="2"/>
      <c r="J21" s="7">
        <f t="shared" si="1"/>
        <v>0</v>
      </c>
      <c r="K21" s="2"/>
      <c r="L21" s="6">
        <f t="shared" si="2"/>
        <v>-24.930000000000064</v>
      </c>
      <c r="M21" s="2"/>
      <c r="N21" s="7">
        <f t="shared" si="3"/>
        <v>-4.0251227073107826E-2</v>
      </c>
      <c r="O21" s="11"/>
      <c r="P21" s="6">
        <v>6764.85</v>
      </c>
      <c r="Q21" s="2"/>
      <c r="R21" s="7">
        <f t="shared" si="4"/>
        <v>0</v>
      </c>
      <c r="S21" s="2"/>
      <c r="T21" s="6">
        <v>5787.57</v>
      </c>
      <c r="U21" s="2"/>
      <c r="V21" s="7">
        <f t="shared" si="5"/>
        <v>0</v>
      </c>
      <c r="W21" s="2"/>
      <c r="X21" s="6">
        <f t="shared" si="6"/>
        <v>977.28000000000065</v>
      </c>
      <c r="Y21" s="2"/>
      <c r="Z21" s="7">
        <f t="shared" si="7"/>
        <v>0.16885843281377169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22589.05</v>
      </c>
      <c r="E22" s="2"/>
      <c r="F22" s="7">
        <f t="shared" si="0"/>
        <v>0</v>
      </c>
      <c r="G22" s="2"/>
      <c r="H22" s="6">
        <v>27142.78</v>
      </c>
      <c r="I22" s="2"/>
      <c r="J22" s="7">
        <f t="shared" si="1"/>
        <v>0</v>
      </c>
      <c r="K22" s="2"/>
      <c r="L22" s="6">
        <f t="shared" si="2"/>
        <v>-4553.7299999999996</v>
      </c>
      <c r="M22" s="2"/>
      <c r="N22" s="7">
        <f t="shared" si="3"/>
        <v>-0.16776947681851306</v>
      </c>
      <c r="O22" s="11"/>
      <c r="P22" s="6">
        <v>230571.75</v>
      </c>
      <c r="Q22" s="2"/>
      <c r="R22" s="7">
        <f t="shared" si="4"/>
        <v>0</v>
      </c>
      <c r="S22" s="2"/>
      <c r="T22" s="6">
        <v>267500.17</v>
      </c>
      <c r="U22" s="2"/>
      <c r="V22" s="7">
        <f t="shared" si="5"/>
        <v>0</v>
      </c>
      <c r="W22" s="2"/>
      <c r="X22" s="6">
        <f t="shared" si="6"/>
        <v>-36928.419999999984</v>
      </c>
      <c r="Y22" s="2"/>
      <c r="Z22" s="7">
        <f t="shared" si="7"/>
        <v>-0.13805008049153758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251.56</v>
      </c>
      <c r="E23" s="2"/>
      <c r="F23" s="7">
        <f t="shared" si="0"/>
        <v>0</v>
      </c>
      <c r="G23" s="2"/>
      <c r="H23" s="6">
        <v>377.64</v>
      </c>
      <c r="I23" s="2"/>
      <c r="J23" s="7">
        <f t="shared" si="1"/>
        <v>0</v>
      </c>
      <c r="K23" s="2"/>
      <c r="L23" s="6">
        <f t="shared" si="2"/>
        <v>-126.07999999999998</v>
      </c>
      <c r="M23" s="2"/>
      <c r="N23" s="7">
        <f t="shared" si="3"/>
        <v>-0.3338629382480669</v>
      </c>
      <c r="O23" s="11"/>
      <c r="P23" s="6">
        <v>3858.23</v>
      </c>
      <c r="Q23" s="2"/>
      <c r="R23" s="7">
        <f t="shared" si="4"/>
        <v>0</v>
      </c>
      <c r="S23" s="2"/>
      <c r="T23" s="6">
        <v>3975.56</v>
      </c>
      <c r="U23" s="2"/>
      <c r="V23" s="7">
        <f t="shared" si="5"/>
        <v>0</v>
      </c>
      <c r="W23" s="2"/>
      <c r="X23" s="6">
        <f t="shared" si="6"/>
        <v>-117.32999999999993</v>
      </c>
      <c r="Y23" s="2"/>
      <c r="Z23" s="7">
        <f t="shared" si="7"/>
        <v>-2.9512823350672592E-2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8300.35</v>
      </c>
      <c r="E24" s="2"/>
      <c r="F24" s="7">
        <f t="shared" si="0"/>
        <v>0</v>
      </c>
      <c r="G24" s="2"/>
      <c r="H24" s="6">
        <v>8916.35</v>
      </c>
      <c r="I24" s="2"/>
      <c r="J24" s="7">
        <f t="shared" si="1"/>
        <v>0</v>
      </c>
      <c r="K24" s="2"/>
      <c r="L24" s="6">
        <f t="shared" si="2"/>
        <v>-616</v>
      </c>
      <c r="M24" s="2"/>
      <c r="N24" s="7">
        <f t="shared" si="3"/>
        <v>-6.9086565691117999E-2</v>
      </c>
      <c r="O24" s="11"/>
      <c r="P24" s="6">
        <v>87585.709999999992</v>
      </c>
      <c r="Q24" s="2"/>
      <c r="R24" s="7">
        <f t="shared" si="4"/>
        <v>0</v>
      </c>
      <c r="S24" s="2"/>
      <c r="T24" s="6">
        <v>96592.67</v>
      </c>
      <c r="U24" s="2"/>
      <c r="V24" s="7">
        <f t="shared" si="5"/>
        <v>0</v>
      </c>
      <c r="W24" s="2"/>
      <c r="X24" s="6">
        <f t="shared" si="6"/>
        <v>-9006.9600000000064</v>
      </c>
      <c r="Y24" s="2"/>
      <c r="Z24" s="7">
        <f t="shared" si="7"/>
        <v>-9.3246827114314229E-2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5070.88</v>
      </c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2619.48</v>
      </c>
      <c r="Y25" s="2"/>
      <c r="Z25" s="7">
        <f t="shared" si="7"/>
        <v>1.0685649016888308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1515.82</v>
      </c>
      <c r="E26" s="2"/>
      <c r="F26" s="7">
        <f t="shared" si="0"/>
        <v>0</v>
      </c>
      <c r="G26" s="2"/>
      <c r="H26" s="6">
        <v>824.15</v>
      </c>
      <c r="I26" s="2"/>
      <c r="J26" s="7">
        <f t="shared" si="1"/>
        <v>0</v>
      </c>
      <c r="K26" s="2"/>
      <c r="L26" s="6">
        <f t="shared" si="2"/>
        <v>691.67</v>
      </c>
      <c r="M26" s="2"/>
      <c r="N26" s="7">
        <f t="shared" si="3"/>
        <v>0.83925256324698172</v>
      </c>
      <c r="O26" s="11"/>
      <c r="P26" s="6">
        <v>8857.26</v>
      </c>
      <c r="Q26" s="2"/>
      <c r="R26" s="7">
        <f t="shared" si="4"/>
        <v>0</v>
      </c>
      <c r="S26" s="2"/>
      <c r="T26" s="6">
        <v>3603.65</v>
      </c>
      <c r="U26" s="2"/>
      <c r="V26" s="7">
        <f t="shared" si="5"/>
        <v>0</v>
      </c>
      <c r="W26" s="2"/>
      <c r="X26" s="6">
        <f t="shared" si="6"/>
        <v>5253.6100000000006</v>
      </c>
      <c r="Y26" s="2"/>
      <c r="Z26" s="7">
        <f t="shared" si="7"/>
        <v>1.4578580050781846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9284.11</v>
      </c>
      <c r="E27" s="2"/>
      <c r="F27" s="7">
        <f t="shared" si="0"/>
        <v>0</v>
      </c>
      <c r="G27" s="2"/>
      <c r="H27" s="6">
        <v>8293.2000000000007</v>
      </c>
      <c r="I27" s="2"/>
      <c r="J27" s="7">
        <f t="shared" si="1"/>
        <v>0</v>
      </c>
      <c r="K27" s="2"/>
      <c r="L27" s="6">
        <f t="shared" si="2"/>
        <v>990.90999999999985</v>
      </c>
      <c r="M27" s="2"/>
      <c r="N27" s="7">
        <f t="shared" si="3"/>
        <v>0.11948463801668835</v>
      </c>
      <c r="O27" s="11"/>
      <c r="P27" s="6">
        <v>87773.42</v>
      </c>
      <c r="Q27" s="2"/>
      <c r="R27" s="7">
        <f t="shared" si="4"/>
        <v>0</v>
      </c>
      <c r="S27" s="2"/>
      <c r="T27" s="6">
        <v>93360.22</v>
      </c>
      <c r="U27" s="2"/>
      <c r="V27" s="7">
        <f t="shared" si="5"/>
        <v>0</v>
      </c>
      <c r="W27" s="2"/>
      <c r="X27" s="6">
        <f t="shared" si="6"/>
        <v>-5586.8000000000029</v>
      </c>
      <c r="Y27" s="2"/>
      <c r="Z27" s="7">
        <f t="shared" si="7"/>
        <v>-5.9841332850329644E-2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-31174.780000000002</v>
      </c>
      <c r="E28" s="2"/>
      <c r="F28" s="7">
        <f t="shared" si="0"/>
        <v>0</v>
      </c>
      <c r="G28" s="2"/>
      <c r="H28" s="6">
        <v>-5150.3900000000003</v>
      </c>
      <c r="I28" s="2"/>
      <c r="J28" s="7">
        <f t="shared" si="1"/>
        <v>0</v>
      </c>
      <c r="K28" s="2"/>
      <c r="L28" s="6">
        <f t="shared" si="2"/>
        <v>-26024.390000000003</v>
      </c>
      <c r="M28" s="2"/>
      <c r="N28" s="7">
        <f t="shared" si="3"/>
        <v>5.0528969650841979</v>
      </c>
      <c r="O28" s="11"/>
      <c r="P28" s="6">
        <v>32357.48</v>
      </c>
      <c r="Q28" s="2"/>
      <c r="R28" s="7">
        <f t="shared" si="4"/>
        <v>0</v>
      </c>
      <c r="S28" s="2"/>
      <c r="T28" s="6">
        <v>58131.740000000005</v>
      </c>
      <c r="U28" s="2"/>
      <c r="V28" s="7">
        <f t="shared" si="5"/>
        <v>0</v>
      </c>
      <c r="W28" s="2"/>
      <c r="X28" s="6">
        <f t="shared" si="6"/>
        <v>-25774.260000000006</v>
      </c>
      <c r="Y28" s="2"/>
      <c r="Z28" s="7">
        <f t="shared" si="7"/>
        <v>-0.44337671640312165</v>
      </c>
    </row>
    <row r="29" spans="1:26" s="24" customFormat="1" hidden="1" outlineLevel="2" x14ac:dyDescent="0.25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6">
        <v>22595.15</v>
      </c>
      <c r="E29" s="2"/>
      <c r="F29" s="7">
        <f t="shared" si="0"/>
        <v>0</v>
      </c>
      <c r="G29" s="2"/>
      <c r="H29" s="6">
        <v>29242.240000000002</v>
      </c>
      <c r="I29" s="2"/>
      <c r="J29" s="7">
        <f t="shared" si="1"/>
        <v>0</v>
      </c>
      <c r="K29" s="2"/>
      <c r="L29" s="6">
        <f t="shared" si="2"/>
        <v>-6647.09</v>
      </c>
      <c r="M29" s="2"/>
      <c r="N29" s="7">
        <f t="shared" si="3"/>
        <v>-0.22731124565012803</v>
      </c>
      <c r="O29" s="11"/>
      <c r="P29" s="6">
        <v>287658.14</v>
      </c>
      <c r="Q29" s="2"/>
      <c r="R29" s="7">
        <f t="shared" si="4"/>
        <v>0</v>
      </c>
      <c r="S29" s="2"/>
      <c r="T29" s="6">
        <v>326531.73</v>
      </c>
      <c r="U29" s="2"/>
      <c r="V29" s="7">
        <f t="shared" si="5"/>
        <v>0</v>
      </c>
      <c r="W29" s="2"/>
      <c r="X29" s="6">
        <f t="shared" si="6"/>
        <v>-38873.589999999967</v>
      </c>
      <c r="Y29" s="2"/>
      <c r="Z29" s="7">
        <f t="shared" si="7"/>
        <v>-0.11904996185209925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6">
        <v>87.5</v>
      </c>
      <c r="E30" s="2"/>
      <c r="F30" s="7">
        <f t="shared" si="0"/>
        <v>0</v>
      </c>
      <c r="G30" s="2"/>
      <c r="H30" s="6">
        <v>2648.06</v>
      </c>
      <c r="I30" s="2"/>
      <c r="J30" s="7">
        <f t="shared" si="1"/>
        <v>0</v>
      </c>
      <c r="K30" s="2"/>
      <c r="L30" s="6">
        <f t="shared" si="2"/>
        <v>-2560.56</v>
      </c>
      <c r="M30" s="2"/>
      <c r="N30" s="7">
        <f t="shared" si="3"/>
        <v>-0.96695694206324634</v>
      </c>
      <c r="O30" s="11"/>
      <c r="P30" s="6">
        <v>21838.880000000001</v>
      </c>
      <c r="Q30" s="2"/>
      <c r="R30" s="7">
        <f t="shared" si="4"/>
        <v>0</v>
      </c>
      <c r="S30" s="2"/>
      <c r="T30" s="6">
        <v>25661.670000000002</v>
      </c>
      <c r="U30" s="2"/>
      <c r="V30" s="7">
        <f t="shared" si="5"/>
        <v>0</v>
      </c>
      <c r="W30" s="2"/>
      <c r="X30" s="6">
        <f t="shared" si="6"/>
        <v>-3822.7900000000009</v>
      </c>
      <c r="Y30" s="2"/>
      <c r="Z30" s="7">
        <f t="shared" si="7"/>
        <v>-0.14896887069313886</v>
      </c>
    </row>
    <row r="31" spans="1:26" s="25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90893.17</v>
      </c>
      <c r="E31" s="1"/>
      <c r="F31" s="5">
        <f t="shared" ref="F31:F38" si="8">IF(D$12=0,0,D31/D$12)</f>
        <v>0</v>
      </c>
      <c r="G31" s="1"/>
      <c r="H31" s="1">
        <f>SUM(OSRRefH22_1x_0)</f>
        <v>124107.11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-33213.94</v>
      </c>
      <c r="M31" s="1"/>
      <c r="N31" s="5">
        <f t="shared" ref="N31:N38" si="11">IF(H31=0,0,L31/H31)</f>
        <v>-0.26762318452182154</v>
      </c>
      <c r="O31" s="13"/>
      <c r="P31" s="1">
        <f>SUM(OSRRefP22_1x_0)</f>
        <v>1148313.8999999999</v>
      </c>
      <c r="Q31" s="1"/>
      <c r="R31" s="5">
        <f t="shared" ref="R31:R38" si="12">IF(P$12=0,0,P31/P$12)</f>
        <v>0</v>
      </c>
      <c r="S31" s="1"/>
      <c r="T31" s="1">
        <f>SUM(OSRRefT22_1x_0)</f>
        <v>1235288.8999999999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-86975</v>
      </c>
      <c r="Y31" s="1"/>
      <c r="Z31" s="5">
        <f t="shared" ref="Z31:Z38" si="15">IF(T31=0,0,X31/T31)</f>
        <v>-7.0408630725978361E-2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29663.710000000003</v>
      </c>
      <c r="E32" s="2"/>
      <c r="F32" s="7">
        <f t="shared" si="8"/>
        <v>0</v>
      </c>
      <c r="G32" s="2"/>
      <c r="H32" s="6">
        <v>36788.68</v>
      </c>
      <c r="I32" s="2"/>
      <c r="J32" s="7">
        <f t="shared" si="9"/>
        <v>0</v>
      </c>
      <c r="K32" s="2"/>
      <c r="L32" s="6">
        <f t="shared" si="10"/>
        <v>-7124.9699999999975</v>
      </c>
      <c r="M32" s="2"/>
      <c r="N32" s="7">
        <f t="shared" si="11"/>
        <v>-0.19367289068267732</v>
      </c>
      <c r="O32" s="11"/>
      <c r="P32" s="6">
        <v>251959.4</v>
      </c>
      <c r="Q32" s="2"/>
      <c r="R32" s="7">
        <f t="shared" si="12"/>
        <v>0</v>
      </c>
      <c r="S32" s="2"/>
      <c r="T32" s="6">
        <v>389415.33</v>
      </c>
      <c r="U32" s="2"/>
      <c r="V32" s="7">
        <f t="shared" si="13"/>
        <v>0</v>
      </c>
      <c r="W32" s="2"/>
      <c r="X32" s="6">
        <f t="shared" si="14"/>
        <v>-137455.93000000002</v>
      </c>
      <c r="Y32" s="2"/>
      <c r="Z32" s="7">
        <f t="shared" si="15"/>
        <v>-0.35298027429993578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41690.659999999996</v>
      </c>
      <c r="E33" s="2"/>
      <c r="F33" s="7">
        <f t="shared" si="8"/>
        <v>0</v>
      </c>
      <c r="G33" s="2"/>
      <c r="H33" s="6">
        <v>47255.729999999996</v>
      </c>
      <c r="I33" s="2"/>
      <c r="J33" s="7">
        <f t="shared" si="9"/>
        <v>0</v>
      </c>
      <c r="K33" s="2"/>
      <c r="L33" s="6">
        <f t="shared" si="10"/>
        <v>-5565.07</v>
      </c>
      <c r="M33" s="2"/>
      <c r="N33" s="7">
        <f t="shared" si="11"/>
        <v>-0.11776497791907987</v>
      </c>
      <c r="O33" s="11"/>
      <c r="P33" s="6">
        <v>492275.01</v>
      </c>
      <c r="Q33" s="2"/>
      <c r="R33" s="7">
        <f t="shared" si="12"/>
        <v>0</v>
      </c>
      <c r="S33" s="2"/>
      <c r="T33" s="6">
        <v>471533.57</v>
      </c>
      <c r="U33" s="2"/>
      <c r="V33" s="7">
        <f t="shared" si="13"/>
        <v>0</v>
      </c>
      <c r="W33" s="2"/>
      <c r="X33" s="6">
        <f t="shared" si="14"/>
        <v>20741.440000000002</v>
      </c>
      <c r="Y33" s="2"/>
      <c r="Z33" s="7">
        <f t="shared" si="15"/>
        <v>4.3987196924282615E-2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13540.12</v>
      </c>
      <c r="E34" s="2"/>
      <c r="F34" s="7">
        <f t="shared" si="8"/>
        <v>0</v>
      </c>
      <c r="G34" s="2"/>
      <c r="H34" s="6">
        <v>20085.190000000002</v>
      </c>
      <c r="I34" s="2"/>
      <c r="J34" s="7">
        <f t="shared" si="9"/>
        <v>0</v>
      </c>
      <c r="K34" s="2"/>
      <c r="L34" s="6">
        <f t="shared" si="10"/>
        <v>-6545.0700000000015</v>
      </c>
      <c r="M34" s="2"/>
      <c r="N34" s="7">
        <f t="shared" si="11"/>
        <v>-0.32586547600495691</v>
      </c>
      <c r="O34" s="11"/>
      <c r="P34" s="6">
        <v>219873.47</v>
      </c>
      <c r="Q34" s="2"/>
      <c r="R34" s="7">
        <f t="shared" si="12"/>
        <v>0</v>
      </c>
      <c r="S34" s="2"/>
      <c r="T34" s="6">
        <v>197248.19</v>
      </c>
      <c r="U34" s="2"/>
      <c r="V34" s="7">
        <f t="shared" si="13"/>
        <v>0</v>
      </c>
      <c r="W34" s="2"/>
      <c r="X34" s="6">
        <f t="shared" si="14"/>
        <v>22625.279999999999</v>
      </c>
      <c r="Y34" s="2"/>
      <c r="Z34" s="7">
        <f t="shared" si="15"/>
        <v>0.11470462669391288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10255.379999999999</v>
      </c>
      <c r="E35" s="2"/>
      <c r="F35" s="7">
        <f t="shared" si="8"/>
        <v>0</v>
      </c>
      <c r="G35" s="2"/>
      <c r="H35" s="6">
        <v>6618.9</v>
      </c>
      <c r="I35" s="2"/>
      <c r="J35" s="7">
        <f t="shared" si="9"/>
        <v>0</v>
      </c>
      <c r="K35" s="2"/>
      <c r="L35" s="6">
        <f t="shared" si="10"/>
        <v>3636.4799999999996</v>
      </c>
      <c r="M35" s="2"/>
      <c r="N35" s="7">
        <f t="shared" si="11"/>
        <v>0.5494085119883968</v>
      </c>
      <c r="O35" s="11"/>
      <c r="P35" s="6">
        <v>101290.78</v>
      </c>
      <c r="Q35" s="2"/>
      <c r="R35" s="7">
        <f t="shared" si="12"/>
        <v>0</v>
      </c>
      <c r="S35" s="2"/>
      <c r="T35" s="6">
        <v>78911.239999999991</v>
      </c>
      <c r="U35" s="2"/>
      <c r="V35" s="7">
        <f t="shared" si="13"/>
        <v>0</v>
      </c>
      <c r="W35" s="2"/>
      <c r="X35" s="6">
        <f t="shared" si="14"/>
        <v>22379.540000000008</v>
      </c>
      <c r="Y35" s="2"/>
      <c r="Z35" s="7">
        <f t="shared" si="15"/>
        <v>0.28360395806731731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3792.47</v>
      </c>
      <c r="I36" s="2"/>
      <c r="J36" s="7">
        <f t="shared" si="9"/>
        <v>0</v>
      </c>
      <c r="K36" s="2"/>
      <c r="L36" s="6">
        <f t="shared" si="10"/>
        <v>-3792.47</v>
      </c>
      <c r="M36" s="2"/>
      <c r="N36" s="7">
        <f t="shared" si="11"/>
        <v>-1</v>
      </c>
      <c r="O36" s="11"/>
      <c r="P36" s="6">
        <v>2361.4299999999998</v>
      </c>
      <c r="Q36" s="2"/>
      <c r="R36" s="7">
        <f t="shared" si="12"/>
        <v>0</v>
      </c>
      <c r="S36" s="2"/>
      <c r="T36" s="6">
        <v>14447.89</v>
      </c>
      <c r="U36" s="2"/>
      <c r="V36" s="7">
        <f t="shared" si="13"/>
        <v>0</v>
      </c>
      <c r="W36" s="2"/>
      <c r="X36" s="6">
        <f t="shared" si="14"/>
        <v>-12086.46</v>
      </c>
      <c r="Y36" s="2"/>
      <c r="Z36" s="7">
        <f t="shared" si="15"/>
        <v>-0.83655537244538825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-6242</v>
      </c>
      <c r="E37" s="2"/>
      <c r="F37" s="7">
        <f t="shared" si="8"/>
        <v>0</v>
      </c>
      <c r="G37" s="2"/>
      <c r="H37" s="6">
        <v>8951.14</v>
      </c>
      <c r="I37" s="2"/>
      <c r="J37" s="7">
        <f t="shared" si="9"/>
        <v>0</v>
      </c>
      <c r="K37" s="2"/>
      <c r="L37" s="6">
        <f t="shared" si="10"/>
        <v>-15193.14</v>
      </c>
      <c r="M37" s="2"/>
      <c r="N37" s="7">
        <f t="shared" si="11"/>
        <v>-1.6973413442310141</v>
      </c>
      <c r="O37" s="11"/>
      <c r="P37" s="6">
        <v>62823.01</v>
      </c>
      <c r="Q37" s="2"/>
      <c r="R37" s="7">
        <f t="shared" si="12"/>
        <v>0</v>
      </c>
      <c r="S37" s="2"/>
      <c r="T37" s="6">
        <v>81422.680000000008</v>
      </c>
      <c r="U37" s="2"/>
      <c r="V37" s="7">
        <f t="shared" si="13"/>
        <v>0</v>
      </c>
      <c r="W37" s="2"/>
      <c r="X37" s="6">
        <f t="shared" si="14"/>
        <v>-18599.670000000006</v>
      </c>
      <c r="Y37" s="2"/>
      <c r="Z37" s="7">
        <f t="shared" si="15"/>
        <v>-0.22843352736608527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>
        <v>1985.3</v>
      </c>
      <c r="E38" s="2"/>
      <c r="F38" s="7">
        <f t="shared" si="8"/>
        <v>0</v>
      </c>
      <c r="G38" s="2"/>
      <c r="H38" s="6">
        <v>615</v>
      </c>
      <c r="I38" s="2"/>
      <c r="J38" s="7">
        <f t="shared" si="9"/>
        <v>0</v>
      </c>
      <c r="K38" s="2"/>
      <c r="L38" s="6">
        <f t="shared" si="10"/>
        <v>1370.3</v>
      </c>
      <c r="M38" s="2"/>
      <c r="N38" s="7">
        <f t="shared" si="11"/>
        <v>2.2281300813008129</v>
      </c>
      <c r="O38" s="11"/>
      <c r="P38" s="6">
        <v>17730.8</v>
      </c>
      <c r="Q38" s="2"/>
      <c r="R38" s="7">
        <f t="shared" si="12"/>
        <v>0</v>
      </c>
      <c r="S38" s="2"/>
      <c r="T38" s="6">
        <v>2310</v>
      </c>
      <c r="U38" s="2"/>
      <c r="V38" s="7">
        <f t="shared" si="13"/>
        <v>0</v>
      </c>
      <c r="W38" s="2"/>
      <c r="X38" s="6">
        <f t="shared" si="14"/>
        <v>15420.8</v>
      </c>
      <c r="Y38" s="2"/>
      <c r="Z38" s="7">
        <f t="shared" si="15"/>
        <v>6.6756709956709956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1962.21</v>
      </c>
      <c r="E39" s="1"/>
      <c r="F39" s="5">
        <f t="shared" ref="F39:F47" si="16">IF(D$12=0,0,D39/D$12)</f>
        <v>0</v>
      </c>
      <c r="G39" s="1"/>
      <c r="H39" s="1">
        <f>SUM(OSRRefH22_2x_0)</f>
        <v>-4740.25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6702.46</v>
      </c>
      <c r="M39" s="1"/>
      <c r="N39" s="5">
        <f t="shared" ref="N39:N47" si="19">IF(H39=0,0,L39/H39)</f>
        <v>-1.4139465218079215</v>
      </c>
      <c r="O39" s="13"/>
      <c r="P39" s="1">
        <f>SUM(OSRRefP22_2x_0)</f>
        <v>-31554.339999999997</v>
      </c>
      <c r="Q39" s="1"/>
      <c r="R39" s="5">
        <f t="shared" ref="R39:R47" si="20">IF(P$12=0,0,P39/P$12)</f>
        <v>0</v>
      </c>
      <c r="S39" s="1"/>
      <c r="T39" s="1">
        <f>SUM(OSRRefT22_2x_0)</f>
        <v>-23721.47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-7832.8699999999953</v>
      </c>
      <c r="Y39" s="1"/>
      <c r="Z39" s="5">
        <f t="shared" ref="Z39:Z47" si="23">IF(T39=0,0,X39/T39)</f>
        <v>0.33020171178261698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6">
        <v>1962.21</v>
      </c>
      <c r="E40" s="2"/>
      <c r="F40" s="7">
        <f t="shared" si="16"/>
        <v>0</v>
      </c>
      <c r="G40" s="2"/>
      <c r="H40" s="6">
        <v>-4740.25</v>
      </c>
      <c r="I40" s="2"/>
      <c r="J40" s="7">
        <f t="shared" si="17"/>
        <v>0</v>
      </c>
      <c r="K40" s="2"/>
      <c r="L40" s="6">
        <f t="shared" si="18"/>
        <v>6702.46</v>
      </c>
      <c r="M40" s="2"/>
      <c r="N40" s="7">
        <f t="shared" si="19"/>
        <v>-1.4139465218079215</v>
      </c>
      <c r="O40" s="11"/>
      <c r="P40" s="6">
        <v>-31554.339999999997</v>
      </c>
      <c r="Q40" s="2"/>
      <c r="R40" s="7">
        <f t="shared" si="20"/>
        <v>0</v>
      </c>
      <c r="S40" s="2"/>
      <c r="T40" s="6">
        <v>-23721.47</v>
      </c>
      <c r="U40" s="2"/>
      <c r="V40" s="7">
        <f t="shared" si="21"/>
        <v>0</v>
      </c>
      <c r="W40" s="2"/>
      <c r="X40" s="6">
        <f t="shared" si="22"/>
        <v>-7832.8699999999953</v>
      </c>
      <c r="Y40" s="2"/>
      <c r="Z40" s="7">
        <f t="shared" si="23"/>
        <v>0.33020171178261698</v>
      </c>
    </row>
    <row r="41" spans="1:26" s="25" customFormat="1" outlineLevel="1" collapsed="1" x14ac:dyDescent="0.25">
      <c r="A41" s="26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12884.97</v>
      </c>
      <c r="E41" s="1"/>
      <c r="F41" s="5">
        <f t="shared" si="16"/>
        <v>0</v>
      </c>
      <c r="G41" s="1"/>
      <c r="H41" s="1">
        <f>SUM(OSRRefH22_3x_0)</f>
        <v>17566.38</v>
      </c>
      <c r="I41" s="1"/>
      <c r="J41" s="5">
        <f t="shared" si="17"/>
        <v>0</v>
      </c>
      <c r="K41" s="1"/>
      <c r="L41" s="1">
        <f t="shared" si="18"/>
        <v>-4681.4100000000017</v>
      </c>
      <c r="M41" s="1"/>
      <c r="N41" s="5">
        <f t="shared" si="19"/>
        <v>-0.2664982768219748</v>
      </c>
      <c r="O41" s="13"/>
      <c r="P41" s="1">
        <f>SUM(OSRRefP22_3x_0)</f>
        <v>53960.33</v>
      </c>
      <c r="Q41" s="1"/>
      <c r="R41" s="5">
        <f t="shared" si="20"/>
        <v>0</v>
      </c>
      <c r="S41" s="1"/>
      <c r="T41" s="1">
        <f>SUM(OSRRefT22_3x_0)</f>
        <v>59462.07</v>
      </c>
      <c r="U41" s="1"/>
      <c r="V41" s="5">
        <f t="shared" si="21"/>
        <v>0</v>
      </c>
      <c r="W41" s="1"/>
      <c r="X41" s="1">
        <f t="shared" si="22"/>
        <v>-5501.739999999998</v>
      </c>
      <c r="Y41" s="1"/>
      <c r="Z41" s="5">
        <f t="shared" si="23"/>
        <v>-9.2525201359454828E-2</v>
      </c>
    </row>
    <row r="42" spans="1:26" s="24" customFormat="1" hidden="1" outlineLevel="2" x14ac:dyDescent="0.25">
      <c r="A42" s="27"/>
      <c r="B42" s="11" t="str">
        <f>CONCATENATE("          ", "6381", " - ", "BANK/CREDIT CARD FEES")</f>
        <v xml:space="preserve">          6381 - BANK/CREDIT CARD FEES</v>
      </c>
      <c r="C42" s="11"/>
      <c r="D42" s="6">
        <v>12884.97</v>
      </c>
      <c r="E42" s="2"/>
      <c r="F42" s="7">
        <f t="shared" si="16"/>
        <v>0</v>
      </c>
      <c r="G42" s="2"/>
      <c r="H42" s="6">
        <v>17566.38</v>
      </c>
      <c r="I42" s="2"/>
      <c r="J42" s="7">
        <f t="shared" si="17"/>
        <v>0</v>
      </c>
      <c r="K42" s="2"/>
      <c r="L42" s="6">
        <f t="shared" si="18"/>
        <v>-4681.4100000000017</v>
      </c>
      <c r="M42" s="2"/>
      <c r="N42" s="7">
        <f t="shared" si="19"/>
        <v>-0.2664982768219748</v>
      </c>
      <c r="O42" s="11"/>
      <c r="P42" s="6">
        <v>53960.33</v>
      </c>
      <c r="Q42" s="2"/>
      <c r="R42" s="7">
        <f t="shared" si="20"/>
        <v>0</v>
      </c>
      <c r="S42" s="2"/>
      <c r="T42" s="6">
        <v>59462.07</v>
      </c>
      <c r="U42" s="2"/>
      <c r="V42" s="7">
        <f t="shared" si="21"/>
        <v>0</v>
      </c>
      <c r="W42" s="2"/>
      <c r="X42" s="6">
        <f t="shared" si="22"/>
        <v>-5501.739999999998</v>
      </c>
      <c r="Y42" s="2"/>
      <c r="Z42" s="7">
        <f t="shared" si="23"/>
        <v>-9.2525201359454828E-2</v>
      </c>
    </row>
    <row r="43" spans="1:26" s="25" customFormat="1" outlineLevel="1" collapsed="1" x14ac:dyDescent="0.25">
      <c r="A43" s="26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1240</v>
      </c>
      <c r="E43" s="1"/>
      <c r="F43" s="5">
        <f t="shared" si="16"/>
        <v>0</v>
      </c>
      <c r="G43" s="1"/>
      <c r="H43" s="1">
        <f>SUM(OSRRefH22_4x_0)</f>
        <v>16842.169999999998</v>
      </c>
      <c r="I43" s="1"/>
      <c r="J43" s="5">
        <f t="shared" si="17"/>
        <v>0</v>
      </c>
      <c r="K43" s="1"/>
      <c r="L43" s="1">
        <f t="shared" si="18"/>
        <v>-15602.169999999998</v>
      </c>
      <c r="M43" s="1"/>
      <c r="N43" s="5">
        <f t="shared" si="19"/>
        <v>-0.92637528299500593</v>
      </c>
      <c r="O43" s="13"/>
      <c r="P43" s="1">
        <f>SUM(OSRRefP22_4x_0)</f>
        <v>39742.71</v>
      </c>
      <c r="Q43" s="1"/>
      <c r="R43" s="5">
        <f t="shared" si="20"/>
        <v>0</v>
      </c>
      <c r="S43" s="1"/>
      <c r="T43" s="1">
        <f>SUM(OSRRefT22_4x_0)</f>
        <v>69010.17</v>
      </c>
      <c r="U43" s="1"/>
      <c r="V43" s="5">
        <f t="shared" si="21"/>
        <v>0</v>
      </c>
      <c r="W43" s="1"/>
      <c r="X43" s="1">
        <f t="shared" si="22"/>
        <v>-29267.46</v>
      </c>
      <c r="Y43" s="1"/>
      <c r="Z43" s="5">
        <f t="shared" si="23"/>
        <v>-0.42410357777701463</v>
      </c>
    </row>
    <row r="44" spans="1:26" s="24" customFormat="1" hidden="1" outlineLevel="2" x14ac:dyDescent="0.25">
      <c r="A44" s="27"/>
      <c r="B44" s="11" t="str">
        <f>CONCATENATE("          ", "6397", " - ", "BOARD EXPENSES")</f>
        <v xml:space="preserve">          6397 - BOARD EXPENSES</v>
      </c>
      <c r="C44" s="11"/>
      <c r="D44" s="6">
        <v>1240</v>
      </c>
      <c r="E44" s="2"/>
      <c r="F44" s="7">
        <f t="shared" si="16"/>
        <v>0</v>
      </c>
      <c r="G44" s="2"/>
      <c r="H44" s="6">
        <v>16842.169999999998</v>
      </c>
      <c r="I44" s="2"/>
      <c r="J44" s="7">
        <f t="shared" si="17"/>
        <v>0</v>
      </c>
      <c r="K44" s="2"/>
      <c r="L44" s="6">
        <f t="shared" si="18"/>
        <v>-15602.169999999998</v>
      </c>
      <c r="M44" s="2"/>
      <c r="N44" s="7">
        <f t="shared" si="19"/>
        <v>-0.92637528299500593</v>
      </c>
      <c r="O44" s="11"/>
      <c r="P44" s="6">
        <v>39742.71</v>
      </c>
      <c r="Q44" s="2"/>
      <c r="R44" s="7">
        <f t="shared" si="20"/>
        <v>0</v>
      </c>
      <c r="S44" s="2"/>
      <c r="T44" s="6">
        <v>69010.17</v>
      </c>
      <c r="U44" s="2"/>
      <c r="V44" s="7">
        <f t="shared" si="21"/>
        <v>0</v>
      </c>
      <c r="W44" s="2"/>
      <c r="X44" s="6">
        <f t="shared" si="22"/>
        <v>-29267.46</v>
      </c>
      <c r="Y44" s="2"/>
      <c r="Z44" s="7">
        <f t="shared" si="23"/>
        <v>-0.42410357777701463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7962.74</v>
      </c>
      <c r="E45" s="1"/>
      <c r="F45" s="5">
        <f t="shared" si="16"/>
        <v>0</v>
      </c>
      <c r="G45" s="1"/>
      <c r="H45" s="1">
        <f>SUM(OSRRefH22_5x_0)</f>
        <v>10293.85</v>
      </c>
      <c r="I45" s="1"/>
      <c r="J45" s="5">
        <f t="shared" si="17"/>
        <v>0</v>
      </c>
      <c r="K45" s="1"/>
      <c r="L45" s="1">
        <f t="shared" si="18"/>
        <v>-2331.1100000000006</v>
      </c>
      <c r="M45" s="1"/>
      <c r="N45" s="5">
        <f t="shared" si="19"/>
        <v>-0.22645657358519897</v>
      </c>
      <c r="O45" s="13"/>
      <c r="P45" s="1">
        <f>SUM(OSRRefP22_5x_0)</f>
        <v>85362.03</v>
      </c>
      <c r="Q45" s="1"/>
      <c r="R45" s="5">
        <f t="shared" si="20"/>
        <v>0</v>
      </c>
      <c r="S45" s="1"/>
      <c r="T45" s="1">
        <f>SUM(OSRRefT22_5x_0)</f>
        <v>102938.49999999999</v>
      </c>
      <c r="U45" s="1"/>
      <c r="V45" s="5">
        <f t="shared" si="21"/>
        <v>0</v>
      </c>
      <c r="W45" s="1"/>
      <c r="X45" s="1">
        <f t="shared" si="22"/>
        <v>-17576.469999999987</v>
      </c>
      <c r="Y45" s="1"/>
      <c r="Z45" s="5">
        <f t="shared" si="23"/>
        <v>-0.17074729085813364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7962.74</v>
      </c>
      <c r="E46" s="2"/>
      <c r="F46" s="7">
        <f t="shared" si="16"/>
        <v>0</v>
      </c>
      <c r="G46" s="2"/>
      <c r="H46" s="6">
        <v>9971.81</v>
      </c>
      <c r="I46" s="2"/>
      <c r="J46" s="7">
        <f t="shared" si="17"/>
        <v>0</v>
      </c>
      <c r="K46" s="2"/>
      <c r="L46" s="6">
        <f t="shared" si="18"/>
        <v>-2009.0699999999997</v>
      </c>
      <c r="M46" s="2"/>
      <c r="N46" s="7">
        <f t="shared" si="19"/>
        <v>-0.20147495790633796</v>
      </c>
      <c r="O46" s="11"/>
      <c r="P46" s="6">
        <v>85362.03</v>
      </c>
      <c r="Q46" s="2"/>
      <c r="R46" s="7">
        <f t="shared" si="20"/>
        <v>0</v>
      </c>
      <c r="S46" s="2"/>
      <c r="T46" s="6">
        <v>99718.099999999991</v>
      </c>
      <c r="U46" s="2"/>
      <c r="V46" s="7">
        <f t="shared" si="21"/>
        <v>0</v>
      </c>
      <c r="W46" s="2"/>
      <c r="X46" s="6">
        <f t="shared" si="22"/>
        <v>-14356.069999999992</v>
      </c>
      <c r="Y46" s="2"/>
      <c r="Z46" s="7">
        <f t="shared" si="23"/>
        <v>-0.14396654168099868</v>
      </c>
    </row>
    <row r="47" spans="1:26" s="24" customFormat="1" hidden="1" outlineLevel="2" x14ac:dyDescent="0.25">
      <c r="A47" s="27"/>
      <c r="B47" s="11" t="str">
        <f>CONCATENATE("          ", "6324", " - ", "FURNITURE + FIXT DEPRECIATION")</f>
        <v xml:space="preserve">          6324 - FURNITURE + FIXT DEPRECIATION</v>
      </c>
      <c r="C47" s="11"/>
      <c r="D47" s="6"/>
      <c r="E47" s="2"/>
      <c r="F47" s="7">
        <f t="shared" si="16"/>
        <v>0</v>
      </c>
      <c r="G47" s="2"/>
      <c r="H47" s="6">
        <v>322.04000000000002</v>
      </c>
      <c r="I47" s="2"/>
      <c r="J47" s="7">
        <f t="shared" si="17"/>
        <v>0</v>
      </c>
      <c r="K47" s="2"/>
      <c r="L47" s="6">
        <f t="shared" si="18"/>
        <v>-322.04000000000002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3220.4</v>
      </c>
      <c r="U47" s="2"/>
      <c r="V47" s="7">
        <f t="shared" si="21"/>
        <v>0</v>
      </c>
      <c r="W47" s="2"/>
      <c r="X47" s="6">
        <f t="shared" si="22"/>
        <v>-3220.4</v>
      </c>
      <c r="Y47" s="2"/>
      <c r="Z47" s="7">
        <f t="shared" si="23"/>
        <v>-1</v>
      </c>
    </row>
    <row r="48" spans="1:26" s="25" customFormat="1" outlineLevel="1" collapsed="1" x14ac:dyDescent="0.25">
      <c r="A48" s="26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0</v>
      </c>
      <c r="E48" s="1"/>
      <c r="F48" s="5">
        <f t="shared" ref="F48:F64" si="24">IF(D$12=0,0,D48/D$12)</f>
        <v>0</v>
      </c>
      <c r="G48" s="1"/>
      <c r="H48" s="1">
        <f>SUM(OSRRefH22_6x_0)</f>
        <v>6222.26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-6222.26</v>
      </c>
      <c r="M48" s="1"/>
      <c r="N48" s="5">
        <f t="shared" ref="N48:N64" si="27">IF(H48=0,0,L48/H48)</f>
        <v>-1</v>
      </c>
      <c r="O48" s="13"/>
      <c r="P48" s="1">
        <f>SUM(OSRRefP22_6x_0)</f>
        <v>248773.19</v>
      </c>
      <c r="Q48" s="1"/>
      <c r="R48" s="5">
        <f t="shared" ref="R48:R64" si="28">IF(P$12=0,0,P48/P$12)</f>
        <v>0</v>
      </c>
      <c r="S48" s="1"/>
      <c r="T48" s="1">
        <f>SUM(OSRRefT22_6x_0)</f>
        <v>152938.12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95835.07</v>
      </c>
      <c r="Y48" s="1"/>
      <c r="Z48" s="5">
        <f t="shared" ref="Z48:Z64" si="31">IF(T48=0,0,X48/T48)</f>
        <v>0.62662644211920493</v>
      </c>
    </row>
    <row r="49" spans="1:26" s="24" customFormat="1" hidden="1" outlineLevel="2" x14ac:dyDescent="0.25">
      <c r="A49" s="27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24"/>
        <v>0</v>
      </c>
      <c r="G49" s="2"/>
      <c r="H49" s="6">
        <v>6222.26</v>
      </c>
      <c r="I49" s="2"/>
      <c r="J49" s="7">
        <f t="shared" si="25"/>
        <v>0</v>
      </c>
      <c r="K49" s="2"/>
      <c r="L49" s="6">
        <f t="shared" si="26"/>
        <v>-6222.26</v>
      </c>
      <c r="M49" s="2"/>
      <c r="N49" s="7">
        <f t="shared" si="27"/>
        <v>-1</v>
      </c>
      <c r="O49" s="11"/>
      <c r="P49" s="6">
        <v>248773.19</v>
      </c>
      <c r="Q49" s="2"/>
      <c r="R49" s="7">
        <f t="shared" si="28"/>
        <v>0</v>
      </c>
      <c r="S49" s="2"/>
      <c r="T49" s="6">
        <v>152938.12</v>
      </c>
      <c r="U49" s="2"/>
      <c r="V49" s="7">
        <f t="shared" si="29"/>
        <v>0</v>
      </c>
      <c r="W49" s="2"/>
      <c r="X49" s="6">
        <f t="shared" si="30"/>
        <v>95835.07</v>
      </c>
      <c r="Y49" s="2"/>
      <c r="Z49" s="7">
        <f t="shared" si="31"/>
        <v>0.62662644211920493</v>
      </c>
    </row>
    <row r="50" spans="1:26" s="25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159.37</v>
      </c>
      <c r="E50" s="1"/>
      <c r="F50" s="5">
        <f t="shared" si="24"/>
        <v>0</v>
      </c>
      <c r="G50" s="1"/>
      <c r="H50" s="1">
        <f>SUM(OSRRefH22_7x_0)</f>
        <v>19159.04</v>
      </c>
      <c r="I50" s="1"/>
      <c r="J50" s="5">
        <f t="shared" si="25"/>
        <v>0</v>
      </c>
      <c r="K50" s="1"/>
      <c r="L50" s="1">
        <f t="shared" si="26"/>
        <v>-18999.670000000002</v>
      </c>
      <c r="M50" s="1"/>
      <c r="N50" s="5">
        <f t="shared" si="27"/>
        <v>-0.99168173353153399</v>
      </c>
      <c r="O50" s="13"/>
      <c r="P50" s="1">
        <f>SUM(OSRRefP22_7x_0)</f>
        <v>29556.05</v>
      </c>
      <c r="Q50" s="1"/>
      <c r="R50" s="5">
        <f t="shared" si="28"/>
        <v>0</v>
      </c>
      <c r="S50" s="1"/>
      <c r="T50" s="1">
        <f>SUM(OSRRefT22_7x_0)</f>
        <v>51546.239999999998</v>
      </c>
      <c r="U50" s="1"/>
      <c r="V50" s="5">
        <f t="shared" si="29"/>
        <v>0</v>
      </c>
      <c r="W50" s="1"/>
      <c r="X50" s="1">
        <f t="shared" si="30"/>
        <v>-21990.19</v>
      </c>
      <c r="Y50" s="1"/>
      <c r="Z50" s="5">
        <f t="shared" si="31"/>
        <v>-0.42661094194261306</v>
      </c>
    </row>
    <row r="51" spans="1:26" s="24" customFormat="1" hidden="1" outlineLevel="2" x14ac:dyDescent="0.25">
      <c r="A51" s="27"/>
      <c r="B51" s="11" t="str">
        <f>CONCATENATE("          ", "6277", " - ", "EMPLOYEE APPRECIATION")</f>
        <v xml:space="preserve">          6277 - EMPLOYEE APPRECIATION</v>
      </c>
      <c r="C51" s="11"/>
      <c r="D51" s="6">
        <v>159.37</v>
      </c>
      <c r="E51" s="2"/>
      <c r="F51" s="7">
        <f t="shared" si="24"/>
        <v>0</v>
      </c>
      <c r="G51" s="2"/>
      <c r="H51" s="6">
        <v>19159.04</v>
      </c>
      <c r="I51" s="2"/>
      <c r="J51" s="7">
        <f t="shared" si="25"/>
        <v>0</v>
      </c>
      <c r="K51" s="2"/>
      <c r="L51" s="6">
        <f t="shared" si="26"/>
        <v>-18999.670000000002</v>
      </c>
      <c r="M51" s="2"/>
      <c r="N51" s="7">
        <f t="shared" si="27"/>
        <v>-0.99168173353153399</v>
      </c>
      <c r="O51" s="11"/>
      <c r="P51" s="6">
        <v>29556.05</v>
      </c>
      <c r="Q51" s="2"/>
      <c r="R51" s="7">
        <f t="shared" si="28"/>
        <v>0</v>
      </c>
      <c r="S51" s="2"/>
      <c r="T51" s="6">
        <v>51546.239999999998</v>
      </c>
      <c r="U51" s="2"/>
      <c r="V51" s="7">
        <f t="shared" si="29"/>
        <v>0</v>
      </c>
      <c r="W51" s="2"/>
      <c r="X51" s="6">
        <f t="shared" si="30"/>
        <v>-21990.19</v>
      </c>
      <c r="Y51" s="2"/>
      <c r="Z51" s="7">
        <f t="shared" si="31"/>
        <v>-0.42661094194261306</v>
      </c>
    </row>
    <row r="52" spans="1:26" s="25" customFormat="1" outlineLevel="1" collapsed="1" x14ac:dyDescent="0.25">
      <c r="A52" s="26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208.98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-91.260000000000019</v>
      </c>
      <c r="M52" s="1"/>
      <c r="N52" s="5">
        <f t="shared" si="27"/>
        <v>-0.30395683453237415</v>
      </c>
      <c r="O52" s="13"/>
      <c r="P52" s="1">
        <f>SUM(OSRRefP22_8x_0)</f>
        <v>2363.58</v>
      </c>
      <c r="Q52" s="1"/>
      <c r="R52" s="5">
        <f t="shared" si="28"/>
        <v>0</v>
      </c>
      <c r="S52" s="1"/>
      <c r="T52" s="1">
        <f>SUM(OSRRefT22_8x_0)</f>
        <v>3002.4</v>
      </c>
      <c r="U52" s="1"/>
      <c r="V52" s="5">
        <f t="shared" si="29"/>
        <v>0</v>
      </c>
      <c r="W52" s="1"/>
      <c r="X52" s="1">
        <f t="shared" si="30"/>
        <v>-638.82000000000016</v>
      </c>
      <c r="Y52" s="1"/>
      <c r="Z52" s="5">
        <f t="shared" si="31"/>
        <v>-0.21276978417266193</v>
      </c>
    </row>
    <row r="53" spans="1:26" s="24" customFormat="1" hidden="1" outlineLevel="2" x14ac:dyDescent="0.25">
      <c r="A53" s="27"/>
      <c r="B53" s="11" t="str">
        <f>CONCATENATE("          ", "6351", " - ", "EQUIPMENT RENTAL")</f>
        <v xml:space="preserve">          6351 - EQUIPMENT RENTAL</v>
      </c>
      <c r="C53" s="11"/>
      <c r="D53" s="6">
        <v>208.98</v>
      </c>
      <c r="E53" s="2"/>
      <c r="F53" s="7">
        <f t="shared" si="24"/>
        <v>0</v>
      </c>
      <c r="G53" s="2"/>
      <c r="H53" s="6">
        <v>300.24</v>
      </c>
      <c r="I53" s="2"/>
      <c r="J53" s="7">
        <f t="shared" si="25"/>
        <v>0</v>
      </c>
      <c r="K53" s="2"/>
      <c r="L53" s="6">
        <f t="shared" si="26"/>
        <v>-91.260000000000019</v>
      </c>
      <c r="M53" s="2"/>
      <c r="N53" s="7">
        <f t="shared" si="27"/>
        <v>-0.30395683453237415</v>
      </c>
      <c r="O53" s="11"/>
      <c r="P53" s="6">
        <v>2363.58</v>
      </c>
      <c r="Q53" s="2"/>
      <c r="R53" s="7">
        <f t="shared" si="28"/>
        <v>0</v>
      </c>
      <c r="S53" s="2"/>
      <c r="T53" s="6">
        <v>3002.4</v>
      </c>
      <c r="U53" s="2"/>
      <c r="V53" s="7">
        <f t="shared" si="29"/>
        <v>0</v>
      </c>
      <c r="W53" s="2"/>
      <c r="X53" s="6">
        <f t="shared" si="30"/>
        <v>-638.82000000000016</v>
      </c>
      <c r="Y53" s="2"/>
      <c r="Z53" s="7">
        <f t="shared" si="31"/>
        <v>-0.21276978417266193</v>
      </c>
    </row>
    <row r="54" spans="1:26" s="25" customFormat="1" outlineLevel="1" collapsed="1" x14ac:dyDescent="0.25">
      <c r="A54" s="26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SUM(OSRRefD22_9x_0)</f>
        <v>144.44999999999999</v>
      </c>
      <c r="E54" s="1"/>
      <c r="F54" s="5">
        <f t="shared" si="24"/>
        <v>0</v>
      </c>
      <c r="G54" s="1"/>
      <c r="H54" s="1">
        <f>SUM(OSRRefH22_9x_0)</f>
        <v>178.2</v>
      </c>
      <c r="I54" s="1"/>
      <c r="J54" s="5">
        <f t="shared" si="25"/>
        <v>0</v>
      </c>
      <c r="K54" s="1"/>
      <c r="L54" s="1">
        <f t="shared" si="26"/>
        <v>-33.75</v>
      </c>
      <c r="M54" s="1"/>
      <c r="N54" s="5">
        <f t="shared" si="27"/>
        <v>-0.18939393939393939</v>
      </c>
      <c r="O54" s="13"/>
      <c r="P54" s="1">
        <f>SUM(OSRRefP22_9x_0)</f>
        <v>2500.66</v>
      </c>
      <c r="Q54" s="1"/>
      <c r="R54" s="5">
        <f t="shared" si="28"/>
        <v>0</v>
      </c>
      <c r="S54" s="1"/>
      <c r="T54" s="1">
        <f>SUM(OSRRefT22_9x_0)</f>
        <v>2890.19</v>
      </c>
      <c r="U54" s="1"/>
      <c r="V54" s="5">
        <f t="shared" si="29"/>
        <v>0</v>
      </c>
      <c r="W54" s="1"/>
      <c r="X54" s="1">
        <f t="shared" si="30"/>
        <v>-389.5300000000002</v>
      </c>
      <c r="Y54" s="1"/>
      <c r="Z54" s="5">
        <f t="shared" si="31"/>
        <v>-0.13477660638227942</v>
      </c>
    </row>
    <row r="55" spans="1:26" s="24" customFormat="1" hidden="1" outlineLevel="2" x14ac:dyDescent="0.25">
      <c r="A55" s="27"/>
      <c r="B55" s="11" t="str">
        <f>CONCATENATE("          ", "6307", " - ", "POSTAGE")</f>
        <v xml:space="preserve">          6307 - POSTAGE</v>
      </c>
      <c r="C55" s="11"/>
      <c r="D55" s="6">
        <v>144.44999999999999</v>
      </c>
      <c r="E55" s="2"/>
      <c r="F55" s="7">
        <f t="shared" si="24"/>
        <v>0</v>
      </c>
      <c r="G55" s="2"/>
      <c r="H55" s="6">
        <v>178.2</v>
      </c>
      <c r="I55" s="2"/>
      <c r="J55" s="7">
        <f t="shared" si="25"/>
        <v>0</v>
      </c>
      <c r="K55" s="2"/>
      <c r="L55" s="6">
        <f t="shared" si="26"/>
        <v>-33.75</v>
      </c>
      <c r="M55" s="2"/>
      <c r="N55" s="7">
        <f t="shared" si="27"/>
        <v>-0.18939393939393939</v>
      </c>
      <c r="O55" s="11"/>
      <c r="P55" s="6">
        <v>2500.66</v>
      </c>
      <c r="Q55" s="2"/>
      <c r="R55" s="7">
        <f t="shared" si="28"/>
        <v>0</v>
      </c>
      <c r="S55" s="2"/>
      <c r="T55" s="6">
        <v>2890.19</v>
      </c>
      <c r="U55" s="2"/>
      <c r="V55" s="7">
        <f t="shared" si="29"/>
        <v>0</v>
      </c>
      <c r="W55" s="2"/>
      <c r="X55" s="6">
        <f t="shared" si="30"/>
        <v>-389.5300000000002</v>
      </c>
      <c r="Y55" s="2"/>
      <c r="Z55" s="7">
        <f t="shared" si="31"/>
        <v>-0.13477660638227942</v>
      </c>
    </row>
    <row r="56" spans="1:26" s="25" customFormat="1" outlineLevel="1" collapsed="1" x14ac:dyDescent="0.25">
      <c r="A56" s="26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0</v>
      </c>
      <c r="E56" s="1"/>
      <c r="F56" s="5">
        <f t="shared" si="24"/>
        <v>0</v>
      </c>
      <c r="G56" s="1"/>
      <c r="H56" s="1">
        <f>SUM(OSRRefH22_10x_0)</f>
        <v>3261.94</v>
      </c>
      <c r="I56" s="1"/>
      <c r="J56" s="5">
        <f t="shared" si="25"/>
        <v>0</v>
      </c>
      <c r="K56" s="1"/>
      <c r="L56" s="1">
        <f t="shared" si="26"/>
        <v>-3261.94</v>
      </c>
      <c r="M56" s="1"/>
      <c r="N56" s="5">
        <f t="shared" si="27"/>
        <v>-1</v>
      </c>
      <c r="O56" s="13"/>
      <c r="P56" s="1">
        <f>SUM(OSRRefP22_10x_0)</f>
        <v>14594.69</v>
      </c>
      <c r="Q56" s="1"/>
      <c r="R56" s="5">
        <f t="shared" si="28"/>
        <v>0</v>
      </c>
      <c r="S56" s="1"/>
      <c r="T56" s="1">
        <f>SUM(OSRRefT22_10x_0)</f>
        <v>24695.46</v>
      </c>
      <c r="U56" s="1"/>
      <c r="V56" s="5">
        <f t="shared" si="29"/>
        <v>0</v>
      </c>
      <c r="W56" s="1"/>
      <c r="X56" s="1">
        <f t="shared" si="30"/>
        <v>-10100.769999999999</v>
      </c>
      <c r="Y56" s="1"/>
      <c r="Z56" s="5">
        <f t="shared" si="31"/>
        <v>-0.40901323563116454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24"/>
        <v>0</v>
      </c>
      <c r="G57" s="2"/>
      <c r="H57" s="6">
        <v>3261.94</v>
      </c>
      <c r="I57" s="2"/>
      <c r="J57" s="7">
        <f t="shared" si="25"/>
        <v>0</v>
      </c>
      <c r="K57" s="2"/>
      <c r="L57" s="6">
        <f t="shared" si="26"/>
        <v>-3261.94</v>
      </c>
      <c r="M57" s="2"/>
      <c r="N57" s="7">
        <f t="shared" si="27"/>
        <v>-1</v>
      </c>
      <c r="O57" s="11"/>
      <c r="P57" s="6">
        <v>14594.69</v>
      </c>
      <c r="Q57" s="2"/>
      <c r="R57" s="7">
        <f t="shared" si="28"/>
        <v>0</v>
      </c>
      <c r="S57" s="2"/>
      <c r="T57" s="6">
        <v>24695.46</v>
      </c>
      <c r="U57" s="2"/>
      <c r="V57" s="7">
        <f t="shared" si="29"/>
        <v>0</v>
      </c>
      <c r="W57" s="2"/>
      <c r="X57" s="6">
        <f t="shared" si="30"/>
        <v>-10100.769999999999</v>
      </c>
      <c r="Y57" s="2"/>
      <c r="Z57" s="7">
        <f t="shared" si="31"/>
        <v>-0.40901323563116454</v>
      </c>
    </row>
    <row r="58" spans="1:26" s="25" customFormat="1" outlineLevel="1" collapsed="1" x14ac:dyDescent="0.25">
      <c r="A58" s="26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370.89</v>
      </c>
      <c r="I58" s="1"/>
      <c r="J58" s="5">
        <f t="shared" si="25"/>
        <v>0</v>
      </c>
      <c r="K58" s="1"/>
      <c r="L58" s="1">
        <f t="shared" si="26"/>
        <v>22.78000000000003</v>
      </c>
      <c r="M58" s="1"/>
      <c r="N58" s="5">
        <f t="shared" si="27"/>
        <v>6.1419827981342261E-2</v>
      </c>
      <c r="O58" s="13"/>
      <c r="P58" s="1">
        <f>SUM(OSRRefP22_11x_0)</f>
        <v>3936.7</v>
      </c>
      <c r="Q58" s="1"/>
      <c r="R58" s="5">
        <f t="shared" si="28"/>
        <v>0</v>
      </c>
      <c r="S58" s="1"/>
      <c r="T58" s="1">
        <f>SUM(OSRRefT22_11x_0)</f>
        <v>3401.14</v>
      </c>
      <c r="U58" s="1"/>
      <c r="V58" s="5">
        <f t="shared" si="29"/>
        <v>0</v>
      </c>
      <c r="W58" s="1"/>
      <c r="X58" s="1">
        <f t="shared" si="30"/>
        <v>535.55999999999995</v>
      </c>
      <c r="Y58" s="1"/>
      <c r="Z58" s="5">
        <f t="shared" si="31"/>
        <v>0.15746485002087535</v>
      </c>
    </row>
    <row r="59" spans="1:26" s="24" customFormat="1" hidden="1" outlineLevel="2" x14ac:dyDescent="0.25">
      <c r="A59" s="27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370.89</v>
      </c>
      <c r="I59" s="2"/>
      <c r="J59" s="7">
        <f t="shared" si="25"/>
        <v>0</v>
      </c>
      <c r="K59" s="2"/>
      <c r="L59" s="6">
        <f t="shared" si="26"/>
        <v>22.78000000000003</v>
      </c>
      <c r="M59" s="2"/>
      <c r="N59" s="7">
        <f t="shared" si="27"/>
        <v>6.1419827981342261E-2</v>
      </c>
      <c r="O59" s="11"/>
      <c r="P59" s="6">
        <v>3936.7</v>
      </c>
      <c r="Q59" s="2"/>
      <c r="R59" s="7">
        <f t="shared" si="28"/>
        <v>0</v>
      </c>
      <c r="S59" s="2"/>
      <c r="T59" s="6">
        <v>3401.14</v>
      </c>
      <c r="U59" s="2"/>
      <c r="V59" s="7">
        <f t="shared" si="29"/>
        <v>0</v>
      </c>
      <c r="W59" s="2"/>
      <c r="X59" s="6">
        <f t="shared" si="30"/>
        <v>535.55999999999995</v>
      </c>
      <c r="Y59" s="2"/>
      <c r="Z59" s="7">
        <f t="shared" si="31"/>
        <v>0.15746485002087535</v>
      </c>
    </row>
    <row r="60" spans="1:26" s="25" customFormat="1" outlineLevel="1" collapsed="1" x14ac:dyDescent="0.25">
      <c r="A60" s="26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15642</v>
      </c>
      <c r="E60" s="1"/>
      <c r="F60" s="5">
        <f t="shared" si="24"/>
        <v>0</v>
      </c>
      <c r="G60" s="1"/>
      <c r="H60" s="1">
        <f>SUM(OSRRefH22_12x_0)</f>
        <v>39960.25</v>
      </c>
      <c r="I60" s="1"/>
      <c r="J60" s="5">
        <f t="shared" si="25"/>
        <v>0</v>
      </c>
      <c r="K60" s="1"/>
      <c r="L60" s="1">
        <f t="shared" si="26"/>
        <v>-24318.25</v>
      </c>
      <c r="M60" s="1"/>
      <c r="N60" s="5">
        <f t="shared" si="27"/>
        <v>-0.60856100750120434</v>
      </c>
      <c r="O60" s="13"/>
      <c r="P60" s="1">
        <f>SUM(OSRRefP22_12x_0)</f>
        <v>201991.25999999998</v>
      </c>
      <c r="Q60" s="1"/>
      <c r="R60" s="5">
        <f t="shared" si="28"/>
        <v>0</v>
      </c>
      <c r="S60" s="1"/>
      <c r="T60" s="1">
        <f>SUM(OSRRefT22_12x_0)</f>
        <v>193066.99000000002</v>
      </c>
      <c r="U60" s="1"/>
      <c r="V60" s="5">
        <f t="shared" si="29"/>
        <v>0</v>
      </c>
      <c r="W60" s="1"/>
      <c r="X60" s="1">
        <f t="shared" si="30"/>
        <v>8924.2699999999604</v>
      </c>
      <c r="Y60" s="1"/>
      <c r="Z60" s="5">
        <f t="shared" si="31"/>
        <v>4.6223696759347413E-2</v>
      </c>
    </row>
    <row r="61" spans="1:26" s="24" customFormat="1" hidden="1" outlineLevel="2" x14ac:dyDescent="0.25">
      <c r="A61" s="27"/>
      <c r="B61" s="11" t="str">
        <f>CONCATENATE("          ", "6331", " - ", "INDIRECT COSTS-AUXILIARY ORGAN")</f>
        <v xml:space="preserve">          6331 - INDIRECT COSTS-AUXILIARY ORGAN</v>
      </c>
      <c r="C61" s="11"/>
      <c r="D61" s="6">
        <v>11487</v>
      </c>
      <c r="E61" s="2"/>
      <c r="F61" s="7">
        <f t="shared" si="24"/>
        <v>0</v>
      </c>
      <c r="G61" s="2"/>
      <c r="H61" s="6">
        <v>11425.25</v>
      </c>
      <c r="I61" s="2"/>
      <c r="J61" s="7">
        <f t="shared" si="25"/>
        <v>0</v>
      </c>
      <c r="K61" s="2"/>
      <c r="L61" s="6">
        <f t="shared" si="26"/>
        <v>61.75</v>
      </c>
      <c r="M61" s="2"/>
      <c r="N61" s="7">
        <f t="shared" si="27"/>
        <v>5.4046957396993505E-3</v>
      </c>
      <c r="O61" s="11"/>
      <c r="P61" s="6">
        <v>91723</v>
      </c>
      <c r="Q61" s="2"/>
      <c r="R61" s="7">
        <f t="shared" si="28"/>
        <v>0</v>
      </c>
      <c r="S61" s="2"/>
      <c r="T61" s="6">
        <v>90326</v>
      </c>
      <c r="U61" s="2"/>
      <c r="V61" s="7">
        <f t="shared" si="29"/>
        <v>0</v>
      </c>
      <c r="W61" s="2"/>
      <c r="X61" s="6">
        <f t="shared" si="30"/>
        <v>1397</v>
      </c>
      <c r="Y61" s="2"/>
      <c r="Z61" s="7">
        <f t="shared" si="31"/>
        <v>1.5466200208134977E-2</v>
      </c>
    </row>
    <row r="62" spans="1:26" s="24" customFormat="1" hidden="1" outlineLevel="2" x14ac:dyDescent="0.25">
      <c r="A62" s="27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>
        <v>24950</v>
      </c>
      <c r="I62" s="2"/>
      <c r="J62" s="7">
        <f t="shared" si="25"/>
        <v>0</v>
      </c>
      <c r="K62" s="2"/>
      <c r="L62" s="6">
        <f t="shared" si="26"/>
        <v>-24950</v>
      </c>
      <c r="M62" s="2"/>
      <c r="N62" s="7">
        <f t="shared" si="27"/>
        <v>-1</v>
      </c>
      <c r="O62" s="11"/>
      <c r="P62" s="6">
        <v>36894.74</v>
      </c>
      <c r="Q62" s="2"/>
      <c r="R62" s="7">
        <f t="shared" si="28"/>
        <v>0</v>
      </c>
      <c r="S62" s="2"/>
      <c r="T62" s="6">
        <v>83412.5</v>
      </c>
      <c r="U62" s="2"/>
      <c r="V62" s="7">
        <f t="shared" si="29"/>
        <v>0</v>
      </c>
      <c r="W62" s="2"/>
      <c r="X62" s="6">
        <f t="shared" si="30"/>
        <v>-46517.760000000002</v>
      </c>
      <c r="Y62" s="2"/>
      <c r="Z62" s="7">
        <f t="shared" si="31"/>
        <v>-0.55768332084519712</v>
      </c>
    </row>
    <row r="63" spans="1:26" s="24" customFormat="1" hidden="1" outlineLevel="2" x14ac:dyDescent="0.25">
      <c r="A63" s="27"/>
      <c r="B63" s="11" t="str">
        <f>CONCATENATE("          ", "6334", " - ", "LEGAL COUNCIL EXPENSE")</f>
        <v xml:space="preserve">          6334 - LEGAL COUNCIL EXPENSE</v>
      </c>
      <c r="C63" s="11"/>
      <c r="D63" s="6"/>
      <c r="E63" s="2"/>
      <c r="F63" s="7">
        <f t="shared" si="24"/>
        <v>0</v>
      </c>
      <c r="G63" s="2"/>
      <c r="H63" s="6">
        <v>1260</v>
      </c>
      <c r="I63" s="2"/>
      <c r="J63" s="7">
        <f t="shared" si="25"/>
        <v>0</v>
      </c>
      <c r="K63" s="2"/>
      <c r="L63" s="6">
        <f t="shared" si="26"/>
        <v>-1260</v>
      </c>
      <c r="M63" s="2"/>
      <c r="N63" s="7">
        <f t="shared" si="27"/>
        <v>-1</v>
      </c>
      <c r="O63" s="11"/>
      <c r="P63" s="6">
        <v>39175</v>
      </c>
      <c r="Q63" s="2"/>
      <c r="R63" s="7">
        <f t="shared" si="28"/>
        <v>0</v>
      </c>
      <c r="S63" s="2"/>
      <c r="T63" s="6">
        <v>2942.79</v>
      </c>
      <c r="U63" s="2"/>
      <c r="V63" s="7">
        <f t="shared" si="29"/>
        <v>0</v>
      </c>
      <c r="W63" s="2"/>
      <c r="X63" s="6">
        <f t="shared" si="30"/>
        <v>36232.21</v>
      </c>
      <c r="Y63" s="2"/>
      <c r="Z63" s="7">
        <f t="shared" si="31"/>
        <v>12.31219692876488</v>
      </c>
    </row>
    <row r="64" spans="1:26" s="24" customFormat="1" hidden="1" outlineLevel="2" x14ac:dyDescent="0.25">
      <c r="A64" s="27"/>
      <c r="B64" s="11" t="str">
        <f>CONCATENATE("          ", "6336", " - ", "PROFESSIONAL SERVICES")</f>
        <v xml:space="preserve">          6336 - PROFESSIONAL SERVICES</v>
      </c>
      <c r="C64" s="11"/>
      <c r="D64" s="6">
        <v>4155</v>
      </c>
      <c r="E64" s="2"/>
      <c r="F64" s="7">
        <f t="shared" si="24"/>
        <v>0</v>
      </c>
      <c r="G64" s="2"/>
      <c r="H64" s="6">
        <v>2325</v>
      </c>
      <c r="I64" s="2"/>
      <c r="J64" s="7">
        <f t="shared" si="25"/>
        <v>0</v>
      </c>
      <c r="K64" s="2"/>
      <c r="L64" s="6">
        <f t="shared" si="26"/>
        <v>1830</v>
      </c>
      <c r="M64" s="2"/>
      <c r="N64" s="7">
        <f t="shared" si="27"/>
        <v>0.7870967741935484</v>
      </c>
      <c r="O64" s="11"/>
      <c r="P64" s="6">
        <v>34198.519999999997</v>
      </c>
      <c r="Q64" s="2"/>
      <c r="R64" s="7">
        <f t="shared" si="28"/>
        <v>0</v>
      </c>
      <c r="S64" s="2"/>
      <c r="T64" s="6">
        <v>16385.7</v>
      </c>
      <c r="U64" s="2"/>
      <c r="V64" s="7">
        <f t="shared" si="29"/>
        <v>0</v>
      </c>
      <c r="W64" s="2"/>
      <c r="X64" s="6">
        <f t="shared" si="30"/>
        <v>17812.819999999996</v>
      </c>
      <c r="Y64" s="2"/>
      <c r="Z64" s="7">
        <f t="shared" si="31"/>
        <v>1.0870954551834828</v>
      </c>
    </row>
    <row r="65" spans="1:26" s="25" customFormat="1" outlineLevel="1" collapsed="1" x14ac:dyDescent="0.25">
      <c r="A65" s="26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34563.730000000003</v>
      </c>
      <c r="E65" s="1"/>
      <c r="F65" s="5">
        <f t="shared" ref="F65:F69" si="32">IF(D$12=0,0,D65/D$12)</f>
        <v>0</v>
      </c>
      <c r="G65" s="1"/>
      <c r="H65" s="1">
        <f>SUM(OSRRefH22_13x_0)</f>
        <v>28350.309999999998</v>
      </c>
      <c r="I65" s="1"/>
      <c r="J65" s="5">
        <f t="shared" ref="J65:J69" si="33">IF(H$12=0,0,H65/H$12)</f>
        <v>0</v>
      </c>
      <c r="K65" s="1"/>
      <c r="L65" s="1">
        <f t="shared" ref="L65:L69" si="34">+D65-H65</f>
        <v>6213.4200000000055</v>
      </c>
      <c r="M65" s="1"/>
      <c r="N65" s="5">
        <f t="shared" ref="N65:N69" si="35">IF(H65=0,0,L65/H65)</f>
        <v>0.21916585744565073</v>
      </c>
      <c r="O65" s="13"/>
      <c r="P65" s="1">
        <f>SUM(OSRRefP22_13x_0)</f>
        <v>314127.30000000005</v>
      </c>
      <c r="Q65" s="1"/>
      <c r="R65" s="5">
        <f t="shared" ref="R65:R69" si="36">IF(P$12=0,0,P65/P$12)</f>
        <v>0</v>
      </c>
      <c r="S65" s="1"/>
      <c r="T65" s="1">
        <f>SUM(OSRRefT22_13x_0)</f>
        <v>310075.51000000007</v>
      </c>
      <c r="U65" s="1"/>
      <c r="V65" s="5">
        <f t="shared" ref="V65:V69" si="37">IF(T$12=0,0,T65/T$12)</f>
        <v>0</v>
      </c>
      <c r="W65" s="1"/>
      <c r="X65" s="1">
        <f t="shared" ref="X65:X69" si="38">+P65-T65</f>
        <v>4051.789999999979</v>
      </c>
      <c r="Y65" s="1"/>
      <c r="Z65" s="5">
        <f t="shared" ref="Z65:Z69" si="39">IF(T65=0,0,X65/T65)</f>
        <v>1.3067107428122841E-2</v>
      </c>
    </row>
    <row r="66" spans="1:26" s="24" customFormat="1" hidden="1" outlineLevel="2" x14ac:dyDescent="0.25">
      <c r="A66" s="27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20181.34</v>
      </c>
      <c r="E66" s="2"/>
      <c r="F66" s="7">
        <f t="shared" si="32"/>
        <v>0</v>
      </c>
      <c r="G66" s="2"/>
      <c r="H66" s="6">
        <v>13121.41</v>
      </c>
      <c r="I66" s="2"/>
      <c r="J66" s="7">
        <f t="shared" si="33"/>
        <v>0</v>
      </c>
      <c r="K66" s="2"/>
      <c r="L66" s="6">
        <f t="shared" si="34"/>
        <v>7059.93</v>
      </c>
      <c r="M66" s="2"/>
      <c r="N66" s="7">
        <f t="shared" si="35"/>
        <v>0.53804659712637593</v>
      </c>
      <c r="O66" s="11"/>
      <c r="P66" s="6">
        <v>166953.18</v>
      </c>
      <c r="Q66" s="2"/>
      <c r="R66" s="7">
        <f t="shared" si="36"/>
        <v>0</v>
      </c>
      <c r="S66" s="2"/>
      <c r="T66" s="6">
        <v>159452.73000000001</v>
      </c>
      <c r="U66" s="2"/>
      <c r="V66" s="7">
        <f t="shared" si="37"/>
        <v>0</v>
      </c>
      <c r="W66" s="2"/>
      <c r="X66" s="6">
        <f t="shared" si="38"/>
        <v>7500.4499999999825</v>
      </c>
      <c r="Y66" s="2"/>
      <c r="Z66" s="7">
        <f t="shared" si="39"/>
        <v>4.7038705452079638E-2</v>
      </c>
    </row>
    <row r="67" spans="1:26" s="24" customFormat="1" hidden="1" outlineLevel="2" x14ac:dyDescent="0.25">
      <c r="A67" s="27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/>
      <c r="Q67" s="2"/>
      <c r="R67" s="7">
        <f t="shared" si="36"/>
        <v>0</v>
      </c>
      <c r="S67" s="2"/>
      <c r="T67" s="6">
        <v>321.92</v>
      </c>
      <c r="U67" s="2"/>
      <c r="V67" s="7">
        <f t="shared" si="37"/>
        <v>0</v>
      </c>
      <c r="W67" s="2"/>
      <c r="X67" s="6">
        <f t="shared" si="38"/>
        <v>-321.92</v>
      </c>
      <c r="Y67" s="2"/>
      <c r="Z67" s="7">
        <f t="shared" si="39"/>
        <v>-1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13925.32</v>
      </c>
      <c r="E68" s="2"/>
      <c r="F68" s="7">
        <f t="shared" si="32"/>
        <v>0</v>
      </c>
      <c r="G68" s="2"/>
      <c r="H68" s="6">
        <v>13921.46</v>
      </c>
      <c r="I68" s="2"/>
      <c r="J68" s="7">
        <f t="shared" si="33"/>
        <v>0</v>
      </c>
      <c r="K68" s="2"/>
      <c r="L68" s="6">
        <f t="shared" si="34"/>
        <v>3.8600000000005821</v>
      </c>
      <c r="M68" s="2"/>
      <c r="N68" s="7">
        <f t="shared" si="35"/>
        <v>2.7726976911908539E-4</v>
      </c>
      <c r="O68" s="11"/>
      <c r="P68" s="6">
        <v>143546.86000000002</v>
      </c>
      <c r="Q68" s="2"/>
      <c r="R68" s="7">
        <f t="shared" si="36"/>
        <v>0</v>
      </c>
      <c r="S68" s="2"/>
      <c r="T68" s="6">
        <v>141476.30000000002</v>
      </c>
      <c r="U68" s="2"/>
      <c r="V68" s="7">
        <f t="shared" si="37"/>
        <v>0</v>
      </c>
      <c r="W68" s="2"/>
      <c r="X68" s="6">
        <f t="shared" si="38"/>
        <v>2070.5599999999977</v>
      </c>
      <c r="Y68" s="2"/>
      <c r="Z68" s="7">
        <f t="shared" si="39"/>
        <v>1.4635384159749706E-2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457.07</v>
      </c>
      <c r="E69" s="2"/>
      <c r="F69" s="7">
        <f t="shared" si="32"/>
        <v>0</v>
      </c>
      <c r="G69" s="2"/>
      <c r="H69" s="6">
        <v>1307.44</v>
      </c>
      <c r="I69" s="2"/>
      <c r="J69" s="7">
        <f t="shared" si="33"/>
        <v>0</v>
      </c>
      <c r="K69" s="2"/>
      <c r="L69" s="6">
        <f t="shared" si="34"/>
        <v>-850.37000000000012</v>
      </c>
      <c r="M69" s="2"/>
      <c r="N69" s="7">
        <f t="shared" si="35"/>
        <v>-0.65040843174447782</v>
      </c>
      <c r="O69" s="11"/>
      <c r="P69" s="6">
        <v>3627.26</v>
      </c>
      <c r="Q69" s="2"/>
      <c r="R69" s="7">
        <f t="shared" si="36"/>
        <v>0</v>
      </c>
      <c r="S69" s="2"/>
      <c r="T69" s="6">
        <v>8824.56</v>
      </c>
      <c r="U69" s="2"/>
      <c r="V69" s="7">
        <f t="shared" si="37"/>
        <v>0</v>
      </c>
      <c r="W69" s="2"/>
      <c r="X69" s="6">
        <f t="shared" si="38"/>
        <v>-5197.2999999999993</v>
      </c>
      <c r="Y69" s="2"/>
      <c r="Z69" s="7">
        <f t="shared" si="39"/>
        <v>-0.58895854297551375</v>
      </c>
    </row>
    <row r="70" spans="1:26" s="25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SUM(OSRRefD22_14x_0)</f>
        <v>1024.96</v>
      </c>
      <c r="E70" s="1"/>
      <c r="F70" s="5">
        <f t="shared" ref="F70:F72" si="40">IF(D$12=0,0,D70/D$12)</f>
        <v>0</v>
      </c>
      <c r="G70" s="1"/>
      <c r="H70" s="1">
        <f>SUM(OSRRefH22_14x_0)</f>
        <v>702.42000000000007</v>
      </c>
      <c r="I70" s="1"/>
      <c r="J70" s="5">
        <f t="shared" ref="J70:J72" si="41">IF(H$12=0,0,H70/H$12)</f>
        <v>0</v>
      </c>
      <c r="K70" s="1"/>
      <c r="L70" s="1">
        <f t="shared" ref="L70:L72" si="42">+D70-H70</f>
        <v>322.53999999999996</v>
      </c>
      <c r="M70" s="1"/>
      <c r="N70" s="5">
        <f t="shared" ref="N70:N72" si="43">IF(H70=0,0,L70/H70)</f>
        <v>0.45918396401013628</v>
      </c>
      <c r="O70" s="13"/>
      <c r="P70" s="1">
        <f>SUM(OSRRefP22_14x_0)</f>
        <v>10538.91</v>
      </c>
      <c r="Q70" s="1"/>
      <c r="R70" s="5">
        <f t="shared" ref="R70:R72" si="44">IF(P$12=0,0,P70/P$12)</f>
        <v>0</v>
      </c>
      <c r="S70" s="1"/>
      <c r="T70" s="1">
        <f>SUM(OSRRefT22_14x_0)</f>
        <v>7203.39</v>
      </c>
      <c r="U70" s="1"/>
      <c r="V70" s="5">
        <f t="shared" ref="V70:V72" si="45">IF(T$12=0,0,T70/T$12)</f>
        <v>0</v>
      </c>
      <c r="W70" s="1"/>
      <c r="X70" s="1">
        <f t="shared" ref="X70:X72" si="46">+P70-T70</f>
        <v>3335.5199999999995</v>
      </c>
      <c r="Y70" s="1"/>
      <c r="Z70" s="5">
        <f t="shared" ref="Z70:Z72" si="47">IF(T70=0,0,X70/T70)</f>
        <v>0.463048647928267</v>
      </c>
    </row>
    <row r="71" spans="1:26" s="24" customFormat="1" hidden="1" outlineLevel="2" x14ac:dyDescent="0.25">
      <c r="A71" s="27"/>
      <c r="B71" s="11" t="str">
        <f>CONCATENATE("          ", "6281", " - ", "STORAGE FEE")</f>
        <v xml:space="preserve">          6281 - STORAGE FEE</v>
      </c>
      <c r="C71" s="11"/>
      <c r="D71" s="6">
        <v>1024.96</v>
      </c>
      <c r="E71" s="2"/>
      <c r="F71" s="7">
        <f t="shared" si="40"/>
        <v>0</v>
      </c>
      <c r="G71" s="2"/>
      <c r="H71" s="6">
        <v>674.1</v>
      </c>
      <c r="I71" s="2"/>
      <c r="J71" s="7">
        <f t="shared" si="41"/>
        <v>0</v>
      </c>
      <c r="K71" s="2"/>
      <c r="L71" s="6">
        <f t="shared" si="42"/>
        <v>350.86</v>
      </c>
      <c r="M71" s="2"/>
      <c r="N71" s="7">
        <f t="shared" si="43"/>
        <v>0.52048657469218218</v>
      </c>
      <c r="O71" s="11"/>
      <c r="P71" s="6">
        <v>10454.93</v>
      </c>
      <c r="Q71" s="2"/>
      <c r="R71" s="7">
        <f t="shared" si="44"/>
        <v>0</v>
      </c>
      <c r="S71" s="2"/>
      <c r="T71" s="6">
        <v>7118.43</v>
      </c>
      <c r="U71" s="2"/>
      <c r="V71" s="7">
        <f t="shared" si="45"/>
        <v>0</v>
      </c>
      <c r="W71" s="2"/>
      <c r="X71" s="6">
        <f t="shared" si="46"/>
        <v>3336.5</v>
      </c>
      <c r="Y71" s="2"/>
      <c r="Z71" s="7">
        <f t="shared" si="47"/>
        <v>0.46871290439043439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6"/>
      <c r="E72" s="2"/>
      <c r="F72" s="7">
        <f t="shared" si="40"/>
        <v>0</v>
      </c>
      <c r="G72" s="2"/>
      <c r="H72" s="6">
        <v>28.32</v>
      </c>
      <c r="I72" s="2"/>
      <c r="J72" s="7">
        <f t="shared" si="41"/>
        <v>0</v>
      </c>
      <c r="K72" s="2"/>
      <c r="L72" s="6">
        <f t="shared" si="42"/>
        <v>-28.32</v>
      </c>
      <c r="M72" s="2"/>
      <c r="N72" s="7">
        <f t="shared" si="43"/>
        <v>-1</v>
      </c>
      <c r="O72" s="11"/>
      <c r="P72" s="6">
        <v>83.98</v>
      </c>
      <c r="Q72" s="2"/>
      <c r="R72" s="7">
        <f t="shared" si="44"/>
        <v>0</v>
      </c>
      <c r="S72" s="2"/>
      <c r="T72" s="6">
        <v>84.96</v>
      </c>
      <c r="U72" s="2"/>
      <c r="V72" s="7">
        <f t="shared" si="45"/>
        <v>0</v>
      </c>
      <c r="W72" s="2"/>
      <c r="X72" s="6">
        <f t="shared" si="46"/>
        <v>-0.97999999999998977</v>
      </c>
      <c r="Y72" s="2"/>
      <c r="Z72" s="7">
        <f t="shared" si="47"/>
        <v>-1.1534839924670314E-2</v>
      </c>
    </row>
    <row r="73" spans="1:26" s="25" customFormat="1" outlineLevel="1" collapsed="1" x14ac:dyDescent="0.25">
      <c r="A73" s="26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SUM(OSRRefD22_15x_0)</f>
        <v>6218</v>
      </c>
      <c r="E73" s="1"/>
      <c r="F73" s="5">
        <f t="shared" ref="F73:F75" si="48">IF(D$12=0,0,D73/D$12)</f>
        <v>0</v>
      </c>
      <c r="G73" s="1"/>
      <c r="H73" s="1">
        <f>SUM(OSRRefH22_15x_0)</f>
        <v>1750</v>
      </c>
      <c r="I73" s="1"/>
      <c r="J73" s="5">
        <f t="shared" ref="J73:J75" si="49">IF(H$12=0,0,H73/H$12)</f>
        <v>0</v>
      </c>
      <c r="K73" s="1"/>
      <c r="L73" s="1">
        <f t="shared" ref="L73:L75" si="50">+D73-H73</f>
        <v>4468</v>
      </c>
      <c r="M73" s="1"/>
      <c r="N73" s="5">
        <f t="shared" ref="N73:N75" si="51">IF(H73=0,0,L73/H73)</f>
        <v>2.5531428571428569</v>
      </c>
      <c r="O73" s="13"/>
      <c r="P73" s="1">
        <f>SUM(OSRRefP22_15x_0)</f>
        <v>8639</v>
      </c>
      <c r="Q73" s="1"/>
      <c r="R73" s="5">
        <f t="shared" ref="R73:R75" si="52">IF(P$12=0,0,P73/P$12)</f>
        <v>0</v>
      </c>
      <c r="S73" s="1"/>
      <c r="T73" s="1">
        <f>SUM(OSRRefT22_15x_0)</f>
        <v>11955.01</v>
      </c>
      <c r="U73" s="1"/>
      <c r="V73" s="5">
        <f t="shared" ref="V73:V75" si="53">IF(T$12=0,0,T73/T$12)</f>
        <v>0</v>
      </c>
      <c r="W73" s="1"/>
      <c r="X73" s="1">
        <f t="shared" ref="X73:X75" si="54">+P73-T73</f>
        <v>-3316.01</v>
      </c>
      <c r="Y73" s="1"/>
      <c r="Z73" s="5">
        <f t="shared" ref="Z73:Z75" si="55">IF(T73=0,0,X73/T73)</f>
        <v>-0.27737408835291649</v>
      </c>
    </row>
    <row r="74" spans="1:26" s="24" customFormat="1" hidden="1" outlineLevel="2" x14ac:dyDescent="0.25">
      <c r="A74" s="27"/>
      <c r="B74" s="11" t="str">
        <f>CONCATENATE("          ", "6258", " - ", "MEMBERSHIP DUES")</f>
        <v xml:space="preserve">          6258 - MEMBERSHIP DUES</v>
      </c>
      <c r="C74" s="11"/>
      <c r="D74" s="6">
        <v>6218</v>
      </c>
      <c r="E74" s="2"/>
      <c r="F74" s="7">
        <f t="shared" si="48"/>
        <v>0</v>
      </c>
      <c r="G74" s="2"/>
      <c r="H74" s="6">
        <v>1750</v>
      </c>
      <c r="I74" s="2"/>
      <c r="J74" s="7">
        <f t="shared" si="49"/>
        <v>0</v>
      </c>
      <c r="K74" s="2"/>
      <c r="L74" s="6">
        <f t="shared" si="50"/>
        <v>4468</v>
      </c>
      <c r="M74" s="2"/>
      <c r="N74" s="7">
        <f t="shared" si="51"/>
        <v>2.5531428571428569</v>
      </c>
      <c r="O74" s="11"/>
      <c r="P74" s="6">
        <v>8639</v>
      </c>
      <c r="Q74" s="2"/>
      <c r="R74" s="7">
        <f t="shared" si="52"/>
        <v>0</v>
      </c>
      <c r="S74" s="2"/>
      <c r="T74" s="6">
        <v>10069</v>
      </c>
      <c r="U74" s="2"/>
      <c r="V74" s="7">
        <f t="shared" si="53"/>
        <v>0</v>
      </c>
      <c r="W74" s="2"/>
      <c r="X74" s="6">
        <f t="shared" si="54"/>
        <v>-1430</v>
      </c>
      <c r="Y74" s="2"/>
      <c r="Z74" s="7">
        <f t="shared" si="55"/>
        <v>-0.14202006157513158</v>
      </c>
    </row>
    <row r="75" spans="1:26" s="24" customFormat="1" hidden="1" outlineLevel="2" x14ac:dyDescent="0.25">
      <c r="A75" s="27"/>
      <c r="B75" s="11" t="str">
        <f>CONCATENATE("          ", "6275", " - ", "SUBSCRIPTIONS")</f>
        <v xml:space="preserve">          6275 - SUBSCRIPTIONS</v>
      </c>
      <c r="C75" s="11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1"/>
      <c r="P75" s="6"/>
      <c r="Q75" s="2"/>
      <c r="R75" s="7">
        <f t="shared" si="52"/>
        <v>0</v>
      </c>
      <c r="S75" s="2"/>
      <c r="T75" s="6">
        <v>1886.01</v>
      </c>
      <c r="U75" s="2"/>
      <c r="V75" s="7">
        <f t="shared" si="53"/>
        <v>0</v>
      </c>
      <c r="W75" s="2"/>
      <c r="X75" s="6">
        <f t="shared" si="54"/>
        <v>-1886.01</v>
      </c>
      <c r="Y75" s="2"/>
      <c r="Z75" s="7">
        <f t="shared" si="55"/>
        <v>-1</v>
      </c>
    </row>
    <row r="76" spans="1:26" s="25" customFormat="1" outlineLevel="1" collapsed="1" x14ac:dyDescent="0.25">
      <c r="A76" s="26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SUM(OSRRefD22_16x_0)</f>
        <v>8165.7699999999995</v>
      </c>
      <c r="E76" s="1"/>
      <c r="F76" s="5">
        <f t="shared" ref="F76:F81" si="56">IF(D$12=0,0,D76/D$12)</f>
        <v>0</v>
      </c>
      <c r="G76" s="1"/>
      <c r="H76" s="1">
        <f>SUM(OSRRefH22_16x_0)</f>
        <v>32476.800000000003</v>
      </c>
      <c r="I76" s="1"/>
      <c r="J76" s="5">
        <f t="shared" ref="J76:J81" si="57">IF(H$12=0,0,H76/H$12)</f>
        <v>0</v>
      </c>
      <c r="K76" s="1"/>
      <c r="L76" s="1">
        <f t="shared" ref="L76:L81" si="58">+D76-H76</f>
        <v>-24311.030000000002</v>
      </c>
      <c r="M76" s="1"/>
      <c r="N76" s="5">
        <f t="shared" ref="N76:N81" si="59">IF(H76=0,0,L76/H76)</f>
        <v>-0.74856605330574444</v>
      </c>
      <c r="O76" s="13"/>
      <c r="P76" s="1">
        <f>SUM(OSRRefP22_16x_0)</f>
        <v>63508.020000000004</v>
      </c>
      <c r="Q76" s="1"/>
      <c r="R76" s="5">
        <f t="shared" ref="R76:R81" si="60">IF(P$12=0,0,P76/P$12)</f>
        <v>0</v>
      </c>
      <c r="S76" s="1"/>
      <c r="T76" s="1">
        <f>SUM(OSRRefT22_16x_0)</f>
        <v>94967.69</v>
      </c>
      <c r="U76" s="1"/>
      <c r="V76" s="5">
        <f t="shared" ref="V76:V81" si="61">IF(T$12=0,0,T76/T$12)</f>
        <v>0</v>
      </c>
      <c r="W76" s="1"/>
      <c r="X76" s="1">
        <f t="shared" ref="X76:X81" si="62">+P76-T76</f>
        <v>-31459.67</v>
      </c>
      <c r="Y76" s="1"/>
      <c r="Z76" s="5">
        <f t="shared" ref="Z76:Z81" si="63">IF(T76=0,0,X76/T76)</f>
        <v>-0.33126708673234018</v>
      </c>
    </row>
    <row r="77" spans="1:26" s="24" customFormat="1" hidden="1" outlineLevel="2" x14ac:dyDescent="0.25">
      <c r="A77" s="27"/>
      <c r="B77" s="11" t="str">
        <f>CONCATENATE("          ", "6234", " - ", "EXPENDABLE SUPPLIES &amp; EQUIPMEN")</f>
        <v xml:space="preserve">          6234 - EXPENDABLE SUPPLIES &amp; EQUIPMEN</v>
      </c>
      <c r="C77" s="11"/>
      <c r="D77" s="6">
        <v>1550</v>
      </c>
      <c r="E77" s="2"/>
      <c r="F77" s="7">
        <f t="shared" si="56"/>
        <v>0</v>
      </c>
      <c r="G77" s="2"/>
      <c r="H77" s="6">
        <v>314.36</v>
      </c>
      <c r="I77" s="2"/>
      <c r="J77" s="7">
        <f t="shared" si="57"/>
        <v>0</v>
      </c>
      <c r="K77" s="2"/>
      <c r="L77" s="6">
        <f t="shared" si="58"/>
        <v>1235.6399999999999</v>
      </c>
      <c r="M77" s="2"/>
      <c r="N77" s="7">
        <f t="shared" si="59"/>
        <v>3.9306527548034094</v>
      </c>
      <c r="O77" s="11"/>
      <c r="P77" s="6">
        <v>2773.61</v>
      </c>
      <c r="Q77" s="2"/>
      <c r="R77" s="7">
        <f t="shared" si="60"/>
        <v>0</v>
      </c>
      <c r="S77" s="2"/>
      <c r="T77" s="6">
        <v>5576.41</v>
      </c>
      <c r="U77" s="2"/>
      <c r="V77" s="7">
        <f t="shared" si="61"/>
        <v>0</v>
      </c>
      <c r="W77" s="2"/>
      <c r="X77" s="6">
        <f t="shared" si="62"/>
        <v>-2802.7999999999997</v>
      </c>
      <c r="Y77" s="2"/>
      <c r="Z77" s="7">
        <f t="shared" si="63"/>
        <v>-0.50261727527208366</v>
      </c>
    </row>
    <row r="78" spans="1:26" s="24" customFormat="1" hidden="1" outlineLevel="2" x14ac:dyDescent="0.25">
      <c r="A78" s="27"/>
      <c r="B78" s="11" t="str">
        <f>CONCATENATE("          ", "6235", " - ", "COVID-19 EXPENSES")</f>
        <v xml:space="preserve">          6235 - COVID-19 EXPENSES</v>
      </c>
      <c r="C78" s="11"/>
      <c r="D78" s="6">
        <v>4960</v>
      </c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4960</v>
      </c>
      <c r="M78" s="2"/>
      <c r="N78" s="7">
        <f t="shared" si="59"/>
        <v>0</v>
      </c>
      <c r="O78" s="11"/>
      <c r="P78" s="6">
        <v>4960</v>
      </c>
      <c r="Q78" s="2"/>
      <c r="R78" s="7">
        <f t="shared" si="60"/>
        <v>0</v>
      </c>
      <c r="S78" s="2"/>
      <c r="T78" s="6"/>
      <c r="U78" s="2"/>
      <c r="V78" s="7">
        <f t="shared" si="61"/>
        <v>0</v>
      </c>
      <c r="W78" s="2"/>
      <c r="X78" s="6">
        <f t="shared" si="62"/>
        <v>4960</v>
      </c>
      <c r="Y78" s="2"/>
      <c r="Z78" s="7">
        <f t="shared" si="63"/>
        <v>0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6">
        <v>1731.49</v>
      </c>
      <c r="E79" s="2"/>
      <c r="F79" s="7">
        <f t="shared" si="56"/>
        <v>0</v>
      </c>
      <c r="G79" s="2"/>
      <c r="H79" s="6">
        <v>32037.180000000004</v>
      </c>
      <c r="I79" s="2"/>
      <c r="J79" s="7">
        <f t="shared" si="57"/>
        <v>0</v>
      </c>
      <c r="K79" s="2"/>
      <c r="L79" s="6">
        <f t="shared" si="58"/>
        <v>-30305.690000000002</v>
      </c>
      <c r="M79" s="2"/>
      <c r="N79" s="7">
        <f t="shared" si="59"/>
        <v>-0.94595373250704329</v>
      </c>
      <c r="O79" s="11"/>
      <c r="P79" s="6">
        <v>50494.87</v>
      </c>
      <c r="Q79" s="2"/>
      <c r="R79" s="7">
        <f t="shared" si="60"/>
        <v>0</v>
      </c>
      <c r="S79" s="2"/>
      <c r="T79" s="6">
        <v>84310.13</v>
      </c>
      <c r="U79" s="2"/>
      <c r="V79" s="7">
        <f t="shared" si="61"/>
        <v>0</v>
      </c>
      <c r="W79" s="2"/>
      <c r="X79" s="6">
        <f t="shared" si="62"/>
        <v>-33815.26</v>
      </c>
      <c r="Y79" s="2"/>
      <c r="Z79" s="7">
        <f t="shared" si="63"/>
        <v>-0.40108181543546428</v>
      </c>
    </row>
    <row r="80" spans="1:26" s="24" customFormat="1" hidden="1" outlineLevel="2" x14ac:dyDescent="0.25">
      <c r="A80" s="27"/>
      <c r="B80" s="11" t="str">
        <f>CONCATENATE("          ", "6244", " - ", "SAFETY SUPPLY EXPENSE")</f>
        <v xml:space="preserve">          6244 - SAFETY SUPPLY EXPENSE</v>
      </c>
      <c r="C80" s="11"/>
      <c r="D80" s="6">
        <v>-75.72</v>
      </c>
      <c r="E80" s="2"/>
      <c r="F80" s="7">
        <f t="shared" si="56"/>
        <v>0</v>
      </c>
      <c r="G80" s="2"/>
      <c r="H80" s="6">
        <v>75</v>
      </c>
      <c r="I80" s="2"/>
      <c r="J80" s="7">
        <f t="shared" si="57"/>
        <v>0</v>
      </c>
      <c r="K80" s="2"/>
      <c r="L80" s="6">
        <f t="shared" si="58"/>
        <v>-150.72</v>
      </c>
      <c r="M80" s="2"/>
      <c r="N80" s="7">
        <f t="shared" si="59"/>
        <v>-2.0095999999999998</v>
      </c>
      <c r="O80" s="11"/>
      <c r="P80" s="6">
        <v>2034.69</v>
      </c>
      <c r="Q80" s="2"/>
      <c r="R80" s="7">
        <f t="shared" si="60"/>
        <v>0</v>
      </c>
      <c r="S80" s="2"/>
      <c r="T80" s="6">
        <v>3512.48</v>
      </c>
      <c r="U80" s="2"/>
      <c r="V80" s="7">
        <f t="shared" si="61"/>
        <v>0</v>
      </c>
      <c r="W80" s="2"/>
      <c r="X80" s="6">
        <f t="shared" si="62"/>
        <v>-1477.79</v>
      </c>
      <c r="Y80" s="2"/>
      <c r="Z80" s="7">
        <f t="shared" si="63"/>
        <v>-0.42072552726278867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56"/>
        <v>0</v>
      </c>
      <c r="G81" s="2"/>
      <c r="H81" s="6">
        <v>50.26</v>
      </c>
      <c r="I81" s="2"/>
      <c r="J81" s="7">
        <f t="shared" si="57"/>
        <v>0</v>
      </c>
      <c r="K81" s="2"/>
      <c r="L81" s="6">
        <f t="shared" si="58"/>
        <v>-50.26</v>
      </c>
      <c r="M81" s="2"/>
      <c r="N81" s="7">
        <f t="shared" si="59"/>
        <v>-1</v>
      </c>
      <c r="O81" s="11"/>
      <c r="P81" s="6">
        <v>3244.85</v>
      </c>
      <c r="Q81" s="2"/>
      <c r="R81" s="7">
        <f t="shared" si="60"/>
        <v>0</v>
      </c>
      <c r="S81" s="2"/>
      <c r="T81" s="6">
        <v>1568.67</v>
      </c>
      <c r="U81" s="2"/>
      <c r="V81" s="7">
        <f t="shared" si="61"/>
        <v>0</v>
      </c>
      <c r="W81" s="2"/>
      <c r="X81" s="6">
        <f t="shared" si="62"/>
        <v>1676.1799999999998</v>
      </c>
      <c r="Y81" s="2"/>
      <c r="Z81" s="7">
        <f t="shared" si="63"/>
        <v>1.068535765967348</v>
      </c>
    </row>
    <row r="82" spans="1:26" s="25" customFormat="1" outlineLevel="1" collapsed="1" x14ac:dyDescent="0.25">
      <c r="A82" s="26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SUM(OSRRefD22_17x_0)</f>
        <v>2690.38</v>
      </c>
      <c r="E82" s="1"/>
      <c r="F82" s="5">
        <f t="shared" ref="F82:F84" si="64">IF(D$12=0,0,D82/D$12)</f>
        <v>0</v>
      </c>
      <c r="G82" s="1"/>
      <c r="H82" s="1">
        <f>SUM(OSRRefH22_17x_0)</f>
        <v>2464.71</v>
      </c>
      <c r="I82" s="1"/>
      <c r="J82" s="5">
        <f t="shared" ref="J82:J84" si="65">IF(H$12=0,0,H82/H$12)</f>
        <v>0</v>
      </c>
      <c r="K82" s="1"/>
      <c r="L82" s="1">
        <f t="shared" ref="L82:L84" si="66">+D82-H82</f>
        <v>225.67000000000007</v>
      </c>
      <c r="M82" s="1"/>
      <c r="N82" s="5">
        <f t="shared" ref="N82:N84" si="67">IF(H82=0,0,L82/H82)</f>
        <v>9.1560467560078088E-2</v>
      </c>
      <c r="O82" s="13"/>
      <c r="P82" s="1">
        <f>SUM(OSRRefP22_17x_0)</f>
        <v>25310.530000000002</v>
      </c>
      <c r="Q82" s="1"/>
      <c r="R82" s="5">
        <f t="shared" ref="R82:R84" si="68">IF(P$12=0,0,P82/P$12)</f>
        <v>0</v>
      </c>
      <c r="S82" s="1"/>
      <c r="T82" s="1">
        <f>SUM(OSRRefT22_17x_0)</f>
        <v>23374.260000000002</v>
      </c>
      <c r="U82" s="1"/>
      <c r="V82" s="5">
        <f t="shared" ref="V82:V84" si="69">IF(T$12=0,0,T82/T$12)</f>
        <v>0</v>
      </c>
      <c r="W82" s="1"/>
      <c r="X82" s="1">
        <f t="shared" ref="X82:X84" si="70">+P82-T82</f>
        <v>1936.2700000000004</v>
      </c>
      <c r="Y82" s="1"/>
      <c r="Z82" s="5">
        <f t="shared" ref="Z82:Z84" si="71">IF(T82=0,0,X82/T82)</f>
        <v>8.2837702669517677E-2</v>
      </c>
    </row>
    <row r="83" spans="1:26" s="24" customFormat="1" hidden="1" outlineLevel="2" x14ac:dyDescent="0.25">
      <c r="A83" s="27"/>
      <c r="B83" s="11" t="str">
        <f>CONCATENATE("          ", "6303", " - ", "DATA PHONE LINES")</f>
        <v xml:space="preserve">          6303 - DATA PHONE LINES</v>
      </c>
      <c r="C83" s="11"/>
      <c r="D83" s="6">
        <v>273.95999999999998</v>
      </c>
      <c r="E83" s="2"/>
      <c r="F83" s="7">
        <f t="shared" si="64"/>
        <v>0</v>
      </c>
      <c r="G83" s="2"/>
      <c r="H83" s="6">
        <v>195.53</v>
      </c>
      <c r="I83" s="2"/>
      <c r="J83" s="7">
        <f t="shared" si="65"/>
        <v>0</v>
      </c>
      <c r="K83" s="2"/>
      <c r="L83" s="6">
        <f t="shared" si="66"/>
        <v>78.429999999999978</v>
      </c>
      <c r="M83" s="2"/>
      <c r="N83" s="7">
        <f t="shared" si="67"/>
        <v>0.40111491842683977</v>
      </c>
      <c r="O83" s="11"/>
      <c r="P83" s="6">
        <v>1601.99</v>
      </c>
      <c r="Q83" s="2"/>
      <c r="R83" s="7">
        <f t="shared" si="68"/>
        <v>0</v>
      </c>
      <c r="S83" s="2"/>
      <c r="T83" s="6">
        <v>1727.11</v>
      </c>
      <c r="U83" s="2"/>
      <c r="V83" s="7">
        <f t="shared" si="69"/>
        <v>0</v>
      </c>
      <c r="W83" s="2"/>
      <c r="X83" s="6">
        <f t="shared" si="70"/>
        <v>-125.11999999999989</v>
      </c>
      <c r="Y83" s="2"/>
      <c r="Z83" s="7">
        <f t="shared" si="71"/>
        <v>-7.2444719792022452E-2</v>
      </c>
    </row>
    <row r="84" spans="1:26" s="24" customFormat="1" hidden="1" outlineLevel="2" x14ac:dyDescent="0.25">
      <c r="A84" s="27"/>
      <c r="B84" s="11" t="str">
        <f>CONCATENATE("          ", "6309", " - ", "TELEPHONE")</f>
        <v xml:space="preserve">          6309 - TELEPHONE</v>
      </c>
      <c r="C84" s="11"/>
      <c r="D84" s="6">
        <v>2416.42</v>
      </c>
      <c r="E84" s="2"/>
      <c r="F84" s="7">
        <f t="shared" si="64"/>
        <v>0</v>
      </c>
      <c r="G84" s="2"/>
      <c r="H84" s="6">
        <v>2269.1799999999998</v>
      </c>
      <c r="I84" s="2"/>
      <c r="J84" s="7">
        <f t="shared" si="65"/>
        <v>0</v>
      </c>
      <c r="K84" s="2"/>
      <c r="L84" s="6">
        <f t="shared" si="66"/>
        <v>147.24000000000024</v>
      </c>
      <c r="M84" s="2"/>
      <c r="N84" s="7">
        <f t="shared" si="67"/>
        <v>6.4886875435179334E-2</v>
      </c>
      <c r="O84" s="11"/>
      <c r="P84" s="6">
        <v>23708.54</v>
      </c>
      <c r="Q84" s="2"/>
      <c r="R84" s="7">
        <f t="shared" si="68"/>
        <v>0</v>
      </c>
      <c r="S84" s="2"/>
      <c r="T84" s="6">
        <v>21647.15</v>
      </c>
      <c r="U84" s="2"/>
      <c r="V84" s="7">
        <f t="shared" si="69"/>
        <v>0</v>
      </c>
      <c r="W84" s="2"/>
      <c r="X84" s="6">
        <f t="shared" si="70"/>
        <v>2061.3899999999994</v>
      </c>
      <c r="Y84" s="2"/>
      <c r="Z84" s="7">
        <f t="shared" si="71"/>
        <v>9.5226854343412382E-2</v>
      </c>
    </row>
    <row r="85" spans="1:26" s="25" customFormat="1" outlineLevel="1" collapsed="1" x14ac:dyDescent="0.25">
      <c r="A85" s="26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SUM(OSRRefD22_18x_0)</f>
        <v>220.12</v>
      </c>
      <c r="E85" s="1"/>
      <c r="F85" s="5">
        <f t="shared" ref="F85:F89" si="72">IF(D$12=0,0,D85/D$12)</f>
        <v>0</v>
      </c>
      <c r="G85" s="1"/>
      <c r="H85" s="1">
        <f>SUM(OSRRefH22_18x_0)</f>
        <v>1129.1600000000001</v>
      </c>
      <c r="I85" s="1"/>
      <c r="J85" s="5">
        <f t="shared" ref="J85:J89" si="73">IF(H$12=0,0,H85/H$12)</f>
        <v>0</v>
      </c>
      <c r="K85" s="1"/>
      <c r="L85" s="1">
        <f t="shared" ref="L85:L89" si="74">+D85-H85</f>
        <v>-909.04000000000008</v>
      </c>
      <c r="M85" s="1"/>
      <c r="N85" s="5">
        <f t="shared" ref="N85:N89" si="75">IF(H85=0,0,L85/H85)</f>
        <v>-0.8050586276524142</v>
      </c>
      <c r="O85" s="13"/>
      <c r="P85" s="1">
        <f>SUM(OSRRefP22_18x_0)</f>
        <v>22090.54</v>
      </c>
      <c r="Q85" s="1"/>
      <c r="R85" s="5">
        <f t="shared" ref="R85:R89" si="76">IF(P$12=0,0,P85/P$12)</f>
        <v>0</v>
      </c>
      <c r="S85" s="1"/>
      <c r="T85" s="1">
        <f>SUM(OSRRefT22_18x_0)</f>
        <v>29473.94</v>
      </c>
      <c r="U85" s="1"/>
      <c r="V85" s="5">
        <f t="shared" ref="V85:V89" si="77">IF(T$12=0,0,T85/T$12)</f>
        <v>0</v>
      </c>
      <c r="W85" s="1"/>
      <c r="X85" s="1">
        <f t="shared" ref="X85:X89" si="78">+P85-T85</f>
        <v>-7383.3999999999978</v>
      </c>
      <c r="Y85" s="1"/>
      <c r="Z85" s="5">
        <f t="shared" ref="Z85:Z89" si="79">IF(T85=0,0,X85/T85)</f>
        <v>-0.25050604025115064</v>
      </c>
    </row>
    <row r="86" spans="1:26" s="24" customFormat="1" hidden="1" outlineLevel="2" x14ac:dyDescent="0.25">
      <c r="A86" s="27"/>
      <c r="B86" s="11" t="str">
        <f>CONCATENATE("          ", "6376", " - ", "TRAINING")</f>
        <v xml:space="preserve">          6376 - TRAINING</v>
      </c>
      <c r="C86" s="11"/>
      <c r="D86" s="6">
        <v>220.12</v>
      </c>
      <c r="E86" s="2"/>
      <c r="F86" s="7">
        <f t="shared" si="72"/>
        <v>0</v>
      </c>
      <c r="G86" s="2"/>
      <c r="H86" s="6">
        <v>1129.1600000000001</v>
      </c>
      <c r="I86" s="2"/>
      <c r="J86" s="7">
        <f t="shared" si="73"/>
        <v>0</v>
      </c>
      <c r="K86" s="2"/>
      <c r="L86" s="6">
        <f t="shared" si="74"/>
        <v>-909.04000000000008</v>
      </c>
      <c r="M86" s="2"/>
      <c r="N86" s="7">
        <f t="shared" si="75"/>
        <v>-0.8050586276524142</v>
      </c>
      <c r="O86" s="11"/>
      <c r="P86" s="6">
        <v>22090.54</v>
      </c>
      <c r="Q86" s="2"/>
      <c r="R86" s="7">
        <f t="shared" si="76"/>
        <v>0</v>
      </c>
      <c r="S86" s="2"/>
      <c r="T86" s="6">
        <v>29473.94</v>
      </c>
      <c r="U86" s="2"/>
      <c r="V86" s="7">
        <f t="shared" si="77"/>
        <v>0</v>
      </c>
      <c r="W86" s="2"/>
      <c r="X86" s="6">
        <f t="shared" si="78"/>
        <v>-7383.3999999999978</v>
      </c>
      <c r="Y86" s="2"/>
      <c r="Z86" s="7">
        <f t="shared" si="79"/>
        <v>-0.25050604025115064</v>
      </c>
    </row>
    <row r="87" spans="1:26" s="25" customFormat="1" outlineLevel="1" collapsed="1" x14ac:dyDescent="0.25">
      <c r="A87" s="26"/>
      <c r="B87" s="13" t="str">
        <f>CONCATENATE("     ","Travel                                            ")</f>
        <v xml:space="preserve">     Travel                                            </v>
      </c>
      <c r="C87" s="13"/>
      <c r="D87" s="1">
        <f>SUM(OSRRefD22_19x_0)</f>
        <v>0</v>
      </c>
      <c r="E87" s="1"/>
      <c r="F87" s="5">
        <f t="shared" si="72"/>
        <v>0</v>
      </c>
      <c r="G87" s="1"/>
      <c r="H87" s="1">
        <f>SUM(OSRRefH22_19x_0)</f>
        <v>1015</v>
      </c>
      <c r="I87" s="1"/>
      <c r="J87" s="5">
        <f t="shared" si="73"/>
        <v>0</v>
      </c>
      <c r="K87" s="1"/>
      <c r="L87" s="1">
        <f t="shared" si="74"/>
        <v>-1015</v>
      </c>
      <c r="M87" s="1"/>
      <c r="N87" s="5">
        <f t="shared" si="75"/>
        <v>-1</v>
      </c>
      <c r="O87" s="13"/>
      <c r="P87" s="1">
        <f>SUM(OSRRefP22_19x_0)</f>
        <v>12860.449999999999</v>
      </c>
      <c r="Q87" s="1"/>
      <c r="R87" s="5">
        <f t="shared" si="76"/>
        <v>0</v>
      </c>
      <c r="S87" s="1"/>
      <c r="T87" s="1">
        <f>SUM(OSRRefT22_19x_0)</f>
        <v>21660.54</v>
      </c>
      <c r="U87" s="1"/>
      <c r="V87" s="5">
        <f t="shared" si="77"/>
        <v>0</v>
      </c>
      <c r="W87" s="1"/>
      <c r="X87" s="1">
        <f t="shared" si="78"/>
        <v>-8800.090000000002</v>
      </c>
      <c r="Y87" s="1"/>
      <c r="Z87" s="5">
        <f t="shared" si="79"/>
        <v>-0.40627288147017582</v>
      </c>
    </row>
    <row r="88" spans="1:26" s="24" customFormat="1" hidden="1" outlineLevel="2" x14ac:dyDescent="0.25">
      <c r="A88" s="27"/>
      <c r="B88" s="11" t="str">
        <f>CONCATENATE("          ", "6292", " - ", "TRAVEL/CONFERENCE")</f>
        <v xml:space="preserve">          6292 - TRAVEL/CONFERENCE</v>
      </c>
      <c r="C88" s="11"/>
      <c r="D88" s="6"/>
      <c r="E88" s="2"/>
      <c r="F88" s="7">
        <f t="shared" si="72"/>
        <v>0</v>
      </c>
      <c r="G88" s="2"/>
      <c r="H88" s="6">
        <v>1015</v>
      </c>
      <c r="I88" s="2"/>
      <c r="J88" s="7">
        <f t="shared" si="73"/>
        <v>0</v>
      </c>
      <c r="K88" s="2"/>
      <c r="L88" s="6">
        <f t="shared" si="74"/>
        <v>-1015</v>
      </c>
      <c r="M88" s="2"/>
      <c r="N88" s="7">
        <f t="shared" si="75"/>
        <v>-1</v>
      </c>
      <c r="O88" s="11"/>
      <c r="P88" s="6">
        <v>12836.55</v>
      </c>
      <c r="Q88" s="2"/>
      <c r="R88" s="7">
        <f t="shared" si="76"/>
        <v>0</v>
      </c>
      <c r="S88" s="2"/>
      <c r="T88" s="6">
        <v>20282.48</v>
      </c>
      <c r="U88" s="2"/>
      <c r="V88" s="7">
        <f t="shared" si="77"/>
        <v>0</v>
      </c>
      <c r="W88" s="2"/>
      <c r="X88" s="6">
        <f t="shared" si="78"/>
        <v>-7445.93</v>
      </c>
      <c r="Y88" s="2"/>
      <c r="Z88" s="7">
        <f t="shared" si="79"/>
        <v>-0.36711141832754179</v>
      </c>
    </row>
    <row r="89" spans="1:26" s="24" customFormat="1" hidden="1" outlineLevel="2" x14ac:dyDescent="0.25">
      <c r="A89" s="27"/>
      <c r="B89" s="11" t="str">
        <f>CONCATENATE("          ", "6294", " - ", "TRAVEL OPERATIONAL")</f>
        <v xml:space="preserve">          6294 - TRAVEL OPERATIONAL</v>
      </c>
      <c r="C89" s="11"/>
      <c r="D89" s="6"/>
      <c r="E89" s="2"/>
      <c r="F89" s="7">
        <f t="shared" si="72"/>
        <v>0</v>
      </c>
      <c r="G89" s="2"/>
      <c r="H89" s="6"/>
      <c r="I89" s="2"/>
      <c r="J89" s="7">
        <f t="shared" si="73"/>
        <v>0</v>
      </c>
      <c r="K89" s="2"/>
      <c r="L89" s="6">
        <f t="shared" si="74"/>
        <v>0</v>
      </c>
      <c r="M89" s="2"/>
      <c r="N89" s="7">
        <f t="shared" si="75"/>
        <v>0</v>
      </c>
      <c r="O89" s="11"/>
      <c r="P89" s="6">
        <v>23.9</v>
      </c>
      <c r="Q89" s="2"/>
      <c r="R89" s="7">
        <f t="shared" si="76"/>
        <v>0</v>
      </c>
      <c r="S89" s="2"/>
      <c r="T89" s="6">
        <v>1378.06</v>
      </c>
      <c r="U89" s="2"/>
      <c r="V89" s="7">
        <f t="shared" si="77"/>
        <v>0</v>
      </c>
      <c r="W89" s="2"/>
      <c r="X89" s="6">
        <f t="shared" si="78"/>
        <v>-1354.1599999999999</v>
      </c>
      <c r="Y89" s="2"/>
      <c r="Z89" s="7">
        <f t="shared" si="79"/>
        <v>-0.98265677836959198</v>
      </c>
    </row>
    <row r="90" spans="1:26" s="53" customFormat="1" x14ac:dyDescent="0.25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9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1">
        <f>+D16-D18+D91</f>
        <v>-229399.66</v>
      </c>
      <c r="E93" s="14"/>
      <c r="F93" s="20">
        <f>IF(D$12=0,0,D93/D$12)</f>
        <v>0</v>
      </c>
      <c r="G93" s="14"/>
      <c r="H93" s="21">
        <f>+H16-H18+H91</f>
        <v>-384697</v>
      </c>
      <c r="I93" s="14"/>
      <c r="J93" s="20">
        <f>IF(H$12=0,0,H93/H$12)</f>
        <v>0</v>
      </c>
      <c r="K93" s="15"/>
      <c r="L93" s="21">
        <f>+D93-H93</f>
        <v>155297.34</v>
      </c>
      <c r="M93" s="15"/>
      <c r="N93" s="20">
        <f>IF(H93=0,0,L93/H93)</f>
        <v>-0.40368742152915149</v>
      </c>
      <c r="O93" s="29"/>
      <c r="P93" s="21">
        <f>+P16-P18+P91</f>
        <v>-3127384.56</v>
      </c>
      <c r="Q93" s="14"/>
      <c r="R93" s="20">
        <f>IF(P$12=0,0,P93/P$12)</f>
        <v>0</v>
      </c>
      <c r="S93" s="14"/>
      <c r="T93" s="21">
        <f>+T16-T18+T91</f>
        <v>-3355826.5</v>
      </c>
      <c r="U93" s="14"/>
      <c r="V93" s="20">
        <f>IF(T$12=0,0,T93/T$12)</f>
        <v>0</v>
      </c>
      <c r="W93" s="15"/>
      <c r="X93" s="21">
        <f>+P93-T93</f>
        <v>228441.93999999994</v>
      </c>
      <c r="Y93" s="15"/>
      <c r="Z93" s="20">
        <f>IF(T93=0,0,X93/T93)</f>
        <v>-6.8073227266069902E-2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/>
      <c r="E95" s="4"/>
      <c r="F95" s="12">
        <f>IF(D$12=0,0,D95/D$12)</f>
        <v>0</v>
      </c>
      <c r="G95" s="4"/>
      <c r="H95" s="4"/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/>
      <c r="Q95" s="4"/>
      <c r="R95" s="12">
        <f>IF(P$12=0,0,P95/P$12)</f>
        <v>0</v>
      </c>
      <c r="S95" s="4"/>
      <c r="T95" s="4"/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0">
        <f>+D93-D95</f>
        <v>-229399.66</v>
      </c>
      <c r="E97" s="14"/>
      <c r="F97" s="36">
        <f>IF(D$12=0,0,D97/D$12)</f>
        <v>0</v>
      </c>
      <c r="G97" s="14"/>
      <c r="H97" s="30">
        <f>+H93-H95</f>
        <v>-384697</v>
      </c>
      <c r="I97" s="14"/>
      <c r="J97" s="36">
        <f>IF(H$12=0,0,H97/H$12)</f>
        <v>0</v>
      </c>
      <c r="K97" s="15"/>
      <c r="L97" s="30">
        <f>D97-H97</f>
        <v>155297.34</v>
      </c>
      <c r="M97" s="15"/>
      <c r="N97" s="36">
        <f>IF(H97=0,0,L97/H97)</f>
        <v>-0.40368742152915149</v>
      </c>
      <c r="O97" s="29"/>
      <c r="P97" s="30">
        <f>+P93-P95</f>
        <v>-3127384.56</v>
      </c>
      <c r="Q97" s="14"/>
      <c r="R97" s="36">
        <f>IF(P$12=0,0,P97/P$12)</f>
        <v>0</v>
      </c>
      <c r="S97" s="14"/>
      <c r="T97" s="30">
        <f>+T93-T95</f>
        <v>-3355826.5</v>
      </c>
      <c r="U97" s="14"/>
      <c r="V97" s="36">
        <f>IF(T$12=0,0,T97/T$12)</f>
        <v>0</v>
      </c>
      <c r="W97" s="15"/>
      <c r="X97" s="30">
        <f>P97-T97</f>
        <v>228441.93999999994</v>
      </c>
      <c r="Y97" s="15"/>
      <c r="Z97" s="36">
        <f>IF(T97=0,0,X97/T97)</f>
        <v>-6.8073227266069902E-2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1">
        <f>SUM(D97:D99)</f>
        <v>-229399.66</v>
      </c>
      <c r="E100" s="14"/>
      <c r="F100" s="32">
        <f>IF(D$12=0,0,D100/D$12)</f>
        <v>0</v>
      </c>
      <c r="G100" s="14"/>
      <c r="H100" s="31">
        <f>SUM(H97:H99)</f>
        <v>-384697</v>
      </c>
      <c r="I100" s="14"/>
      <c r="J100" s="32">
        <f>IF(H$12=0,0,H100/H$12)</f>
        <v>0</v>
      </c>
      <c r="K100" s="15"/>
      <c r="L100" s="31">
        <f>+D100-H100</f>
        <v>155297.34</v>
      </c>
      <c r="M100" s="15"/>
      <c r="N100" s="32">
        <f>IF(H100=0,0,L100/H100)</f>
        <v>-0.40368742152915149</v>
      </c>
      <c r="O100" s="29"/>
      <c r="P100" s="31">
        <f>SUM(P97:P99)</f>
        <v>-3127384.56</v>
      </c>
      <c r="Q100" s="14"/>
      <c r="R100" s="32">
        <f>IF(P$12=0,0,P100/P$12)</f>
        <v>0</v>
      </c>
      <c r="S100" s="14"/>
      <c r="T100" s="31">
        <f>SUM(T97:T99)</f>
        <v>-3355826.5</v>
      </c>
      <c r="U100" s="14"/>
      <c r="V100" s="32">
        <f>IF(T$12=0,0,T100/T$12)</f>
        <v>0</v>
      </c>
      <c r="W100" s="15"/>
      <c r="X100" s="31">
        <f>+P100-T100</f>
        <v>228441.93999999994</v>
      </c>
      <c r="Y100" s="15"/>
      <c r="Z100" s="32">
        <f>IF(T100=0,0,X100/T100)</f>
        <v>-6.8073227266069902E-2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4">
        <v>43965.470316469909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9" t="s">
        <v>313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1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","200", " - ", "Corporate Expense")</f>
        <v>Department 200 - Corporate Expense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48207.12</v>
      </c>
      <c r="E18" s="22"/>
      <c r="F18" s="35">
        <f t="shared" ref="F18:F29" si="0">IF(D$12=0,0,D18/D$12)</f>
        <v>0</v>
      </c>
      <c r="G18" s="22"/>
      <c r="H18" s="22">
        <f>SUM(OSRRefH22x_0)</f>
        <v>78276.040000000008</v>
      </c>
      <c r="I18" s="22"/>
      <c r="J18" s="35">
        <f t="shared" ref="J18:J29" si="1">IF(H$12=0,0,H18/H$12)</f>
        <v>0</v>
      </c>
      <c r="K18" s="4"/>
      <c r="L18" s="22">
        <f t="shared" ref="L18:L29" si="2">+D18-H18</f>
        <v>-30068.920000000006</v>
      </c>
      <c r="M18" s="4"/>
      <c r="N18" s="35">
        <f t="shared" ref="N18:N29" si="3">IF(H18=0,0,L18/H18)</f>
        <v>-0.38413951446700678</v>
      </c>
      <c r="O18" s="10"/>
      <c r="P18" s="22">
        <f>SUM(OSRRefP22x_0)</f>
        <v>545724.6100000001</v>
      </c>
      <c r="Q18" s="22"/>
      <c r="R18" s="35">
        <f t="shared" ref="R18:R29" si="4">IF(P$12=0,0,P18/P$12)</f>
        <v>0</v>
      </c>
      <c r="S18" s="22"/>
      <c r="T18" s="22">
        <f>SUM(OSRRefT22x_0)</f>
        <v>639629.97</v>
      </c>
      <c r="U18" s="22"/>
      <c r="V18" s="35">
        <f t="shared" ref="V18:V29" si="5">IF(T$12=0,0,T18/T$12)</f>
        <v>0</v>
      </c>
      <c r="W18" s="4"/>
      <c r="X18" s="22">
        <f t="shared" ref="X18:X29" si="6">+P18-T18</f>
        <v>-93905.35999999987</v>
      </c>
      <c r="Y18" s="4"/>
      <c r="Z18" s="35">
        <f t="shared" ref="Z18:Z29" si="7">IF(T18=0,0,X18/T18)</f>
        <v>-0.1468120075736912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22595.15</v>
      </c>
      <c r="E19" s="1"/>
      <c r="F19" s="5">
        <f t="shared" si="0"/>
        <v>0</v>
      </c>
      <c r="G19" s="1"/>
      <c r="H19" s="1">
        <f>SUM(OSRRefH22_0x_0)</f>
        <v>29242.240000000002</v>
      </c>
      <c r="I19" s="1"/>
      <c r="J19" s="5">
        <f t="shared" si="1"/>
        <v>0</v>
      </c>
      <c r="K19" s="1"/>
      <c r="L19" s="1">
        <f t="shared" si="2"/>
        <v>-6647.09</v>
      </c>
      <c r="M19" s="1"/>
      <c r="N19" s="5">
        <f t="shared" si="3"/>
        <v>-0.22731124565012803</v>
      </c>
      <c r="O19" s="13"/>
      <c r="P19" s="1">
        <f>SUM(OSRRefP22_0x_0)</f>
        <v>287658.14</v>
      </c>
      <c r="Q19" s="1"/>
      <c r="R19" s="5">
        <f t="shared" si="4"/>
        <v>0</v>
      </c>
      <c r="S19" s="1"/>
      <c r="T19" s="1">
        <f>SUM(OSRRefT22_0x_0)</f>
        <v>326531.73</v>
      </c>
      <c r="U19" s="1"/>
      <c r="V19" s="5">
        <f t="shared" si="5"/>
        <v>0</v>
      </c>
      <c r="W19" s="1"/>
      <c r="X19" s="1">
        <f t="shared" si="6"/>
        <v>-38873.589999999967</v>
      </c>
      <c r="Y19" s="1"/>
      <c r="Z19" s="5">
        <f t="shared" si="7"/>
        <v>-0.11904996185209925</v>
      </c>
    </row>
    <row r="20" spans="1:26" s="24" customFormat="1" hidden="1" outlineLevel="2" x14ac:dyDescent="0.25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6">
        <v>22595.15</v>
      </c>
      <c r="E20" s="2"/>
      <c r="F20" s="7">
        <f t="shared" si="0"/>
        <v>0</v>
      </c>
      <c r="G20" s="2"/>
      <c r="H20" s="6">
        <v>29242.240000000002</v>
      </c>
      <c r="I20" s="2"/>
      <c r="J20" s="7">
        <f t="shared" si="1"/>
        <v>0</v>
      </c>
      <c r="K20" s="2"/>
      <c r="L20" s="6">
        <f t="shared" si="2"/>
        <v>-6647.09</v>
      </c>
      <c r="M20" s="2"/>
      <c r="N20" s="7">
        <f t="shared" si="3"/>
        <v>-0.22731124565012803</v>
      </c>
      <c r="O20" s="11"/>
      <c r="P20" s="6">
        <v>287658.14</v>
      </c>
      <c r="Q20" s="2"/>
      <c r="R20" s="7">
        <f t="shared" si="4"/>
        <v>0</v>
      </c>
      <c r="S20" s="2"/>
      <c r="T20" s="6">
        <v>326531.73</v>
      </c>
      <c r="U20" s="2"/>
      <c r="V20" s="7">
        <f t="shared" si="5"/>
        <v>0</v>
      </c>
      <c r="W20" s="2"/>
      <c r="X20" s="6">
        <f t="shared" si="6"/>
        <v>-38873.589999999967</v>
      </c>
      <c r="Y20" s="2"/>
      <c r="Z20" s="7">
        <f t="shared" si="7"/>
        <v>-0.11904996185209925</v>
      </c>
    </row>
    <row r="21" spans="1:26" s="25" customFormat="1" outlineLevel="1" collapsed="1" x14ac:dyDescent="0.25">
      <c r="A21" s="26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12884.97</v>
      </c>
      <c r="E21" s="1"/>
      <c r="F21" s="5">
        <f t="shared" si="0"/>
        <v>0</v>
      </c>
      <c r="G21" s="1"/>
      <c r="H21" s="1">
        <f>SUM(OSRRefH22_1x_0)</f>
        <v>17566.38</v>
      </c>
      <c r="I21" s="1"/>
      <c r="J21" s="5">
        <f t="shared" si="1"/>
        <v>0</v>
      </c>
      <c r="K21" s="1"/>
      <c r="L21" s="1">
        <f t="shared" si="2"/>
        <v>-4681.4100000000017</v>
      </c>
      <c r="M21" s="1"/>
      <c r="N21" s="5">
        <f t="shared" si="3"/>
        <v>-0.2664982768219748</v>
      </c>
      <c r="O21" s="13"/>
      <c r="P21" s="1">
        <f>SUM(OSRRefP22_1x_0)</f>
        <v>53960.33</v>
      </c>
      <c r="Q21" s="1"/>
      <c r="R21" s="5">
        <f t="shared" si="4"/>
        <v>0</v>
      </c>
      <c r="S21" s="1"/>
      <c r="T21" s="1">
        <f>SUM(OSRRefT22_1x_0)</f>
        <v>59462.07</v>
      </c>
      <c r="U21" s="1"/>
      <c r="V21" s="5">
        <f t="shared" si="5"/>
        <v>0</v>
      </c>
      <c r="W21" s="1"/>
      <c r="X21" s="1">
        <f t="shared" si="6"/>
        <v>-5501.739999999998</v>
      </c>
      <c r="Y21" s="1"/>
      <c r="Z21" s="5">
        <f t="shared" si="7"/>
        <v>-9.2525201359454828E-2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6">
        <v>12884.97</v>
      </c>
      <c r="E22" s="2"/>
      <c r="F22" s="7">
        <f t="shared" si="0"/>
        <v>0</v>
      </c>
      <c r="G22" s="2"/>
      <c r="H22" s="6">
        <v>17566.38</v>
      </c>
      <c r="I22" s="2"/>
      <c r="J22" s="7">
        <f t="shared" si="1"/>
        <v>0</v>
      </c>
      <c r="K22" s="2"/>
      <c r="L22" s="6">
        <f t="shared" si="2"/>
        <v>-4681.4100000000017</v>
      </c>
      <c r="M22" s="2"/>
      <c r="N22" s="7">
        <f t="shared" si="3"/>
        <v>-0.2664982768219748</v>
      </c>
      <c r="O22" s="11"/>
      <c r="P22" s="6">
        <v>53960.33</v>
      </c>
      <c r="Q22" s="2"/>
      <c r="R22" s="7">
        <f t="shared" si="4"/>
        <v>0</v>
      </c>
      <c r="S22" s="2"/>
      <c r="T22" s="6">
        <v>59462.07</v>
      </c>
      <c r="U22" s="2"/>
      <c r="V22" s="7">
        <f t="shared" si="5"/>
        <v>0</v>
      </c>
      <c r="W22" s="2"/>
      <c r="X22" s="6">
        <f t="shared" si="6"/>
        <v>-5501.739999999998</v>
      </c>
      <c r="Y22" s="2"/>
      <c r="Z22" s="7">
        <f t="shared" si="7"/>
        <v>-9.2525201359454828E-2</v>
      </c>
    </row>
    <row r="23" spans="1:26" s="25" customFormat="1" outlineLevel="1" collapsed="1" x14ac:dyDescent="0.25">
      <c r="A23" s="26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1240</v>
      </c>
      <c r="E23" s="1"/>
      <c r="F23" s="5">
        <f t="shared" si="0"/>
        <v>0</v>
      </c>
      <c r="G23" s="1"/>
      <c r="H23" s="1">
        <f>SUM(OSRRefH22_2x_0)</f>
        <v>16842.169999999998</v>
      </c>
      <c r="I23" s="1"/>
      <c r="J23" s="5">
        <f t="shared" si="1"/>
        <v>0</v>
      </c>
      <c r="K23" s="1"/>
      <c r="L23" s="1">
        <f t="shared" si="2"/>
        <v>-15602.169999999998</v>
      </c>
      <c r="M23" s="1"/>
      <c r="N23" s="5">
        <f t="shared" si="3"/>
        <v>-0.92637528299500593</v>
      </c>
      <c r="O23" s="13"/>
      <c r="P23" s="1">
        <f>SUM(OSRRefP22_2x_0)</f>
        <v>39742.71</v>
      </c>
      <c r="Q23" s="1"/>
      <c r="R23" s="5">
        <f t="shared" si="4"/>
        <v>0</v>
      </c>
      <c r="S23" s="1"/>
      <c r="T23" s="1">
        <f>SUM(OSRRefT22_2x_0)</f>
        <v>69010.17</v>
      </c>
      <c r="U23" s="1"/>
      <c r="V23" s="5">
        <f t="shared" si="5"/>
        <v>0</v>
      </c>
      <c r="W23" s="1"/>
      <c r="X23" s="1">
        <f t="shared" si="6"/>
        <v>-29267.46</v>
      </c>
      <c r="Y23" s="1"/>
      <c r="Z23" s="5">
        <f t="shared" si="7"/>
        <v>-0.42410357777701463</v>
      </c>
    </row>
    <row r="24" spans="1:26" s="24" customFormat="1" hidden="1" outlineLevel="2" x14ac:dyDescent="0.25">
      <c r="A24" s="27"/>
      <c r="B24" s="11" t="str">
        <f>CONCATENATE("          ", "6397", " - ", "BOARD EXPENSES")</f>
        <v xml:space="preserve">          6397 - BOARD EXPENSES</v>
      </c>
      <c r="C24" s="11"/>
      <c r="D24" s="6">
        <v>1240</v>
      </c>
      <c r="E24" s="2"/>
      <c r="F24" s="7">
        <f t="shared" si="0"/>
        <v>0</v>
      </c>
      <c r="G24" s="2"/>
      <c r="H24" s="6">
        <v>16842.169999999998</v>
      </c>
      <c r="I24" s="2"/>
      <c r="J24" s="7">
        <f t="shared" si="1"/>
        <v>0</v>
      </c>
      <c r="K24" s="2"/>
      <c r="L24" s="6">
        <f t="shared" si="2"/>
        <v>-15602.169999999998</v>
      </c>
      <c r="M24" s="2"/>
      <c r="N24" s="7">
        <f t="shared" si="3"/>
        <v>-0.92637528299500593</v>
      </c>
      <c r="O24" s="11"/>
      <c r="P24" s="6">
        <v>39742.71</v>
      </c>
      <c r="Q24" s="2"/>
      <c r="R24" s="7">
        <f t="shared" si="4"/>
        <v>0</v>
      </c>
      <c r="S24" s="2"/>
      <c r="T24" s="6">
        <v>69010.17</v>
      </c>
      <c r="U24" s="2"/>
      <c r="V24" s="7">
        <f t="shared" si="5"/>
        <v>0</v>
      </c>
      <c r="W24" s="2"/>
      <c r="X24" s="6">
        <f t="shared" si="6"/>
        <v>-29267.46</v>
      </c>
      <c r="Y24" s="2"/>
      <c r="Z24" s="7">
        <f t="shared" si="7"/>
        <v>-0.42410357777701463</v>
      </c>
    </row>
    <row r="25" spans="1:26" s="25" customFormat="1" outlineLevel="1" collapsed="1" x14ac:dyDescent="0.25">
      <c r="A25" s="26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103128.19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5628.1900000000023</v>
      </c>
      <c r="Y25" s="1"/>
      <c r="Z25" s="5">
        <f t="shared" si="7"/>
        <v>5.7725025641025662E-2</v>
      </c>
    </row>
    <row r="26" spans="1:26" s="24" customFormat="1" hidden="1" outlineLevel="2" x14ac:dyDescent="0.25">
      <c r="A26" s="27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103128.19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5628.1900000000023</v>
      </c>
      <c r="Y26" s="2"/>
      <c r="Z26" s="7">
        <f t="shared" si="7"/>
        <v>5.7725025641025662E-2</v>
      </c>
    </row>
    <row r="27" spans="1:26" s="25" customFormat="1" outlineLevel="1" collapsed="1" x14ac:dyDescent="0.25">
      <c r="A27" s="26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11487</v>
      </c>
      <c r="E27" s="1"/>
      <c r="F27" s="5">
        <f t="shared" si="0"/>
        <v>0</v>
      </c>
      <c r="G27" s="1"/>
      <c r="H27" s="1">
        <f>SUM(OSRRefH22_4x_0)</f>
        <v>14625.25</v>
      </c>
      <c r="I27" s="1"/>
      <c r="J27" s="5">
        <f t="shared" si="1"/>
        <v>0</v>
      </c>
      <c r="K27" s="1"/>
      <c r="L27" s="1">
        <f t="shared" si="2"/>
        <v>-3138.25</v>
      </c>
      <c r="M27" s="1"/>
      <c r="N27" s="5">
        <f t="shared" si="3"/>
        <v>-0.21457752858925488</v>
      </c>
      <c r="O27" s="13"/>
      <c r="P27" s="1">
        <f>SUM(OSRRefP22_4x_0)</f>
        <v>61235.24</v>
      </c>
      <c r="Q27" s="1"/>
      <c r="R27" s="5">
        <f t="shared" si="4"/>
        <v>0</v>
      </c>
      <c r="S27" s="1"/>
      <c r="T27" s="1">
        <f>SUM(OSRRefT22_4x_0)</f>
        <v>87126</v>
      </c>
      <c r="U27" s="1"/>
      <c r="V27" s="5">
        <f t="shared" si="5"/>
        <v>0</v>
      </c>
      <c r="W27" s="1"/>
      <c r="X27" s="1">
        <f t="shared" si="6"/>
        <v>-25890.760000000002</v>
      </c>
      <c r="Y27" s="1"/>
      <c r="Z27" s="5">
        <f t="shared" si="7"/>
        <v>-0.29716456626035859</v>
      </c>
    </row>
    <row r="28" spans="1:26" s="24" customFormat="1" hidden="1" outlineLevel="2" x14ac:dyDescent="0.25">
      <c r="A28" s="27"/>
      <c r="B28" s="11" t="str">
        <f>CONCATENATE("          ", "6331", " - ", "INDIRECT COSTS-AUXILIARY ORGAN")</f>
        <v xml:space="preserve">          6331 - INDIRECT COSTS-AUXILIARY ORGAN</v>
      </c>
      <c r="C28" s="11"/>
      <c r="D28" s="6">
        <v>11487</v>
      </c>
      <c r="E28" s="2"/>
      <c r="F28" s="7">
        <f t="shared" si="0"/>
        <v>0</v>
      </c>
      <c r="G28" s="2"/>
      <c r="H28" s="6">
        <v>11425.25</v>
      </c>
      <c r="I28" s="2"/>
      <c r="J28" s="7">
        <f t="shared" si="1"/>
        <v>0</v>
      </c>
      <c r="K28" s="2"/>
      <c r="L28" s="6">
        <f t="shared" si="2"/>
        <v>61.75</v>
      </c>
      <c r="M28" s="2"/>
      <c r="N28" s="7">
        <f t="shared" si="3"/>
        <v>5.4046957396993505E-3</v>
      </c>
      <c r="O28" s="11"/>
      <c r="P28" s="6">
        <v>46173</v>
      </c>
      <c r="Q28" s="2"/>
      <c r="R28" s="7">
        <f t="shared" si="4"/>
        <v>0</v>
      </c>
      <c r="S28" s="2"/>
      <c r="T28" s="6">
        <v>45926</v>
      </c>
      <c r="U28" s="2"/>
      <c r="V28" s="7">
        <f t="shared" si="5"/>
        <v>0</v>
      </c>
      <c r="W28" s="2"/>
      <c r="X28" s="6">
        <f t="shared" si="6"/>
        <v>247</v>
      </c>
      <c r="Y28" s="2"/>
      <c r="Z28" s="7">
        <f t="shared" si="7"/>
        <v>5.3782171319078521E-3</v>
      </c>
    </row>
    <row r="29" spans="1:26" s="24" customFormat="1" hidden="1" outlineLevel="2" x14ac:dyDescent="0.25">
      <c r="A29" s="27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3200</v>
      </c>
      <c r="I29" s="2"/>
      <c r="J29" s="7">
        <f t="shared" si="1"/>
        <v>0</v>
      </c>
      <c r="K29" s="2"/>
      <c r="L29" s="6">
        <f t="shared" si="2"/>
        <v>-3200</v>
      </c>
      <c r="M29" s="2"/>
      <c r="N29" s="7">
        <f t="shared" si="3"/>
        <v>-1</v>
      </c>
      <c r="O29" s="11"/>
      <c r="P29" s="6">
        <v>15062.24</v>
      </c>
      <c r="Q29" s="2"/>
      <c r="R29" s="7">
        <f t="shared" si="4"/>
        <v>0</v>
      </c>
      <c r="S29" s="2"/>
      <c r="T29" s="6">
        <v>41200</v>
      </c>
      <c r="U29" s="2"/>
      <c r="V29" s="7">
        <f t="shared" si="5"/>
        <v>0</v>
      </c>
      <c r="W29" s="2"/>
      <c r="X29" s="6">
        <f t="shared" si="6"/>
        <v>-26137.760000000002</v>
      </c>
      <c r="Y29" s="2"/>
      <c r="Z29" s="7">
        <f t="shared" si="7"/>
        <v>-0.63441165048543691</v>
      </c>
    </row>
    <row r="30" spans="1:26" s="53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3</v>
      </c>
      <c r="C33" s="28"/>
      <c r="D33" s="21">
        <f>+D16-D18+D31</f>
        <v>-48207.12</v>
      </c>
      <c r="E33" s="14"/>
      <c r="F33" s="20">
        <f>IF(D$12=0,0,D33/D$12)</f>
        <v>0</v>
      </c>
      <c r="G33" s="14"/>
      <c r="H33" s="21">
        <f>+H16-H18+H31</f>
        <v>-78276.040000000008</v>
      </c>
      <c r="I33" s="14"/>
      <c r="J33" s="20">
        <f>IF(H$12=0,0,H33/H$12)</f>
        <v>0</v>
      </c>
      <c r="K33" s="15"/>
      <c r="L33" s="21">
        <f>+D33-H33</f>
        <v>30068.920000000006</v>
      </c>
      <c r="M33" s="15"/>
      <c r="N33" s="20">
        <f>IF(H33=0,0,L33/H33)</f>
        <v>-0.38413951446700678</v>
      </c>
      <c r="O33" s="29"/>
      <c r="P33" s="21">
        <f>+P16-P18+P31</f>
        <v>-545724.6100000001</v>
      </c>
      <c r="Q33" s="14"/>
      <c r="R33" s="20">
        <f>IF(P$12=0,0,P33/P$12)</f>
        <v>0</v>
      </c>
      <c r="S33" s="14"/>
      <c r="T33" s="21">
        <f>+T16-T18+T31</f>
        <v>-639629.97</v>
      </c>
      <c r="U33" s="14"/>
      <c r="V33" s="20">
        <f>IF(T$12=0,0,T33/T$12)</f>
        <v>0</v>
      </c>
      <c r="W33" s="15"/>
      <c r="X33" s="21">
        <f>+P33-T33</f>
        <v>93905.35999999987</v>
      </c>
      <c r="Y33" s="15"/>
      <c r="Z33" s="20">
        <f>IF(T33=0,0,X33/T33)</f>
        <v>-0.1468120075736912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4</v>
      </c>
      <c r="C37" s="28"/>
      <c r="D37" s="30">
        <f>+D33-D35</f>
        <v>-48207.12</v>
      </c>
      <c r="E37" s="14"/>
      <c r="F37" s="36">
        <f>IF(D$12=0,0,D37/D$12)</f>
        <v>0</v>
      </c>
      <c r="G37" s="14"/>
      <c r="H37" s="30">
        <f>+H33-H35</f>
        <v>-78276.040000000008</v>
      </c>
      <c r="I37" s="14"/>
      <c r="J37" s="36">
        <f>IF(H$12=0,0,H37/H$12)</f>
        <v>0</v>
      </c>
      <c r="K37" s="15"/>
      <c r="L37" s="30">
        <f>D37-H37</f>
        <v>30068.920000000006</v>
      </c>
      <c r="M37" s="15"/>
      <c r="N37" s="36">
        <f>IF(H37=0,0,L37/H37)</f>
        <v>-0.38413951446700678</v>
      </c>
      <c r="O37" s="29"/>
      <c r="P37" s="30">
        <f>+P33-P35</f>
        <v>-545724.6100000001</v>
      </c>
      <c r="Q37" s="14"/>
      <c r="R37" s="36">
        <f>IF(P$12=0,0,P37/P$12)</f>
        <v>0</v>
      </c>
      <c r="S37" s="14"/>
      <c r="T37" s="30">
        <f>+T33-T35</f>
        <v>-639629.97</v>
      </c>
      <c r="U37" s="14"/>
      <c r="V37" s="36">
        <f>IF(T$12=0,0,T37/T$12)</f>
        <v>0</v>
      </c>
      <c r="W37" s="15"/>
      <c r="X37" s="30">
        <f>P37-T37</f>
        <v>93905.35999999987</v>
      </c>
      <c r="Y37" s="15"/>
      <c r="Z37" s="36">
        <f>IF(T37=0,0,X37/T37)</f>
        <v>-0.1468120075736912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5</v>
      </c>
      <c r="C40" s="28"/>
      <c r="D40" s="31">
        <f>SUM(D37:D39)</f>
        <v>-48207.12</v>
      </c>
      <c r="E40" s="14"/>
      <c r="F40" s="32">
        <f>IF(D$12=0,0,D40/D$12)</f>
        <v>0</v>
      </c>
      <c r="G40" s="14"/>
      <c r="H40" s="31">
        <f>SUM(H37:H39)</f>
        <v>-78276.040000000008</v>
      </c>
      <c r="I40" s="14"/>
      <c r="J40" s="32">
        <f>IF(H$12=0,0,H40/H$12)</f>
        <v>0</v>
      </c>
      <c r="K40" s="15"/>
      <c r="L40" s="31">
        <f>+D40-H40</f>
        <v>30068.920000000006</v>
      </c>
      <c r="M40" s="15"/>
      <c r="N40" s="32">
        <f>IF(H40=0,0,L40/H40)</f>
        <v>-0.38413951446700678</v>
      </c>
      <c r="O40" s="29"/>
      <c r="P40" s="31">
        <f>SUM(P37:P39)</f>
        <v>-545724.6100000001</v>
      </c>
      <c r="Q40" s="14"/>
      <c r="R40" s="32">
        <f>IF(P$12=0,0,P40/P$12)</f>
        <v>0</v>
      </c>
      <c r="S40" s="14"/>
      <c r="T40" s="31">
        <f>SUM(T37:T39)</f>
        <v>-639629.97</v>
      </c>
      <c r="U40" s="14"/>
      <c r="V40" s="32">
        <f>IF(T$12=0,0,T40/T$12)</f>
        <v>0</v>
      </c>
      <c r="W40" s="15"/>
      <c r="X40" s="31">
        <f>+P40-T40</f>
        <v>93905.35999999987</v>
      </c>
      <c r="Y40" s="15"/>
      <c r="Z40" s="32">
        <f>IF(T40=0,0,X40/T40)</f>
        <v>-0.1468120075736912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54">
        <v>43965.470704548614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59" t="s">
        <v>313</v>
      </c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61"/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","201", " - ", "General Manager")</f>
        <v>Department 201 - General Manager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49313.53</v>
      </c>
      <c r="E18" s="22"/>
      <c r="F18" s="35">
        <f t="shared" ref="F18:F28" si="0">IF(D$12=0,0,D18/D$12)</f>
        <v>0</v>
      </c>
      <c r="G18" s="22"/>
      <c r="H18" s="22">
        <f>SUM(OSRRefH22x_0)</f>
        <v>69804.150000000009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-20490.62000000001</v>
      </c>
      <c r="M18" s="4"/>
      <c r="N18" s="35">
        <f t="shared" ref="N18:N28" si="3">IF(H18=0,0,L18/H18)</f>
        <v>-0.29354443826047605</v>
      </c>
      <c r="O18" s="10"/>
      <c r="P18" s="22">
        <f>SUM(OSRRefP22x_0)</f>
        <v>601681.70999999985</v>
      </c>
      <c r="Q18" s="22"/>
      <c r="R18" s="35">
        <f t="shared" ref="R18:R28" si="4">IF(P$12=0,0,P18/P$12)</f>
        <v>0</v>
      </c>
      <c r="S18" s="22"/>
      <c r="T18" s="22">
        <f>SUM(OSRRefT22x_0)</f>
        <v>761941.60000000021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-160259.89000000036</v>
      </c>
      <c r="Y18" s="4"/>
      <c r="Z18" s="35">
        <f t="shared" ref="Z18:Z28" si="7">IF(T18=0,0,X18/T18)</f>
        <v>-0.21033093612423881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11865.95</v>
      </c>
      <c r="E19" s="1"/>
      <c r="F19" s="5">
        <f t="shared" si="0"/>
        <v>0</v>
      </c>
      <c r="G19" s="1"/>
      <c r="H19" s="1">
        <f>SUM(OSRRefH22_0x_0)</f>
        <v>14749.05</v>
      </c>
      <c r="I19" s="1"/>
      <c r="J19" s="5">
        <f t="shared" si="1"/>
        <v>0</v>
      </c>
      <c r="K19" s="1"/>
      <c r="L19" s="1">
        <f t="shared" si="2"/>
        <v>-2883.0999999999985</v>
      </c>
      <c r="M19" s="1"/>
      <c r="N19" s="5">
        <f t="shared" si="3"/>
        <v>-0.19547699682352415</v>
      </c>
      <c r="O19" s="13"/>
      <c r="P19" s="1">
        <f>SUM(OSRRefP22_0x_0)</f>
        <v>141509.69</v>
      </c>
      <c r="Q19" s="1"/>
      <c r="R19" s="5">
        <f t="shared" si="4"/>
        <v>0</v>
      </c>
      <c r="S19" s="1"/>
      <c r="T19" s="1">
        <f>SUM(OSRRefT22_0x_0)</f>
        <v>163562.19000000003</v>
      </c>
      <c r="U19" s="1"/>
      <c r="V19" s="5">
        <f t="shared" si="5"/>
        <v>0</v>
      </c>
      <c r="W19" s="1"/>
      <c r="X19" s="1">
        <f t="shared" si="6"/>
        <v>-22052.500000000029</v>
      </c>
      <c r="Y19" s="1"/>
      <c r="Z19" s="5">
        <f t="shared" si="7"/>
        <v>-0.13482639233431654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2170.77</v>
      </c>
      <c r="E20" s="2"/>
      <c r="F20" s="7">
        <f t="shared" si="0"/>
        <v>0</v>
      </c>
      <c r="G20" s="2"/>
      <c r="H20" s="6">
        <v>2331.64</v>
      </c>
      <c r="I20" s="2"/>
      <c r="J20" s="7">
        <f t="shared" si="1"/>
        <v>0</v>
      </c>
      <c r="K20" s="2"/>
      <c r="L20" s="6">
        <f t="shared" si="2"/>
        <v>-160.86999999999989</v>
      </c>
      <c r="M20" s="2"/>
      <c r="N20" s="7">
        <f t="shared" si="3"/>
        <v>-6.8994355903998855E-2</v>
      </c>
      <c r="O20" s="11"/>
      <c r="P20" s="6">
        <v>19450.88</v>
      </c>
      <c r="Q20" s="2"/>
      <c r="R20" s="7">
        <f t="shared" si="4"/>
        <v>0</v>
      </c>
      <c r="S20" s="2"/>
      <c r="T20" s="6">
        <v>21435.96</v>
      </c>
      <c r="U20" s="2"/>
      <c r="V20" s="7">
        <f t="shared" si="5"/>
        <v>0</v>
      </c>
      <c r="W20" s="2"/>
      <c r="X20" s="6">
        <f t="shared" si="6"/>
        <v>-1985.0799999999981</v>
      </c>
      <c r="Y20" s="2"/>
      <c r="Z20" s="7">
        <f t="shared" si="7"/>
        <v>-9.2605136415630479E-2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64.319999999999993</v>
      </c>
      <c r="E21" s="2"/>
      <c r="F21" s="7">
        <f t="shared" si="0"/>
        <v>0</v>
      </c>
      <c r="G21" s="2"/>
      <c r="H21" s="6">
        <v>94.48</v>
      </c>
      <c r="I21" s="2"/>
      <c r="J21" s="7">
        <f t="shared" si="1"/>
        <v>0</v>
      </c>
      <c r="K21" s="2"/>
      <c r="L21" s="6">
        <f t="shared" si="2"/>
        <v>-30.160000000000011</v>
      </c>
      <c r="M21" s="2"/>
      <c r="N21" s="7">
        <f t="shared" si="3"/>
        <v>-0.31922099915326008</v>
      </c>
      <c r="O21" s="11"/>
      <c r="P21" s="6">
        <v>1122.55</v>
      </c>
      <c r="Q21" s="2"/>
      <c r="R21" s="7">
        <f t="shared" si="4"/>
        <v>0</v>
      </c>
      <c r="S21" s="2"/>
      <c r="T21" s="6">
        <v>1069.6600000000001</v>
      </c>
      <c r="U21" s="2"/>
      <c r="V21" s="7">
        <f t="shared" si="5"/>
        <v>0</v>
      </c>
      <c r="W21" s="2"/>
      <c r="X21" s="6">
        <f t="shared" si="6"/>
        <v>52.889999999999873</v>
      </c>
      <c r="Y21" s="2"/>
      <c r="Z21" s="7">
        <f t="shared" si="7"/>
        <v>4.9445618233831187E-2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3965.44</v>
      </c>
      <c r="E22" s="2"/>
      <c r="F22" s="7">
        <f t="shared" si="0"/>
        <v>0</v>
      </c>
      <c r="G22" s="2"/>
      <c r="H22" s="6">
        <v>4870.25</v>
      </c>
      <c r="I22" s="2"/>
      <c r="J22" s="7">
        <f t="shared" si="1"/>
        <v>0</v>
      </c>
      <c r="K22" s="2"/>
      <c r="L22" s="6">
        <f t="shared" si="2"/>
        <v>-904.81</v>
      </c>
      <c r="M22" s="2"/>
      <c r="N22" s="7">
        <f t="shared" si="3"/>
        <v>-0.18578307068425645</v>
      </c>
      <c r="O22" s="11"/>
      <c r="P22" s="6">
        <v>41001.619999999995</v>
      </c>
      <c r="Q22" s="2"/>
      <c r="R22" s="7">
        <f t="shared" si="4"/>
        <v>0</v>
      </c>
      <c r="S22" s="2"/>
      <c r="T22" s="6">
        <v>46244.15</v>
      </c>
      <c r="U22" s="2"/>
      <c r="V22" s="7">
        <f t="shared" si="5"/>
        <v>0</v>
      </c>
      <c r="W22" s="2"/>
      <c r="X22" s="6">
        <f t="shared" si="6"/>
        <v>-5242.5300000000061</v>
      </c>
      <c r="Y22" s="2"/>
      <c r="Z22" s="7">
        <f t="shared" si="7"/>
        <v>-0.11336633930994527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49.19</v>
      </c>
      <c r="E23" s="2"/>
      <c r="F23" s="7">
        <f t="shared" si="0"/>
        <v>0</v>
      </c>
      <c r="G23" s="2"/>
      <c r="H23" s="6">
        <v>79.25</v>
      </c>
      <c r="I23" s="2"/>
      <c r="J23" s="7">
        <f t="shared" si="1"/>
        <v>0</v>
      </c>
      <c r="K23" s="2"/>
      <c r="L23" s="6">
        <f t="shared" si="2"/>
        <v>-30.060000000000002</v>
      </c>
      <c r="M23" s="2"/>
      <c r="N23" s="7">
        <f t="shared" si="3"/>
        <v>-0.37930599369085177</v>
      </c>
      <c r="O23" s="11"/>
      <c r="P23" s="6">
        <v>1015.11</v>
      </c>
      <c r="Q23" s="2"/>
      <c r="R23" s="7">
        <f t="shared" si="4"/>
        <v>0</v>
      </c>
      <c r="S23" s="2"/>
      <c r="T23" s="6">
        <v>1013.88</v>
      </c>
      <c r="U23" s="2"/>
      <c r="V23" s="7">
        <f t="shared" si="5"/>
        <v>0</v>
      </c>
      <c r="W23" s="2"/>
      <c r="X23" s="6">
        <f t="shared" si="6"/>
        <v>1.2300000000000182</v>
      </c>
      <c r="Y23" s="2"/>
      <c r="Z23" s="7">
        <f t="shared" si="7"/>
        <v>1.2131613208663926E-3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2843.88</v>
      </c>
      <c r="I24" s="2"/>
      <c r="J24" s="7">
        <f t="shared" si="1"/>
        <v>0</v>
      </c>
      <c r="K24" s="2"/>
      <c r="L24" s="6">
        <f t="shared" si="2"/>
        <v>-945.31000000000017</v>
      </c>
      <c r="M24" s="2"/>
      <c r="N24" s="7">
        <f t="shared" si="3"/>
        <v>-0.33240150779920397</v>
      </c>
      <c r="O24" s="11"/>
      <c r="P24" s="6">
        <v>28252.14</v>
      </c>
      <c r="Q24" s="2"/>
      <c r="R24" s="7">
        <f t="shared" si="4"/>
        <v>0</v>
      </c>
      <c r="S24" s="2"/>
      <c r="T24" s="6">
        <v>36123.449999999997</v>
      </c>
      <c r="U24" s="2"/>
      <c r="V24" s="7">
        <f t="shared" si="5"/>
        <v>0</v>
      </c>
      <c r="W24" s="2"/>
      <c r="X24" s="6">
        <f t="shared" si="6"/>
        <v>-7871.3099999999977</v>
      </c>
      <c r="Y24" s="2"/>
      <c r="Z24" s="7">
        <f t="shared" si="7"/>
        <v>-0.21790028361078465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-2451.4</v>
      </c>
      <c r="Y25" s="2"/>
      <c r="Z25" s="7">
        <f t="shared" si="7"/>
        <v>-1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2432.46</v>
      </c>
      <c r="E26" s="2"/>
      <c r="F26" s="7">
        <f t="shared" si="0"/>
        <v>0</v>
      </c>
      <c r="G26" s="2"/>
      <c r="H26" s="6">
        <v>2700.52</v>
      </c>
      <c r="I26" s="2"/>
      <c r="J26" s="7">
        <f t="shared" si="1"/>
        <v>0</v>
      </c>
      <c r="K26" s="2"/>
      <c r="L26" s="6">
        <f t="shared" si="2"/>
        <v>-268.05999999999995</v>
      </c>
      <c r="M26" s="2"/>
      <c r="N26" s="7">
        <f t="shared" si="3"/>
        <v>-9.9262364285396865E-2</v>
      </c>
      <c r="O26" s="11"/>
      <c r="P26" s="6">
        <v>23806.560000000001</v>
      </c>
      <c r="Q26" s="2"/>
      <c r="R26" s="7">
        <f t="shared" si="4"/>
        <v>0</v>
      </c>
      <c r="S26" s="2"/>
      <c r="T26" s="6">
        <v>30047.58</v>
      </c>
      <c r="U26" s="2"/>
      <c r="V26" s="7">
        <f t="shared" si="5"/>
        <v>0</v>
      </c>
      <c r="W26" s="2"/>
      <c r="X26" s="6">
        <f t="shared" si="6"/>
        <v>-6241.02</v>
      </c>
      <c r="Y26" s="2"/>
      <c r="Z26" s="7">
        <f t="shared" si="7"/>
        <v>-0.20770458053527105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1285.2</v>
      </c>
      <c r="E27" s="2"/>
      <c r="F27" s="7">
        <f t="shared" si="0"/>
        <v>0</v>
      </c>
      <c r="G27" s="2"/>
      <c r="H27" s="6">
        <v>1394.14</v>
      </c>
      <c r="I27" s="2"/>
      <c r="J27" s="7">
        <f t="shared" si="1"/>
        <v>0</v>
      </c>
      <c r="K27" s="2"/>
      <c r="L27" s="6">
        <f t="shared" si="2"/>
        <v>-108.94000000000005</v>
      </c>
      <c r="M27" s="2"/>
      <c r="N27" s="7">
        <f t="shared" si="3"/>
        <v>-7.814136313426201E-2</v>
      </c>
      <c r="O27" s="11"/>
      <c r="P27" s="6">
        <v>24255.200000000001</v>
      </c>
      <c r="Q27" s="2"/>
      <c r="R27" s="7">
        <f t="shared" si="4"/>
        <v>0</v>
      </c>
      <c r="S27" s="2"/>
      <c r="T27" s="6">
        <v>21339.16</v>
      </c>
      <c r="U27" s="2"/>
      <c r="V27" s="7">
        <f t="shared" si="5"/>
        <v>0</v>
      </c>
      <c r="W27" s="2"/>
      <c r="X27" s="6">
        <f t="shared" si="6"/>
        <v>2916.0400000000009</v>
      </c>
      <c r="Y27" s="2"/>
      <c r="Z27" s="7">
        <f t="shared" si="7"/>
        <v>0.13665205190832258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434.89</v>
      </c>
      <c r="I28" s="2"/>
      <c r="J28" s="7">
        <f t="shared" si="1"/>
        <v>0</v>
      </c>
      <c r="K28" s="2"/>
      <c r="L28" s="6">
        <f t="shared" si="2"/>
        <v>-434.89</v>
      </c>
      <c r="M28" s="2"/>
      <c r="N28" s="7">
        <f t="shared" si="3"/>
        <v>-1</v>
      </c>
      <c r="O28" s="11"/>
      <c r="P28" s="6">
        <v>2605.63</v>
      </c>
      <c r="Q28" s="2"/>
      <c r="R28" s="7">
        <f t="shared" si="4"/>
        <v>0</v>
      </c>
      <c r="S28" s="2"/>
      <c r="T28" s="6">
        <v>3836.95</v>
      </c>
      <c r="U28" s="2"/>
      <c r="V28" s="7">
        <f t="shared" si="5"/>
        <v>0</v>
      </c>
      <c r="W28" s="2"/>
      <c r="X28" s="6">
        <f t="shared" si="6"/>
        <v>-1231.3199999999997</v>
      </c>
      <c r="Y28" s="2"/>
      <c r="Z28" s="7">
        <f t="shared" si="7"/>
        <v>-0.32091114035887874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21218.079999999998</v>
      </c>
      <c r="E29" s="1"/>
      <c r="F29" s="5">
        <f t="shared" ref="F29:F32" si="8">IF(D$12=0,0,D29/D$12)</f>
        <v>0</v>
      </c>
      <c r="G29" s="1"/>
      <c r="H29" s="1">
        <f>SUM(OSRRefH22_1x_0)</f>
        <v>29413.040000000001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-8194.9600000000028</v>
      </c>
      <c r="M29" s="1"/>
      <c r="N29" s="5">
        <f t="shared" ref="N29:N32" si="11">IF(H29=0,0,L29/H29)</f>
        <v>-0.27861655918599376</v>
      </c>
      <c r="O29" s="13"/>
      <c r="P29" s="1">
        <f>SUM(OSRRefP22_1x_0)</f>
        <v>166706.85999999999</v>
      </c>
      <c r="Q29" s="1"/>
      <c r="R29" s="5">
        <f t="shared" ref="R29:R32" si="12">IF(P$12=0,0,P29/P$12)</f>
        <v>0</v>
      </c>
      <c r="S29" s="1"/>
      <c r="T29" s="1">
        <f>SUM(OSRRefT22_1x_0)</f>
        <v>247769.31999999998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-81062.459999999992</v>
      </c>
      <c r="Y29" s="1"/>
      <c r="Z29" s="5">
        <f t="shared" ref="Z29:Z32" si="15">IF(T29=0,0,X29/T29)</f>
        <v>-0.32716907807633328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17790.419999999998</v>
      </c>
      <c r="E30" s="2"/>
      <c r="F30" s="7">
        <f t="shared" si="8"/>
        <v>0</v>
      </c>
      <c r="G30" s="2"/>
      <c r="H30" s="6">
        <v>24659.18</v>
      </c>
      <c r="I30" s="2"/>
      <c r="J30" s="7">
        <f t="shared" si="9"/>
        <v>0</v>
      </c>
      <c r="K30" s="2"/>
      <c r="L30" s="6">
        <f t="shared" si="10"/>
        <v>-6868.760000000002</v>
      </c>
      <c r="M30" s="2"/>
      <c r="N30" s="7">
        <f t="shared" si="11"/>
        <v>-0.27854778626053267</v>
      </c>
      <c r="O30" s="11"/>
      <c r="P30" s="6">
        <v>158904.46</v>
      </c>
      <c r="Q30" s="2"/>
      <c r="R30" s="7">
        <f t="shared" si="12"/>
        <v>0</v>
      </c>
      <c r="S30" s="2"/>
      <c r="T30" s="6">
        <v>244856.32000000001</v>
      </c>
      <c r="U30" s="2"/>
      <c r="V30" s="7">
        <f t="shared" si="13"/>
        <v>0</v>
      </c>
      <c r="W30" s="2"/>
      <c r="X30" s="6">
        <f t="shared" si="14"/>
        <v>-85951.860000000015</v>
      </c>
      <c r="Y30" s="2"/>
      <c r="Z30" s="7">
        <f t="shared" si="15"/>
        <v>-0.35102977942329611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3427.66</v>
      </c>
      <c r="E31" s="2"/>
      <c r="F31" s="7">
        <f t="shared" si="8"/>
        <v>0</v>
      </c>
      <c r="G31" s="2"/>
      <c r="H31" s="6">
        <v>4753.8599999999997</v>
      </c>
      <c r="I31" s="2"/>
      <c r="J31" s="7">
        <f t="shared" si="9"/>
        <v>0</v>
      </c>
      <c r="K31" s="2"/>
      <c r="L31" s="6">
        <f t="shared" si="10"/>
        <v>-1326.1999999999998</v>
      </c>
      <c r="M31" s="2"/>
      <c r="N31" s="7">
        <f t="shared" si="11"/>
        <v>-0.27897329748877753</v>
      </c>
      <c r="O31" s="11"/>
      <c r="P31" s="6">
        <v>45782.12</v>
      </c>
      <c r="Q31" s="2"/>
      <c r="R31" s="7">
        <f t="shared" si="12"/>
        <v>0</v>
      </c>
      <c r="S31" s="2"/>
      <c r="T31" s="6">
        <v>48013.53</v>
      </c>
      <c r="U31" s="2"/>
      <c r="V31" s="7">
        <f t="shared" si="13"/>
        <v>0</v>
      </c>
      <c r="W31" s="2"/>
      <c r="X31" s="6">
        <f t="shared" si="14"/>
        <v>-2231.4099999999962</v>
      </c>
      <c r="Y31" s="2"/>
      <c r="Z31" s="7">
        <f t="shared" si="15"/>
        <v>-4.6474608303117816E-2</v>
      </c>
    </row>
    <row r="32" spans="1:26" s="24" customFormat="1" hidden="1" outlineLevel="2" x14ac:dyDescent="0.25">
      <c r="A32" s="27"/>
      <c r="B32" s="11" t="str">
        <f>CONCATENATE("          ", "6007", " - ", "STUDENT HOURLY")</f>
        <v xml:space="preserve">          6007 - STUDENT HOURLY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-37979.72</v>
      </c>
      <c r="Q32" s="2"/>
      <c r="R32" s="7">
        <f t="shared" si="12"/>
        <v>0</v>
      </c>
      <c r="S32" s="2"/>
      <c r="T32" s="6">
        <v>-45100.53</v>
      </c>
      <c r="U32" s="2"/>
      <c r="V32" s="7">
        <f t="shared" si="13"/>
        <v>0</v>
      </c>
      <c r="W32" s="2"/>
      <c r="X32" s="6">
        <f t="shared" si="14"/>
        <v>7120.8099999999977</v>
      </c>
      <c r="Y32" s="2"/>
      <c r="Z32" s="7">
        <f t="shared" si="15"/>
        <v>-0.15788750154377337</v>
      </c>
    </row>
    <row r="33" spans="1:26" s="25" customFormat="1" outlineLevel="1" collapsed="1" x14ac:dyDescent="0.25">
      <c r="A33" s="26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0</v>
      </c>
      <c r="E33" s="1"/>
      <c r="F33" s="5">
        <f t="shared" ref="F33:F52" si="16">IF(D$12=0,0,D33/D$12)</f>
        <v>0</v>
      </c>
      <c r="G33" s="1"/>
      <c r="H33" s="1">
        <f>SUM(OSRRefH22_2x_0)</f>
        <v>9058.65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-9058.65</v>
      </c>
      <c r="M33" s="1"/>
      <c r="N33" s="5">
        <f t="shared" ref="N33:N52" si="19">IF(H33=0,0,L33/H33)</f>
        <v>-1</v>
      </c>
      <c r="O33" s="13"/>
      <c r="P33" s="1">
        <f>SUM(OSRRefP22_2x_0)</f>
        <v>12880.83</v>
      </c>
      <c r="Q33" s="1"/>
      <c r="R33" s="5">
        <f t="shared" ref="R33:R52" si="20">IF(P$12=0,0,P33/P$12)</f>
        <v>0</v>
      </c>
      <c r="S33" s="1"/>
      <c r="T33" s="1">
        <f>SUM(OSRRefT22_2x_0)</f>
        <v>131807.72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-118926.89</v>
      </c>
      <c r="Y33" s="1"/>
      <c r="Z33" s="5">
        <f t="shared" ref="Z33:Z52" si="23">IF(T33=0,0,X33/T33)</f>
        <v>-0.90227560267334872</v>
      </c>
    </row>
    <row r="34" spans="1:26" s="24" customFormat="1" hidden="1" outlineLevel="2" x14ac:dyDescent="0.25">
      <c r="A34" s="27"/>
      <c r="B34" s="11" t="str">
        <f>CONCATENATE("          ", "6362", " - ", "ADVERTISING EXPENSE")</f>
        <v xml:space="preserve">          6362 - ADVERTISING EXPENSE</v>
      </c>
      <c r="C34" s="11"/>
      <c r="D34" s="6"/>
      <c r="E34" s="2"/>
      <c r="F34" s="7">
        <f t="shared" si="16"/>
        <v>0</v>
      </c>
      <c r="G34" s="2"/>
      <c r="H34" s="6">
        <v>9058.65</v>
      </c>
      <c r="I34" s="2"/>
      <c r="J34" s="7">
        <f t="shared" si="17"/>
        <v>0</v>
      </c>
      <c r="K34" s="2"/>
      <c r="L34" s="6">
        <f t="shared" si="18"/>
        <v>-9058.65</v>
      </c>
      <c r="M34" s="2"/>
      <c r="N34" s="7">
        <f t="shared" si="19"/>
        <v>-1</v>
      </c>
      <c r="O34" s="11"/>
      <c r="P34" s="6">
        <v>12880.83</v>
      </c>
      <c r="Q34" s="2"/>
      <c r="R34" s="7">
        <f t="shared" si="20"/>
        <v>0</v>
      </c>
      <c r="S34" s="2"/>
      <c r="T34" s="6">
        <v>131807.72</v>
      </c>
      <c r="U34" s="2"/>
      <c r="V34" s="7">
        <f t="shared" si="21"/>
        <v>0</v>
      </c>
      <c r="W34" s="2"/>
      <c r="X34" s="6">
        <f t="shared" si="22"/>
        <v>-118926.89</v>
      </c>
      <c r="Y34" s="2"/>
      <c r="Z34" s="7">
        <f t="shared" si="23"/>
        <v>-0.90227560267334872</v>
      </c>
    </row>
    <row r="35" spans="1:26" s="25" customFormat="1" outlineLevel="1" collapsed="1" x14ac:dyDescent="0.25">
      <c r="A35" s="26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314.89999999999998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-30.330000000000041</v>
      </c>
      <c r="M35" s="1"/>
      <c r="N35" s="5">
        <f t="shared" si="19"/>
        <v>-8.7854473829041629E-2</v>
      </c>
      <c r="O35" s="13"/>
      <c r="P35" s="1">
        <f>SUM(OSRRefP22_3x_0)</f>
        <v>3421.97</v>
      </c>
      <c r="Q35" s="1"/>
      <c r="R35" s="5">
        <f t="shared" si="20"/>
        <v>0</v>
      </c>
      <c r="S35" s="1"/>
      <c r="T35" s="1">
        <f>SUM(OSRRefT22_3x_0)</f>
        <v>3452.3</v>
      </c>
      <c r="U35" s="1"/>
      <c r="V35" s="5">
        <f t="shared" si="21"/>
        <v>0</v>
      </c>
      <c r="W35" s="1"/>
      <c r="X35" s="1">
        <f t="shared" si="22"/>
        <v>-30.330000000000382</v>
      </c>
      <c r="Y35" s="1"/>
      <c r="Z35" s="5">
        <f t="shared" si="23"/>
        <v>-8.7854473829042604E-3</v>
      </c>
    </row>
    <row r="36" spans="1:26" s="24" customFormat="1" hidden="1" outlineLevel="2" x14ac:dyDescent="0.25">
      <c r="A36" s="27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314.89999999999998</v>
      </c>
      <c r="E36" s="2"/>
      <c r="F36" s="7">
        <f t="shared" si="16"/>
        <v>0</v>
      </c>
      <c r="G36" s="2"/>
      <c r="H36" s="6">
        <v>345.23</v>
      </c>
      <c r="I36" s="2"/>
      <c r="J36" s="7">
        <f t="shared" si="17"/>
        <v>0</v>
      </c>
      <c r="K36" s="2"/>
      <c r="L36" s="6">
        <f t="shared" si="18"/>
        <v>-30.330000000000041</v>
      </c>
      <c r="M36" s="2"/>
      <c r="N36" s="7">
        <f t="shared" si="19"/>
        <v>-8.7854473829041629E-2</v>
      </c>
      <c r="O36" s="11"/>
      <c r="P36" s="6">
        <v>3421.97</v>
      </c>
      <c r="Q36" s="2"/>
      <c r="R36" s="7">
        <f t="shared" si="20"/>
        <v>0</v>
      </c>
      <c r="S36" s="2"/>
      <c r="T36" s="6">
        <v>3452.3</v>
      </c>
      <c r="U36" s="2"/>
      <c r="V36" s="7">
        <f t="shared" si="21"/>
        <v>0</v>
      </c>
      <c r="W36" s="2"/>
      <c r="X36" s="6">
        <f t="shared" si="22"/>
        <v>-30.330000000000382</v>
      </c>
      <c r="Y36" s="2"/>
      <c r="Z36" s="7">
        <f t="shared" si="23"/>
        <v>-8.7854473829042604E-3</v>
      </c>
    </row>
    <row r="37" spans="1:26" s="25" customFormat="1" outlineLevel="1" collapsed="1" x14ac:dyDescent="0.25">
      <c r="A37" s="26"/>
      <c r="B37" s="13" t="str">
        <f>CONCATENATE("     ","Donations                                         ")</f>
        <v xml:space="preserve">     Donations                                         </v>
      </c>
      <c r="C37" s="13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6222.26</v>
      </c>
      <c r="I37" s="1"/>
      <c r="J37" s="5">
        <f t="shared" si="17"/>
        <v>0</v>
      </c>
      <c r="K37" s="1"/>
      <c r="L37" s="1">
        <f t="shared" si="18"/>
        <v>-6222.26</v>
      </c>
      <c r="M37" s="1"/>
      <c r="N37" s="5">
        <f t="shared" si="19"/>
        <v>-1</v>
      </c>
      <c r="O37" s="13"/>
      <c r="P37" s="1">
        <f>SUM(OSRRefP22_4x_0)</f>
        <v>145645</v>
      </c>
      <c r="Q37" s="1"/>
      <c r="R37" s="5">
        <f t="shared" si="20"/>
        <v>0</v>
      </c>
      <c r="S37" s="1"/>
      <c r="T37" s="1">
        <f>SUM(OSRRefT22_4x_0)</f>
        <v>55438.12</v>
      </c>
      <c r="U37" s="1"/>
      <c r="V37" s="5">
        <f t="shared" si="21"/>
        <v>0</v>
      </c>
      <c r="W37" s="1"/>
      <c r="X37" s="1">
        <f t="shared" si="22"/>
        <v>90206.88</v>
      </c>
      <c r="Y37" s="1"/>
      <c r="Z37" s="5">
        <f t="shared" si="23"/>
        <v>1.6271634030879836</v>
      </c>
    </row>
    <row r="38" spans="1:26" s="24" customFormat="1" hidden="1" outlineLevel="2" x14ac:dyDescent="0.25">
      <c r="A38" s="27"/>
      <c r="B38" s="11" t="str">
        <f>CONCATENATE("          ", "6399", " - ", "DONATION-ON CAMPUS")</f>
        <v xml:space="preserve">          6399 - DONATION-ON CAMPUS</v>
      </c>
      <c r="C38" s="11"/>
      <c r="D38" s="6"/>
      <c r="E38" s="2"/>
      <c r="F38" s="7">
        <f t="shared" si="16"/>
        <v>0</v>
      </c>
      <c r="G38" s="2"/>
      <c r="H38" s="6">
        <v>6222.26</v>
      </c>
      <c r="I38" s="2"/>
      <c r="J38" s="7">
        <f t="shared" si="17"/>
        <v>0</v>
      </c>
      <c r="K38" s="2"/>
      <c r="L38" s="6">
        <f t="shared" si="18"/>
        <v>-6222.26</v>
      </c>
      <c r="M38" s="2"/>
      <c r="N38" s="7">
        <f t="shared" si="19"/>
        <v>-1</v>
      </c>
      <c r="O38" s="11"/>
      <c r="P38" s="6">
        <v>145645</v>
      </c>
      <c r="Q38" s="2"/>
      <c r="R38" s="7">
        <f t="shared" si="20"/>
        <v>0</v>
      </c>
      <c r="S38" s="2"/>
      <c r="T38" s="6">
        <v>55438.12</v>
      </c>
      <c r="U38" s="2"/>
      <c r="V38" s="7">
        <f t="shared" si="21"/>
        <v>0</v>
      </c>
      <c r="W38" s="2"/>
      <c r="X38" s="6">
        <f t="shared" si="22"/>
        <v>90206.88</v>
      </c>
      <c r="Y38" s="2"/>
      <c r="Z38" s="7">
        <f t="shared" si="23"/>
        <v>1.6271634030879836</v>
      </c>
    </row>
    <row r="39" spans="1:26" s="25" customFormat="1" outlineLevel="1" collapsed="1" x14ac:dyDescent="0.25">
      <c r="A39" s="26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4860.53</v>
      </c>
      <c r="U39" s="1"/>
      <c r="V39" s="5">
        <f t="shared" si="21"/>
        <v>0</v>
      </c>
      <c r="W39" s="1"/>
      <c r="X39" s="1">
        <f t="shared" si="22"/>
        <v>-4860.53</v>
      </c>
      <c r="Y39" s="1"/>
      <c r="Z39" s="5">
        <f t="shared" si="23"/>
        <v>-1</v>
      </c>
    </row>
    <row r="40" spans="1:26" s="24" customFormat="1" hidden="1" outlineLevel="2" x14ac:dyDescent="0.25">
      <c r="A40" s="27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4860.53</v>
      </c>
      <c r="U40" s="2"/>
      <c r="V40" s="7">
        <f t="shared" si="21"/>
        <v>0</v>
      </c>
      <c r="W40" s="2"/>
      <c r="X40" s="6">
        <f t="shared" si="22"/>
        <v>-4860.53</v>
      </c>
      <c r="Y40" s="2"/>
      <c r="Z40" s="7">
        <f t="shared" si="23"/>
        <v>-1</v>
      </c>
    </row>
    <row r="41" spans="1:26" s="25" customFormat="1" outlineLevel="1" collapsed="1" x14ac:dyDescent="0.25">
      <c r="A41" s="26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SUM(OSRRefD22_6x_0)</f>
        <v>117.72</v>
      </c>
      <c r="E41" s="1"/>
      <c r="F41" s="5">
        <f t="shared" si="16"/>
        <v>0</v>
      </c>
      <c r="G41" s="1"/>
      <c r="H41" s="1">
        <f>SUM(OSRRefH22_6x_0)</f>
        <v>117.72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SUM(OSRRefP22_6x_0)</f>
        <v>1177.2</v>
      </c>
      <c r="Q41" s="1"/>
      <c r="R41" s="5">
        <f t="shared" si="20"/>
        <v>0</v>
      </c>
      <c r="S41" s="1"/>
      <c r="T41" s="1">
        <f>SUM(OSRRefT22_6x_0)</f>
        <v>1177.2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7"/>
      <c r="B42" s="11" t="str">
        <f>CONCATENATE("          ", "6351", " - ", "EQUIPMENT RENTAL")</f>
        <v xml:space="preserve">          6351 - EQUIPMENT RENTAL</v>
      </c>
      <c r="C42" s="11"/>
      <c r="D42" s="6">
        <v>117.72</v>
      </c>
      <c r="E42" s="2"/>
      <c r="F42" s="7">
        <f t="shared" si="16"/>
        <v>0</v>
      </c>
      <c r="G42" s="2"/>
      <c r="H42" s="6">
        <v>117.72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1177.2</v>
      </c>
      <c r="Q42" s="2"/>
      <c r="R42" s="7">
        <f t="shared" si="20"/>
        <v>0</v>
      </c>
      <c r="S42" s="2"/>
      <c r="T42" s="6">
        <v>1177.2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5" customFormat="1" outlineLevel="1" collapsed="1" x14ac:dyDescent="0.25">
      <c r="A43" s="26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SUM(OSRRefD22_7x_0)</f>
        <v>0</v>
      </c>
      <c r="E43" s="1"/>
      <c r="F43" s="5">
        <f t="shared" si="16"/>
        <v>0</v>
      </c>
      <c r="G43" s="1"/>
      <c r="H43" s="1">
        <f>SUM(OSRRefH22_7x_0)</f>
        <v>0.5</v>
      </c>
      <c r="I43" s="1"/>
      <c r="J43" s="5">
        <f t="shared" si="17"/>
        <v>0</v>
      </c>
      <c r="K43" s="1"/>
      <c r="L43" s="1">
        <f t="shared" si="18"/>
        <v>-0.5</v>
      </c>
      <c r="M43" s="1"/>
      <c r="N43" s="5">
        <f t="shared" si="19"/>
        <v>-1</v>
      </c>
      <c r="O43" s="13"/>
      <c r="P43" s="1">
        <f>SUM(OSRRefP22_7x_0)</f>
        <v>171.76</v>
      </c>
      <c r="Q43" s="1"/>
      <c r="R43" s="5">
        <f t="shared" si="20"/>
        <v>0</v>
      </c>
      <c r="S43" s="1"/>
      <c r="T43" s="1">
        <f>SUM(OSRRefT22_7x_0)</f>
        <v>5.41</v>
      </c>
      <c r="U43" s="1"/>
      <c r="V43" s="5">
        <f t="shared" si="21"/>
        <v>0</v>
      </c>
      <c r="W43" s="1"/>
      <c r="X43" s="1">
        <f t="shared" si="22"/>
        <v>166.35</v>
      </c>
      <c r="Y43" s="1"/>
      <c r="Z43" s="5">
        <f t="shared" si="23"/>
        <v>30.748613678373381</v>
      </c>
    </row>
    <row r="44" spans="1:26" s="24" customFormat="1" hidden="1" outlineLevel="2" x14ac:dyDescent="0.25">
      <c r="A44" s="27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16"/>
        <v>0</v>
      </c>
      <c r="G44" s="2"/>
      <c r="H44" s="6">
        <v>0.5</v>
      </c>
      <c r="I44" s="2"/>
      <c r="J44" s="7">
        <f t="shared" si="17"/>
        <v>0</v>
      </c>
      <c r="K44" s="2"/>
      <c r="L44" s="6">
        <f t="shared" si="18"/>
        <v>-0.5</v>
      </c>
      <c r="M44" s="2"/>
      <c r="N44" s="7">
        <f t="shared" si="19"/>
        <v>-1</v>
      </c>
      <c r="O44" s="11"/>
      <c r="P44" s="6">
        <v>171.76</v>
      </c>
      <c r="Q44" s="2"/>
      <c r="R44" s="7">
        <f t="shared" si="20"/>
        <v>0</v>
      </c>
      <c r="S44" s="2"/>
      <c r="T44" s="6">
        <v>5.41</v>
      </c>
      <c r="U44" s="2"/>
      <c r="V44" s="7">
        <f t="shared" si="21"/>
        <v>0</v>
      </c>
      <c r="W44" s="2"/>
      <c r="X44" s="6">
        <f t="shared" si="22"/>
        <v>166.35</v>
      </c>
      <c r="Y44" s="2"/>
      <c r="Z44" s="7">
        <f t="shared" si="23"/>
        <v>30.748613678373381</v>
      </c>
    </row>
    <row r="45" spans="1:26" s="25" customFormat="1" outlineLevel="1" collapsed="1" x14ac:dyDescent="0.25">
      <c r="A45" s="26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SUM(OSRRefD22_8x_0)</f>
        <v>0</v>
      </c>
      <c r="E45" s="1"/>
      <c r="F45" s="5">
        <f t="shared" si="16"/>
        <v>0</v>
      </c>
      <c r="G45" s="1"/>
      <c r="H45" s="1">
        <f>SUM(OSRRefH22_8x_0)</f>
        <v>3539.44</v>
      </c>
      <c r="I45" s="1"/>
      <c r="J45" s="5">
        <f t="shared" si="17"/>
        <v>0</v>
      </c>
      <c r="K45" s="1"/>
      <c r="L45" s="1">
        <f t="shared" si="18"/>
        <v>-3539.44</v>
      </c>
      <c r="M45" s="1"/>
      <c r="N45" s="5">
        <f t="shared" si="19"/>
        <v>-1</v>
      </c>
      <c r="O45" s="13"/>
      <c r="P45" s="1">
        <f>SUM(OSRRefP22_8x_0)</f>
        <v>13430.41</v>
      </c>
      <c r="Q45" s="1"/>
      <c r="R45" s="5">
        <f t="shared" si="20"/>
        <v>0</v>
      </c>
      <c r="S45" s="1"/>
      <c r="T45" s="1">
        <f>SUM(OSRRefT22_8x_0)</f>
        <v>27222.44</v>
      </c>
      <c r="U45" s="1"/>
      <c r="V45" s="5">
        <f t="shared" si="21"/>
        <v>0</v>
      </c>
      <c r="W45" s="1"/>
      <c r="X45" s="1">
        <f t="shared" si="22"/>
        <v>-13792.029999999999</v>
      </c>
      <c r="Y45" s="1"/>
      <c r="Z45" s="5">
        <f t="shared" si="23"/>
        <v>-0.5066419468644251</v>
      </c>
    </row>
    <row r="46" spans="1:26" s="24" customFormat="1" hidden="1" outlineLevel="2" x14ac:dyDescent="0.25">
      <c r="A46" s="27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>
        <v>3539.44</v>
      </c>
      <c r="I46" s="2"/>
      <c r="J46" s="7">
        <f t="shared" si="17"/>
        <v>0</v>
      </c>
      <c r="K46" s="2"/>
      <c r="L46" s="6">
        <f t="shared" si="18"/>
        <v>-3539.44</v>
      </c>
      <c r="M46" s="2"/>
      <c r="N46" s="7">
        <f t="shared" si="19"/>
        <v>-1</v>
      </c>
      <c r="O46" s="11"/>
      <c r="P46" s="6">
        <v>13430.41</v>
      </c>
      <c r="Q46" s="2"/>
      <c r="R46" s="7">
        <f t="shared" si="20"/>
        <v>0</v>
      </c>
      <c r="S46" s="2"/>
      <c r="T46" s="6">
        <v>27222.44</v>
      </c>
      <c r="U46" s="2"/>
      <c r="V46" s="7">
        <f t="shared" si="21"/>
        <v>0</v>
      </c>
      <c r="W46" s="2"/>
      <c r="X46" s="6">
        <f t="shared" si="22"/>
        <v>-13792.029999999999</v>
      </c>
      <c r="Y46" s="2"/>
      <c r="Z46" s="7">
        <f t="shared" si="23"/>
        <v>-0.5066419468644251</v>
      </c>
    </row>
    <row r="47" spans="1:26" s="25" customFormat="1" outlineLevel="1" collapsed="1" x14ac:dyDescent="0.25">
      <c r="A47" s="26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SUM(OSRRefD22_9x_0)</f>
        <v>115.13</v>
      </c>
      <c r="E47" s="1"/>
      <c r="F47" s="5">
        <f t="shared" si="16"/>
        <v>0</v>
      </c>
      <c r="G47" s="1"/>
      <c r="H47" s="1">
        <f>SUM(OSRRefH22_9x_0)</f>
        <v>108.47</v>
      </c>
      <c r="I47" s="1"/>
      <c r="J47" s="5">
        <f t="shared" si="17"/>
        <v>0</v>
      </c>
      <c r="K47" s="1"/>
      <c r="L47" s="1">
        <f t="shared" si="18"/>
        <v>6.6599999999999966</v>
      </c>
      <c r="M47" s="1"/>
      <c r="N47" s="5">
        <f t="shared" si="19"/>
        <v>6.139946528994189E-2</v>
      </c>
      <c r="O47" s="13"/>
      <c r="P47" s="1">
        <f>SUM(OSRRefP22_9x_0)</f>
        <v>1151.3</v>
      </c>
      <c r="Q47" s="1"/>
      <c r="R47" s="5">
        <f t="shared" si="20"/>
        <v>0</v>
      </c>
      <c r="S47" s="1"/>
      <c r="T47" s="1">
        <f>SUM(OSRRefT22_9x_0)</f>
        <v>1245.17</v>
      </c>
      <c r="U47" s="1"/>
      <c r="V47" s="5">
        <f t="shared" si="21"/>
        <v>0</v>
      </c>
      <c r="W47" s="1"/>
      <c r="X47" s="1">
        <f t="shared" si="22"/>
        <v>-93.870000000000118</v>
      </c>
      <c r="Y47" s="1"/>
      <c r="Z47" s="5">
        <f t="shared" si="23"/>
        <v>-7.5387296513729135E-2</v>
      </c>
    </row>
    <row r="48" spans="1:26" s="24" customFormat="1" hidden="1" outlineLevel="2" x14ac:dyDescent="0.25">
      <c r="A48" s="27"/>
      <c r="B48" s="11" t="str">
        <f>CONCATENATE("          ", "6314", " - ", "LIABILITY INSURANCE")</f>
        <v xml:space="preserve">          6314 - LIABILITY INSURANCE</v>
      </c>
      <c r="C48" s="11"/>
      <c r="D48" s="6">
        <v>115.13</v>
      </c>
      <c r="E48" s="2"/>
      <c r="F48" s="7">
        <f t="shared" si="16"/>
        <v>0</v>
      </c>
      <c r="G48" s="2"/>
      <c r="H48" s="6">
        <v>108.47</v>
      </c>
      <c r="I48" s="2"/>
      <c r="J48" s="7">
        <f t="shared" si="17"/>
        <v>0</v>
      </c>
      <c r="K48" s="2"/>
      <c r="L48" s="6">
        <f t="shared" si="18"/>
        <v>6.6599999999999966</v>
      </c>
      <c r="M48" s="2"/>
      <c r="N48" s="7">
        <f t="shared" si="19"/>
        <v>6.139946528994189E-2</v>
      </c>
      <c r="O48" s="11"/>
      <c r="P48" s="6">
        <v>1151.3</v>
      </c>
      <c r="Q48" s="2"/>
      <c r="R48" s="7">
        <f t="shared" si="20"/>
        <v>0</v>
      </c>
      <c r="S48" s="2"/>
      <c r="T48" s="6">
        <v>1245.17</v>
      </c>
      <c r="U48" s="2"/>
      <c r="V48" s="7">
        <f t="shared" si="21"/>
        <v>0</v>
      </c>
      <c r="W48" s="2"/>
      <c r="X48" s="6">
        <f t="shared" si="22"/>
        <v>-93.870000000000118</v>
      </c>
      <c r="Y48" s="2"/>
      <c r="Z48" s="7">
        <f t="shared" si="23"/>
        <v>-7.5387296513729135E-2</v>
      </c>
    </row>
    <row r="49" spans="1:26" s="25" customFormat="1" outlineLevel="1" collapsed="1" x14ac:dyDescent="0.25">
      <c r="A49" s="26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SUM(OSRRefD22_10x_0)</f>
        <v>0</v>
      </c>
      <c r="E49" s="1"/>
      <c r="F49" s="5">
        <f t="shared" si="16"/>
        <v>0</v>
      </c>
      <c r="G49" s="1"/>
      <c r="H49" s="1">
        <f>SUM(OSRRefH22_10x_0)</f>
        <v>525</v>
      </c>
      <c r="I49" s="1"/>
      <c r="J49" s="5">
        <f t="shared" si="17"/>
        <v>0</v>
      </c>
      <c r="K49" s="1"/>
      <c r="L49" s="1">
        <f t="shared" si="18"/>
        <v>-525</v>
      </c>
      <c r="M49" s="1"/>
      <c r="N49" s="5">
        <f t="shared" si="19"/>
        <v>-1</v>
      </c>
      <c r="O49" s="13"/>
      <c r="P49" s="1">
        <f>SUM(OSRRefP22_10x_0)</f>
        <v>51735</v>
      </c>
      <c r="Q49" s="1"/>
      <c r="R49" s="5">
        <f t="shared" si="20"/>
        <v>0</v>
      </c>
      <c r="S49" s="1"/>
      <c r="T49" s="1">
        <f>SUM(OSRRefT22_10x_0)</f>
        <v>51200</v>
      </c>
      <c r="U49" s="1"/>
      <c r="V49" s="5">
        <f t="shared" si="21"/>
        <v>0</v>
      </c>
      <c r="W49" s="1"/>
      <c r="X49" s="1">
        <f t="shared" si="22"/>
        <v>535</v>
      </c>
      <c r="Y49" s="1"/>
      <c r="Z49" s="5">
        <f t="shared" si="23"/>
        <v>1.0449218749999999E-2</v>
      </c>
    </row>
    <row r="50" spans="1:26" s="24" customFormat="1" hidden="1" outlineLevel="2" x14ac:dyDescent="0.25">
      <c r="A50" s="27"/>
      <c r="B50" s="11" t="str">
        <f>CONCATENATE("          ", "6331", " - ", "INDIRECT COSTS-AUXILIARY ORGAN")</f>
        <v xml:space="preserve">          6331 - INDIRECT COSTS-AUXILIARY ORGAN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45550</v>
      </c>
      <c r="Q50" s="2"/>
      <c r="R50" s="7">
        <f t="shared" si="20"/>
        <v>0</v>
      </c>
      <c r="S50" s="2"/>
      <c r="T50" s="6">
        <v>44400</v>
      </c>
      <c r="U50" s="2"/>
      <c r="V50" s="7">
        <f t="shared" si="21"/>
        <v>0</v>
      </c>
      <c r="W50" s="2"/>
      <c r="X50" s="6">
        <f t="shared" si="22"/>
        <v>1150</v>
      </c>
      <c r="Y50" s="2"/>
      <c r="Z50" s="7">
        <f t="shared" si="23"/>
        <v>2.59009009009009E-2</v>
      </c>
    </row>
    <row r="51" spans="1:26" s="24" customFormat="1" hidden="1" outlineLevel="2" x14ac:dyDescent="0.25">
      <c r="A51" s="27"/>
      <c r="B51" s="11" t="str">
        <f>CONCATENATE("          ", "6334", " - ", "LEGAL COUNCIL EXPENSE")</f>
        <v xml:space="preserve">          6334 - LEGAL COUNCIL EXPENSE</v>
      </c>
      <c r="C51" s="11"/>
      <c r="D51" s="6"/>
      <c r="E51" s="2"/>
      <c r="F51" s="7">
        <f t="shared" si="16"/>
        <v>0</v>
      </c>
      <c r="G51" s="2"/>
      <c r="H51" s="6">
        <v>525</v>
      </c>
      <c r="I51" s="2"/>
      <c r="J51" s="7">
        <f t="shared" si="17"/>
        <v>0</v>
      </c>
      <c r="K51" s="2"/>
      <c r="L51" s="6">
        <f t="shared" si="18"/>
        <v>-525</v>
      </c>
      <c r="M51" s="2"/>
      <c r="N51" s="7">
        <f t="shared" si="19"/>
        <v>-1</v>
      </c>
      <c r="O51" s="11"/>
      <c r="P51" s="6">
        <v>1165</v>
      </c>
      <c r="Q51" s="2"/>
      <c r="R51" s="7">
        <f t="shared" si="20"/>
        <v>0</v>
      </c>
      <c r="S51" s="2"/>
      <c r="T51" s="6">
        <v>1800</v>
      </c>
      <c r="U51" s="2"/>
      <c r="V51" s="7">
        <f t="shared" si="21"/>
        <v>0</v>
      </c>
      <c r="W51" s="2"/>
      <c r="X51" s="6">
        <f t="shared" si="22"/>
        <v>-635</v>
      </c>
      <c r="Y51" s="2"/>
      <c r="Z51" s="7">
        <f t="shared" si="23"/>
        <v>-0.3527777777777778</v>
      </c>
    </row>
    <row r="52" spans="1:26" s="24" customFormat="1" hidden="1" outlineLevel="2" x14ac:dyDescent="0.25">
      <c r="A52" s="27"/>
      <c r="B52" s="11" t="str">
        <f>CONCATENATE("          ", "6336", " - ", "PROFESSIONAL SERVICES")</f>
        <v xml:space="preserve">          6336 - PROFESSIONAL SERVICES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5020</v>
      </c>
      <c r="Q52" s="2"/>
      <c r="R52" s="7">
        <f t="shared" si="20"/>
        <v>0</v>
      </c>
      <c r="S52" s="2"/>
      <c r="T52" s="6">
        <v>5000</v>
      </c>
      <c r="U52" s="2"/>
      <c r="V52" s="7">
        <f t="shared" si="21"/>
        <v>0</v>
      </c>
      <c r="W52" s="2"/>
      <c r="X52" s="6">
        <f t="shared" si="22"/>
        <v>20</v>
      </c>
      <c r="Y52" s="2"/>
      <c r="Z52" s="7">
        <f t="shared" si="23"/>
        <v>4.0000000000000001E-3</v>
      </c>
    </row>
    <row r="53" spans="1:26" s="25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SUM(OSRRefD22_11x_0)</f>
        <v>2581.5</v>
      </c>
      <c r="E53" s="1"/>
      <c r="F53" s="5">
        <f t="shared" ref="F53:F56" si="24">IF(D$12=0,0,D53/D$12)</f>
        <v>0</v>
      </c>
      <c r="G53" s="1"/>
      <c r="H53" s="1">
        <f>SUM(OSRRefH22_11x_0)</f>
        <v>3047.6600000000003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-466.16000000000031</v>
      </c>
      <c r="M53" s="1"/>
      <c r="N53" s="5">
        <f t="shared" ref="N53:N56" si="27">IF(H53=0,0,L53/H53)</f>
        <v>-0.1529566946444158</v>
      </c>
      <c r="O53" s="13"/>
      <c r="P53" s="1">
        <f>SUM(OSRRefP22_11x_0)</f>
        <v>30853.960000000006</v>
      </c>
      <c r="Q53" s="1"/>
      <c r="R53" s="5">
        <f t="shared" ref="R53:R56" si="28">IF(P$12=0,0,P53/P$12)</f>
        <v>0</v>
      </c>
      <c r="S53" s="1"/>
      <c r="T53" s="1">
        <f>SUM(OSRRefT22_11x_0)</f>
        <v>38700.69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-7846.7299999999959</v>
      </c>
      <c r="Y53" s="1"/>
      <c r="Z53" s="5">
        <f t="shared" ref="Z53:Z56" si="31">IF(T53=0,0,X53/T53)</f>
        <v>-0.20275426613840725</v>
      </c>
    </row>
    <row r="54" spans="1:26" s="24" customFormat="1" hidden="1" outlineLevel="2" x14ac:dyDescent="0.2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31.58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31.58</v>
      </c>
      <c r="Y54" s="2"/>
      <c r="Z54" s="7">
        <f t="shared" si="31"/>
        <v>0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6">
        <v>2581.5</v>
      </c>
      <c r="E55" s="2"/>
      <c r="F55" s="7">
        <f t="shared" si="24"/>
        <v>0</v>
      </c>
      <c r="G55" s="2"/>
      <c r="H55" s="6">
        <v>2945.28</v>
      </c>
      <c r="I55" s="2"/>
      <c r="J55" s="7">
        <f t="shared" si="25"/>
        <v>0</v>
      </c>
      <c r="K55" s="2"/>
      <c r="L55" s="6">
        <f t="shared" si="26"/>
        <v>-363.7800000000002</v>
      </c>
      <c r="M55" s="2"/>
      <c r="N55" s="7">
        <f t="shared" si="27"/>
        <v>-0.12351287483702744</v>
      </c>
      <c r="O55" s="11"/>
      <c r="P55" s="6">
        <v>30297.390000000003</v>
      </c>
      <c r="Q55" s="2"/>
      <c r="R55" s="7">
        <f t="shared" si="28"/>
        <v>0</v>
      </c>
      <c r="S55" s="2"/>
      <c r="T55" s="6">
        <v>32352.26</v>
      </c>
      <c r="U55" s="2"/>
      <c r="V55" s="7">
        <f t="shared" si="29"/>
        <v>0</v>
      </c>
      <c r="W55" s="2"/>
      <c r="X55" s="6">
        <f t="shared" si="30"/>
        <v>-2054.8699999999953</v>
      </c>
      <c r="Y55" s="2"/>
      <c r="Z55" s="7">
        <f t="shared" si="31"/>
        <v>-6.3515500926364821E-2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4"/>
        <v>0</v>
      </c>
      <c r="G56" s="2"/>
      <c r="H56" s="6">
        <v>102.38</v>
      </c>
      <c r="I56" s="2"/>
      <c r="J56" s="7">
        <f t="shared" si="25"/>
        <v>0</v>
      </c>
      <c r="K56" s="2"/>
      <c r="L56" s="6">
        <f t="shared" si="26"/>
        <v>-102.38</v>
      </c>
      <c r="M56" s="2"/>
      <c r="N56" s="7">
        <f t="shared" si="27"/>
        <v>-1</v>
      </c>
      <c r="O56" s="11"/>
      <c r="P56" s="6">
        <v>524.99</v>
      </c>
      <c r="Q56" s="2"/>
      <c r="R56" s="7">
        <f t="shared" si="28"/>
        <v>0</v>
      </c>
      <c r="S56" s="2"/>
      <c r="T56" s="6">
        <v>6348.43</v>
      </c>
      <c r="U56" s="2"/>
      <c r="V56" s="7">
        <f t="shared" si="29"/>
        <v>0</v>
      </c>
      <c r="W56" s="2"/>
      <c r="X56" s="6">
        <f t="shared" si="30"/>
        <v>-5823.4400000000005</v>
      </c>
      <c r="Y56" s="2"/>
      <c r="Z56" s="7">
        <f t="shared" si="31"/>
        <v>-0.91730396334211772</v>
      </c>
    </row>
    <row r="57" spans="1:26" s="25" customFormat="1" outlineLevel="1" collapsed="1" x14ac:dyDescent="0.25">
      <c r="A57" s="26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6218</v>
      </c>
      <c r="E57" s="1"/>
      <c r="F57" s="5">
        <f t="shared" ref="F57:F63" si="32">IF(D$12=0,0,D57/D$12)</f>
        <v>0</v>
      </c>
      <c r="G57" s="1"/>
      <c r="H57" s="1">
        <f>SUM(OSRRefH22_12x_0)</f>
        <v>1750</v>
      </c>
      <c r="I57" s="1"/>
      <c r="J57" s="5">
        <f t="shared" ref="J57:J63" si="33">IF(H$12=0,0,H57/H$12)</f>
        <v>0</v>
      </c>
      <c r="K57" s="1"/>
      <c r="L57" s="1">
        <f t="shared" ref="L57:L63" si="34">+D57-H57</f>
        <v>4468</v>
      </c>
      <c r="M57" s="1"/>
      <c r="N57" s="5">
        <f t="shared" ref="N57:N63" si="35">IF(H57=0,0,L57/H57)</f>
        <v>2.5531428571428569</v>
      </c>
      <c r="O57" s="13"/>
      <c r="P57" s="1">
        <f>SUM(OSRRefP22_12x_0)</f>
        <v>8013</v>
      </c>
      <c r="Q57" s="1"/>
      <c r="R57" s="5">
        <f t="shared" ref="R57:R63" si="36">IF(P$12=0,0,P57/P$12)</f>
        <v>0</v>
      </c>
      <c r="S57" s="1"/>
      <c r="T57" s="1">
        <f>SUM(OSRRefT22_12x_0)</f>
        <v>9482</v>
      </c>
      <c r="U57" s="1"/>
      <c r="V57" s="5">
        <f t="shared" ref="V57:V63" si="37">IF(T$12=0,0,T57/T$12)</f>
        <v>0</v>
      </c>
      <c r="W57" s="1"/>
      <c r="X57" s="1">
        <f t="shared" ref="X57:X63" si="38">+P57-T57</f>
        <v>-1469</v>
      </c>
      <c r="Y57" s="1"/>
      <c r="Z57" s="5">
        <f t="shared" ref="Z57:Z63" si="39">IF(T57=0,0,X57/T57)</f>
        <v>-0.15492512128242986</v>
      </c>
    </row>
    <row r="58" spans="1:26" s="24" customFormat="1" hidden="1" outlineLevel="2" x14ac:dyDescent="0.25">
      <c r="A58" s="27"/>
      <c r="B58" s="11" t="str">
        <f>CONCATENATE("          ", "6258", " - ", "MEMBERSHIP DUES")</f>
        <v xml:space="preserve">          6258 - MEMBERSHIP DUES</v>
      </c>
      <c r="C58" s="11"/>
      <c r="D58" s="6">
        <v>6218</v>
      </c>
      <c r="E58" s="2"/>
      <c r="F58" s="7">
        <f t="shared" si="32"/>
        <v>0</v>
      </c>
      <c r="G58" s="2"/>
      <c r="H58" s="6">
        <v>1750</v>
      </c>
      <c r="I58" s="2"/>
      <c r="J58" s="7">
        <f t="shared" si="33"/>
        <v>0</v>
      </c>
      <c r="K58" s="2"/>
      <c r="L58" s="6">
        <f t="shared" si="34"/>
        <v>4468</v>
      </c>
      <c r="M58" s="2"/>
      <c r="N58" s="7">
        <f t="shared" si="35"/>
        <v>2.5531428571428569</v>
      </c>
      <c r="O58" s="11"/>
      <c r="P58" s="6">
        <v>8013</v>
      </c>
      <c r="Q58" s="2"/>
      <c r="R58" s="7">
        <f t="shared" si="36"/>
        <v>0</v>
      </c>
      <c r="S58" s="2"/>
      <c r="T58" s="6">
        <v>9482</v>
      </c>
      <c r="U58" s="2"/>
      <c r="V58" s="7">
        <f t="shared" si="37"/>
        <v>0</v>
      </c>
      <c r="W58" s="2"/>
      <c r="X58" s="6">
        <f t="shared" si="38"/>
        <v>-1469</v>
      </c>
      <c r="Y58" s="2"/>
      <c r="Z58" s="7">
        <f t="shared" si="39"/>
        <v>-0.15492512128242986</v>
      </c>
    </row>
    <row r="59" spans="1:26" s="25" customFormat="1" outlineLevel="1" collapsed="1" x14ac:dyDescent="0.25">
      <c r="A59" s="26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6510</v>
      </c>
      <c r="E59" s="1"/>
      <c r="F59" s="5">
        <f t="shared" si="32"/>
        <v>0</v>
      </c>
      <c r="G59" s="1"/>
      <c r="H59" s="1">
        <f>SUM(OSRRefH22_13x_0)</f>
        <v>303.59000000000003</v>
      </c>
      <c r="I59" s="1"/>
      <c r="J59" s="5">
        <f t="shared" si="33"/>
        <v>0</v>
      </c>
      <c r="K59" s="1"/>
      <c r="L59" s="1">
        <f t="shared" si="34"/>
        <v>6206.41</v>
      </c>
      <c r="M59" s="1"/>
      <c r="N59" s="5">
        <f t="shared" si="35"/>
        <v>20.443394051187454</v>
      </c>
      <c r="O59" s="13"/>
      <c r="P59" s="1">
        <f>SUM(OSRRefP22_13x_0)</f>
        <v>10711.830000000002</v>
      </c>
      <c r="Q59" s="1"/>
      <c r="R59" s="5">
        <f t="shared" si="36"/>
        <v>0</v>
      </c>
      <c r="S59" s="1"/>
      <c r="T59" s="1">
        <f>SUM(OSRRefT22_13x_0)</f>
        <v>5240.6699999999992</v>
      </c>
      <c r="U59" s="1"/>
      <c r="V59" s="5">
        <f t="shared" si="37"/>
        <v>0</v>
      </c>
      <c r="W59" s="1"/>
      <c r="X59" s="1">
        <f t="shared" si="38"/>
        <v>5471.1600000000026</v>
      </c>
      <c r="Y59" s="1"/>
      <c r="Z59" s="5">
        <f t="shared" si="39"/>
        <v>1.0439810176943032</v>
      </c>
    </row>
    <row r="60" spans="1:26" s="24" customFormat="1" hidden="1" outlineLevel="2" x14ac:dyDescent="0.2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6">
        <v>1550</v>
      </c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1550</v>
      </c>
      <c r="M60" s="2"/>
      <c r="N60" s="7">
        <f t="shared" si="35"/>
        <v>0</v>
      </c>
      <c r="O60" s="11"/>
      <c r="P60" s="6">
        <v>1767.02</v>
      </c>
      <c r="Q60" s="2"/>
      <c r="R60" s="7">
        <f t="shared" si="36"/>
        <v>0</v>
      </c>
      <c r="S60" s="2"/>
      <c r="T60" s="6">
        <v>723.41</v>
      </c>
      <c r="U60" s="2"/>
      <c r="V60" s="7">
        <f t="shared" si="37"/>
        <v>0</v>
      </c>
      <c r="W60" s="2"/>
      <c r="X60" s="6">
        <f t="shared" si="38"/>
        <v>1043.6100000000001</v>
      </c>
      <c r="Y60" s="2"/>
      <c r="Z60" s="7">
        <f t="shared" si="39"/>
        <v>1.4426258967943493</v>
      </c>
    </row>
    <row r="61" spans="1:26" s="24" customFormat="1" hidden="1" outlineLevel="2" x14ac:dyDescent="0.25">
      <c r="A61" s="27"/>
      <c r="B61" s="11" t="str">
        <f>CONCATENATE("          ", "6235", " - ", "COVID-19 EXPENSES")</f>
        <v xml:space="preserve">          6235 - COVID-19 EXPENSES</v>
      </c>
      <c r="C61" s="11"/>
      <c r="D61" s="6">
        <v>4960</v>
      </c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4960</v>
      </c>
      <c r="M61" s="2"/>
      <c r="N61" s="7">
        <f t="shared" si="35"/>
        <v>0</v>
      </c>
      <c r="O61" s="11"/>
      <c r="P61" s="6">
        <v>4960</v>
      </c>
      <c r="Q61" s="2"/>
      <c r="R61" s="7">
        <f t="shared" si="36"/>
        <v>0</v>
      </c>
      <c r="S61" s="2"/>
      <c r="T61" s="6"/>
      <c r="U61" s="2"/>
      <c r="V61" s="7">
        <f t="shared" si="37"/>
        <v>0</v>
      </c>
      <c r="W61" s="2"/>
      <c r="X61" s="6">
        <f t="shared" si="38"/>
        <v>4960</v>
      </c>
      <c r="Y61" s="2"/>
      <c r="Z61" s="7">
        <f t="shared" si="39"/>
        <v>0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32"/>
        <v>0</v>
      </c>
      <c r="G62" s="2"/>
      <c r="H62" s="6">
        <v>253.33</v>
      </c>
      <c r="I62" s="2"/>
      <c r="J62" s="7">
        <f t="shared" si="33"/>
        <v>0</v>
      </c>
      <c r="K62" s="2"/>
      <c r="L62" s="6">
        <f t="shared" si="34"/>
        <v>-253.33</v>
      </c>
      <c r="M62" s="2"/>
      <c r="N62" s="7">
        <f t="shared" si="35"/>
        <v>-1</v>
      </c>
      <c r="O62" s="11"/>
      <c r="P62" s="6">
        <v>3952.95</v>
      </c>
      <c r="Q62" s="2"/>
      <c r="R62" s="7">
        <f t="shared" si="36"/>
        <v>0</v>
      </c>
      <c r="S62" s="2"/>
      <c r="T62" s="6">
        <v>4274.7299999999996</v>
      </c>
      <c r="U62" s="2"/>
      <c r="V62" s="7">
        <f t="shared" si="37"/>
        <v>0</v>
      </c>
      <c r="W62" s="2"/>
      <c r="X62" s="6">
        <f t="shared" si="38"/>
        <v>-321.77999999999975</v>
      </c>
      <c r="Y62" s="2"/>
      <c r="Z62" s="7">
        <f t="shared" si="39"/>
        <v>-7.5274929644679259E-2</v>
      </c>
    </row>
    <row r="63" spans="1:26" s="24" customFormat="1" hidden="1" outlineLevel="2" x14ac:dyDescent="0.25">
      <c r="A63" s="27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32"/>
        <v>0</v>
      </c>
      <c r="G63" s="2"/>
      <c r="H63" s="6">
        <v>50.26</v>
      </c>
      <c r="I63" s="2"/>
      <c r="J63" s="7">
        <f t="shared" si="33"/>
        <v>0</v>
      </c>
      <c r="K63" s="2"/>
      <c r="L63" s="6">
        <f t="shared" si="34"/>
        <v>-50.26</v>
      </c>
      <c r="M63" s="2"/>
      <c r="N63" s="7">
        <f t="shared" si="35"/>
        <v>-1</v>
      </c>
      <c r="O63" s="11"/>
      <c r="P63" s="6">
        <v>31.86</v>
      </c>
      <c r="Q63" s="2"/>
      <c r="R63" s="7">
        <f t="shared" si="36"/>
        <v>0</v>
      </c>
      <c r="S63" s="2"/>
      <c r="T63" s="6">
        <v>242.53</v>
      </c>
      <c r="U63" s="2"/>
      <c r="V63" s="7">
        <f t="shared" si="37"/>
        <v>0</v>
      </c>
      <c r="W63" s="2"/>
      <c r="X63" s="6">
        <f t="shared" si="38"/>
        <v>-210.67000000000002</v>
      </c>
      <c r="Y63" s="2"/>
      <c r="Z63" s="7">
        <f t="shared" si="39"/>
        <v>-0.86863480806498172</v>
      </c>
    </row>
    <row r="64" spans="1:26" s="25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SUM(OSRRefD22_14x_0)</f>
        <v>372.25</v>
      </c>
      <c r="E64" s="1"/>
      <c r="F64" s="5">
        <f t="shared" ref="F64:F70" si="40">IF(D$12=0,0,D64/D$12)</f>
        <v>0</v>
      </c>
      <c r="G64" s="1"/>
      <c r="H64" s="1">
        <f>SUM(OSRRefH22_14x_0)</f>
        <v>602.65</v>
      </c>
      <c r="I64" s="1"/>
      <c r="J64" s="5">
        <f t="shared" ref="J64:J70" si="41">IF(H$12=0,0,H64/H$12)</f>
        <v>0</v>
      </c>
      <c r="K64" s="1"/>
      <c r="L64" s="1">
        <f t="shared" ref="L64:L70" si="42">+D64-H64</f>
        <v>-230.39999999999998</v>
      </c>
      <c r="M64" s="1"/>
      <c r="N64" s="5">
        <f t="shared" ref="N64:N70" si="43">IF(H64=0,0,L64/H64)</f>
        <v>-0.38231145772836633</v>
      </c>
      <c r="O64" s="13"/>
      <c r="P64" s="1">
        <f>SUM(OSRRefP22_14x_0)</f>
        <v>3838.2</v>
      </c>
      <c r="Q64" s="1"/>
      <c r="R64" s="5">
        <f t="shared" ref="R64:R70" si="44">IF(P$12=0,0,P64/P$12)</f>
        <v>0</v>
      </c>
      <c r="S64" s="1"/>
      <c r="T64" s="1">
        <f>SUM(OSRRefT22_14x_0)</f>
        <v>3617.25</v>
      </c>
      <c r="U64" s="1"/>
      <c r="V64" s="5">
        <f t="shared" ref="V64:V70" si="45">IF(T$12=0,0,T64/T$12)</f>
        <v>0</v>
      </c>
      <c r="W64" s="1"/>
      <c r="X64" s="1">
        <f t="shared" ref="X64:X70" si="46">+P64-T64</f>
        <v>220.94999999999982</v>
      </c>
      <c r="Y64" s="1"/>
      <c r="Z64" s="5">
        <f t="shared" ref="Z64:Z70" si="47">IF(T64=0,0,X64/T64)</f>
        <v>6.1082313912502538E-2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372.25</v>
      </c>
      <c r="E65" s="2"/>
      <c r="F65" s="7">
        <f t="shared" si="40"/>
        <v>0</v>
      </c>
      <c r="G65" s="2"/>
      <c r="H65" s="6">
        <v>602.65</v>
      </c>
      <c r="I65" s="2"/>
      <c r="J65" s="7">
        <f t="shared" si="41"/>
        <v>0</v>
      </c>
      <c r="K65" s="2"/>
      <c r="L65" s="6">
        <f t="shared" si="42"/>
        <v>-230.39999999999998</v>
      </c>
      <c r="M65" s="2"/>
      <c r="N65" s="7">
        <f t="shared" si="43"/>
        <v>-0.38231145772836633</v>
      </c>
      <c r="O65" s="11"/>
      <c r="P65" s="6">
        <v>3838.2</v>
      </c>
      <c r="Q65" s="2"/>
      <c r="R65" s="7">
        <f t="shared" si="44"/>
        <v>0</v>
      </c>
      <c r="S65" s="2"/>
      <c r="T65" s="6">
        <v>3617.25</v>
      </c>
      <c r="U65" s="2"/>
      <c r="V65" s="7">
        <f t="shared" si="45"/>
        <v>0</v>
      </c>
      <c r="W65" s="2"/>
      <c r="X65" s="6">
        <f t="shared" si="46"/>
        <v>220.94999999999982</v>
      </c>
      <c r="Y65" s="2"/>
      <c r="Z65" s="7">
        <f t="shared" si="47"/>
        <v>6.1082313912502538E-2</v>
      </c>
    </row>
    <row r="66" spans="1:26" s="25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SUM(OSRRefD22_15x_0)</f>
        <v>0</v>
      </c>
      <c r="E66" s="1"/>
      <c r="F66" s="5">
        <f t="shared" si="40"/>
        <v>0</v>
      </c>
      <c r="G66" s="1"/>
      <c r="H66" s="1">
        <f>SUM(OSRRefH22_15x_0)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3"/>
      <c r="P66" s="1">
        <f>SUM(OSRRefP22_15x_0)</f>
        <v>6622.71</v>
      </c>
      <c r="Q66" s="1"/>
      <c r="R66" s="5">
        <f t="shared" si="44"/>
        <v>0</v>
      </c>
      <c r="S66" s="1"/>
      <c r="T66" s="1">
        <f>SUM(OSRRefT22_15x_0)</f>
        <v>3917.86</v>
      </c>
      <c r="U66" s="1"/>
      <c r="V66" s="5">
        <f t="shared" si="45"/>
        <v>0</v>
      </c>
      <c r="W66" s="1"/>
      <c r="X66" s="1">
        <f t="shared" si="46"/>
        <v>2704.85</v>
      </c>
      <c r="Y66" s="1"/>
      <c r="Z66" s="5">
        <f t="shared" si="47"/>
        <v>0.69038965149341724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6"/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>
        <v>6622.71</v>
      </c>
      <c r="Q67" s="2"/>
      <c r="R67" s="7">
        <f t="shared" si="44"/>
        <v>0</v>
      </c>
      <c r="S67" s="2"/>
      <c r="T67" s="6">
        <v>3917.86</v>
      </c>
      <c r="U67" s="2"/>
      <c r="V67" s="7">
        <f t="shared" si="45"/>
        <v>0</v>
      </c>
      <c r="W67" s="2"/>
      <c r="X67" s="6">
        <f t="shared" si="46"/>
        <v>2704.85</v>
      </c>
      <c r="Y67" s="2"/>
      <c r="Z67" s="7">
        <f t="shared" si="47"/>
        <v>0.69038965149341724</v>
      </c>
    </row>
    <row r="68" spans="1:26" s="25" customFormat="1" outlineLevel="1" collapsed="1" x14ac:dyDescent="0.25">
      <c r="A68" s="26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SUM(OSRRefD22_16x_0)</f>
        <v>0</v>
      </c>
      <c r="E68" s="1"/>
      <c r="F68" s="5">
        <f t="shared" si="40"/>
        <v>0</v>
      </c>
      <c r="G68" s="1"/>
      <c r="H68" s="1">
        <f>SUM(OSRRefH22_16x_0)</f>
        <v>20.89</v>
      </c>
      <c r="I68" s="1"/>
      <c r="J68" s="5">
        <f t="shared" si="41"/>
        <v>0</v>
      </c>
      <c r="K68" s="1"/>
      <c r="L68" s="1">
        <f t="shared" si="42"/>
        <v>-20.89</v>
      </c>
      <c r="M68" s="1"/>
      <c r="N68" s="5">
        <f t="shared" si="43"/>
        <v>-1</v>
      </c>
      <c r="O68" s="13"/>
      <c r="P68" s="1">
        <f>SUM(OSRRefP22_16x_0)</f>
        <v>3811.99</v>
      </c>
      <c r="Q68" s="1"/>
      <c r="R68" s="5">
        <f t="shared" si="44"/>
        <v>0</v>
      </c>
      <c r="S68" s="1"/>
      <c r="T68" s="1">
        <f>SUM(OSRRefT22_16x_0)</f>
        <v>13242.73</v>
      </c>
      <c r="U68" s="1"/>
      <c r="V68" s="5">
        <f t="shared" si="45"/>
        <v>0</v>
      </c>
      <c r="W68" s="1"/>
      <c r="X68" s="1">
        <f t="shared" si="46"/>
        <v>-9430.74</v>
      </c>
      <c r="Y68" s="1"/>
      <c r="Z68" s="5">
        <f t="shared" si="47"/>
        <v>-0.7121447012813823</v>
      </c>
    </row>
    <row r="69" spans="1:26" s="24" customFormat="1" hidden="1" outlineLevel="2" x14ac:dyDescent="0.25">
      <c r="A69" s="27"/>
      <c r="B69" s="11" t="str">
        <f>CONCATENATE("          ", "6292", " - ", "TRAVEL/CONFERENCE")</f>
        <v xml:space="preserve">          6292 - TRAVEL/CONFERENCE</v>
      </c>
      <c r="C69" s="11"/>
      <c r="D69" s="6"/>
      <c r="E69" s="2"/>
      <c r="F69" s="7">
        <f t="shared" si="40"/>
        <v>0</v>
      </c>
      <c r="G69" s="2"/>
      <c r="H69" s="6">
        <v>20.89</v>
      </c>
      <c r="I69" s="2"/>
      <c r="J69" s="7">
        <f t="shared" si="41"/>
        <v>0</v>
      </c>
      <c r="K69" s="2"/>
      <c r="L69" s="6">
        <f t="shared" si="42"/>
        <v>-20.89</v>
      </c>
      <c r="M69" s="2"/>
      <c r="N69" s="7">
        <f t="shared" si="43"/>
        <v>-1</v>
      </c>
      <c r="O69" s="11"/>
      <c r="P69" s="6">
        <v>3811.99</v>
      </c>
      <c r="Q69" s="2"/>
      <c r="R69" s="7">
        <f t="shared" si="44"/>
        <v>0</v>
      </c>
      <c r="S69" s="2"/>
      <c r="T69" s="6">
        <v>11868.3</v>
      </c>
      <c r="U69" s="2"/>
      <c r="V69" s="7">
        <f t="shared" si="45"/>
        <v>0</v>
      </c>
      <c r="W69" s="2"/>
      <c r="X69" s="6">
        <f t="shared" si="46"/>
        <v>-8056.3099999999995</v>
      </c>
      <c r="Y69" s="2"/>
      <c r="Z69" s="7">
        <f t="shared" si="47"/>
        <v>-0.67880909650076249</v>
      </c>
    </row>
    <row r="70" spans="1:26" s="24" customFormat="1" hidden="1" outlineLevel="2" x14ac:dyDescent="0.25">
      <c r="A70" s="27"/>
      <c r="B70" s="11" t="str">
        <f>CONCATENATE("          ", "6294", " - ", "TRAVEL OPERATIONAL")</f>
        <v xml:space="preserve">          6294 - TRAVEL OPERATIONAL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/>
      <c r="Q70" s="2"/>
      <c r="R70" s="7">
        <f t="shared" si="44"/>
        <v>0</v>
      </c>
      <c r="S70" s="2"/>
      <c r="T70" s="6">
        <v>1374.43</v>
      </c>
      <c r="U70" s="2"/>
      <c r="V70" s="7">
        <f t="shared" si="45"/>
        <v>0</v>
      </c>
      <c r="W70" s="2"/>
      <c r="X70" s="6">
        <f t="shared" si="46"/>
        <v>-1374.43</v>
      </c>
      <c r="Y70" s="2"/>
      <c r="Z70" s="7">
        <f t="shared" si="47"/>
        <v>-1</v>
      </c>
    </row>
    <row r="71" spans="1:26" s="53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1">
        <f>+D16-D18+D72</f>
        <v>-49313.53</v>
      </c>
      <c r="E74" s="14"/>
      <c r="F74" s="20">
        <f>IF(D$12=0,0,D74/D$12)</f>
        <v>0</v>
      </c>
      <c r="G74" s="14"/>
      <c r="H74" s="21">
        <f>+H16-H18+H72</f>
        <v>-69804.150000000009</v>
      </c>
      <c r="I74" s="14"/>
      <c r="J74" s="20">
        <f>IF(H$12=0,0,H74/H$12)</f>
        <v>0</v>
      </c>
      <c r="K74" s="15"/>
      <c r="L74" s="21">
        <f>+D74-H74</f>
        <v>20490.62000000001</v>
      </c>
      <c r="M74" s="15"/>
      <c r="N74" s="20">
        <f>IF(H74=0,0,L74/H74)</f>
        <v>-0.29354443826047605</v>
      </c>
      <c r="O74" s="29"/>
      <c r="P74" s="21">
        <f>+P16-P18+P72</f>
        <v>-601681.70999999985</v>
      </c>
      <c r="Q74" s="14"/>
      <c r="R74" s="20">
        <f>IF(P$12=0,0,P74/P$12)</f>
        <v>0</v>
      </c>
      <c r="S74" s="14"/>
      <c r="T74" s="21">
        <f>+T16-T18+T72</f>
        <v>-761941.60000000021</v>
      </c>
      <c r="U74" s="14"/>
      <c r="V74" s="20">
        <f>IF(T$12=0,0,T74/T$12)</f>
        <v>0</v>
      </c>
      <c r="W74" s="15"/>
      <c r="X74" s="21">
        <f>+P74-T74</f>
        <v>160259.89000000036</v>
      </c>
      <c r="Y74" s="15"/>
      <c r="Z74" s="20">
        <f>IF(T74=0,0,X74/T74)</f>
        <v>-0.21033093612423881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0">
        <f>+D74-D76</f>
        <v>-49313.53</v>
      </c>
      <c r="E78" s="14"/>
      <c r="F78" s="36">
        <f>IF(D$12=0,0,D78/D$12)</f>
        <v>0</v>
      </c>
      <c r="G78" s="14"/>
      <c r="H78" s="30">
        <f>+H74-H76</f>
        <v>-69804.150000000009</v>
      </c>
      <c r="I78" s="14"/>
      <c r="J78" s="36">
        <f>IF(H$12=0,0,H78/H$12)</f>
        <v>0</v>
      </c>
      <c r="K78" s="15"/>
      <c r="L78" s="30">
        <f>D78-H78</f>
        <v>20490.62000000001</v>
      </c>
      <c r="M78" s="15"/>
      <c r="N78" s="36">
        <f>IF(H78=0,0,L78/H78)</f>
        <v>-0.29354443826047605</v>
      </c>
      <c r="O78" s="29"/>
      <c r="P78" s="30">
        <f>+P74-P76</f>
        <v>-601681.70999999985</v>
      </c>
      <c r="Q78" s="14"/>
      <c r="R78" s="36">
        <f>IF(P$12=0,0,P78/P$12)</f>
        <v>0</v>
      </c>
      <c r="S78" s="14"/>
      <c r="T78" s="30">
        <f>+T74-T76</f>
        <v>-761941.60000000021</v>
      </c>
      <c r="U78" s="14"/>
      <c r="V78" s="36">
        <f>IF(T$12=0,0,T78/T$12)</f>
        <v>0</v>
      </c>
      <c r="W78" s="15"/>
      <c r="X78" s="30">
        <f>P78-T78</f>
        <v>160259.89000000036</v>
      </c>
      <c r="Y78" s="15"/>
      <c r="Z78" s="36">
        <f>IF(T78=0,0,X78/T78)</f>
        <v>-0.21033093612423881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1">
        <f>SUM(D78:D80)</f>
        <v>-49313.53</v>
      </c>
      <c r="E81" s="14"/>
      <c r="F81" s="32">
        <f>IF(D$12=0,0,D81/D$12)</f>
        <v>0</v>
      </c>
      <c r="G81" s="14"/>
      <c r="H81" s="31">
        <f>SUM(H78:H80)</f>
        <v>-69804.150000000009</v>
      </c>
      <c r="I81" s="14"/>
      <c r="J81" s="32">
        <f>IF(H$12=0,0,H81/H$12)</f>
        <v>0</v>
      </c>
      <c r="K81" s="15"/>
      <c r="L81" s="31">
        <f>+D81-H81</f>
        <v>20490.62000000001</v>
      </c>
      <c r="M81" s="15"/>
      <c r="N81" s="32">
        <f>IF(H81=0,0,L81/H81)</f>
        <v>-0.29354443826047605</v>
      </c>
      <c r="O81" s="29"/>
      <c r="P81" s="31">
        <f>SUM(P78:P80)</f>
        <v>-601681.70999999985</v>
      </c>
      <c r="Q81" s="14"/>
      <c r="R81" s="32">
        <f>IF(P$12=0,0,P81/P$12)</f>
        <v>0</v>
      </c>
      <c r="S81" s="14"/>
      <c r="T81" s="31">
        <f>SUM(T78:T80)</f>
        <v>-761941.60000000021</v>
      </c>
      <c r="U81" s="14"/>
      <c r="V81" s="32">
        <f>IF(T$12=0,0,T81/T$12)</f>
        <v>0</v>
      </c>
      <c r="W81" s="15"/>
      <c r="X81" s="31">
        <f>+P81-T81</f>
        <v>160259.89000000036</v>
      </c>
      <c r="Y81" s="15"/>
      <c r="Z81" s="32">
        <f>IF(T81=0,0,X81/T81)</f>
        <v>-0.21033093612423881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4">
        <v>43965.470721261576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59" t="s">
        <v>313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61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","202", " - ", "Accounting")</f>
        <v>Department 202 - Accounting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-7537.7599999999975</v>
      </c>
      <c r="E18" s="22"/>
      <c r="F18" s="35">
        <f t="shared" ref="F18:F27" si="0">IF(D$12=0,0,D18/D$12)</f>
        <v>0</v>
      </c>
      <c r="G18" s="22"/>
      <c r="H18" s="22">
        <f>SUM(OSRRefH22x_0)</f>
        <v>46972.499999999993</v>
      </c>
      <c r="I18" s="22"/>
      <c r="J18" s="35">
        <f t="shared" ref="J18:J27" si="1">IF(H$12=0,0,H18/H$12)</f>
        <v>0</v>
      </c>
      <c r="K18" s="4"/>
      <c r="L18" s="22">
        <f t="shared" ref="L18:L27" si="2">+D18-H18</f>
        <v>-54510.259999999987</v>
      </c>
      <c r="M18" s="4"/>
      <c r="N18" s="35">
        <f t="shared" ref="N18:N27" si="3">IF(H18=0,0,L18/H18)</f>
        <v>-1.1604717653946457</v>
      </c>
      <c r="O18" s="10"/>
      <c r="P18" s="22">
        <f>SUM(OSRRefP22x_0)</f>
        <v>506101.7699999999</v>
      </c>
      <c r="Q18" s="22"/>
      <c r="R18" s="35">
        <f t="shared" ref="R18:R27" si="4">IF(P$12=0,0,P18/P$12)</f>
        <v>0</v>
      </c>
      <c r="S18" s="22"/>
      <c r="T18" s="22">
        <f>SUM(OSRRefT22x_0)</f>
        <v>535245.37999999989</v>
      </c>
      <c r="U18" s="22"/>
      <c r="V18" s="35">
        <f t="shared" ref="V18:V27" si="5">IF(T$12=0,0,T18/T$12)</f>
        <v>0</v>
      </c>
      <c r="W18" s="4"/>
      <c r="X18" s="22">
        <f t="shared" ref="X18:X27" si="6">+P18-T18</f>
        <v>-29143.609999999986</v>
      </c>
      <c r="Y18" s="4"/>
      <c r="Z18" s="35">
        <f t="shared" ref="Z18:Z27" si="7">IF(T18=0,0,X18/T18)</f>
        <v>-5.4449064090940857E-2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-21928.38</v>
      </c>
      <c r="E19" s="1"/>
      <c r="F19" s="5">
        <f t="shared" si="0"/>
        <v>0</v>
      </c>
      <c r="G19" s="1"/>
      <c r="H19" s="1">
        <f>SUM(OSRRefH22_0x_0)</f>
        <v>13797.48</v>
      </c>
      <c r="I19" s="1"/>
      <c r="J19" s="5">
        <f t="shared" si="1"/>
        <v>0</v>
      </c>
      <c r="K19" s="1"/>
      <c r="L19" s="1">
        <f t="shared" si="2"/>
        <v>-35725.86</v>
      </c>
      <c r="M19" s="1"/>
      <c r="N19" s="5">
        <f t="shared" si="3"/>
        <v>-2.5893032640743092</v>
      </c>
      <c r="O19" s="13"/>
      <c r="P19" s="1">
        <f>SUM(OSRRefP22_0x_0)</f>
        <v>122575.5</v>
      </c>
      <c r="Q19" s="1"/>
      <c r="R19" s="5">
        <f t="shared" si="4"/>
        <v>0</v>
      </c>
      <c r="S19" s="1"/>
      <c r="T19" s="1">
        <f>SUM(OSRRefT22_0x_0)</f>
        <v>156838.31999999998</v>
      </c>
      <c r="U19" s="1"/>
      <c r="V19" s="5">
        <f t="shared" si="5"/>
        <v>0</v>
      </c>
      <c r="W19" s="1"/>
      <c r="X19" s="1">
        <f t="shared" si="6"/>
        <v>-34262.819999999978</v>
      </c>
      <c r="Y19" s="1"/>
      <c r="Z19" s="5">
        <f t="shared" si="7"/>
        <v>-0.21845949382778382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2433.59</v>
      </c>
      <c r="E20" s="2"/>
      <c r="F20" s="7">
        <f t="shared" si="0"/>
        <v>0</v>
      </c>
      <c r="G20" s="2"/>
      <c r="H20" s="6">
        <v>2092.96</v>
      </c>
      <c r="I20" s="2"/>
      <c r="J20" s="7">
        <f t="shared" si="1"/>
        <v>0</v>
      </c>
      <c r="K20" s="2"/>
      <c r="L20" s="6">
        <f t="shared" si="2"/>
        <v>340.63000000000011</v>
      </c>
      <c r="M20" s="2"/>
      <c r="N20" s="7">
        <f t="shared" si="3"/>
        <v>0.16275036312208552</v>
      </c>
      <c r="O20" s="11"/>
      <c r="P20" s="6">
        <v>26495.119999999999</v>
      </c>
      <c r="Q20" s="2"/>
      <c r="R20" s="7">
        <f t="shared" si="4"/>
        <v>0</v>
      </c>
      <c r="S20" s="2"/>
      <c r="T20" s="6">
        <v>23244.449999999997</v>
      </c>
      <c r="U20" s="2"/>
      <c r="V20" s="7">
        <f t="shared" si="5"/>
        <v>0</v>
      </c>
      <c r="W20" s="2"/>
      <c r="X20" s="6">
        <f t="shared" si="6"/>
        <v>3250.6700000000019</v>
      </c>
      <c r="Y20" s="2"/>
      <c r="Z20" s="7">
        <f t="shared" si="7"/>
        <v>0.13984714630804351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72.930000000000007</v>
      </c>
      <c r="E21" s="2"/>
      <c r="F21" s="7">
        <f t="shared" si="0"/>
        <v>0</v>
      </c>
      <c r="G21" s="2"/>
      <c r="H21" s="6">
        <v>94.18</v>
      </c>
      <c r="I21" s="2"/>
      <c r="J21" s="7">
        <f t="shared" si="1"/>
        <v>0</v>
      </c>
      <c r="K21" s="2"/>
      <c r="L21" s="6">
        <f t="shared" si="2"/>
        <v>-21.25</v>
      </c>
      <c r="M21" s="2"/>
      <c r="N21" s="7">
        <f t="shared" si="3"/>
        <v>-0.22563176895306858</v>
      </c>
      <c r="O21" s="11"/>
      <c r="P21" s="6">
        <v>1086.07</v>
      </c>
      <c r="Q21" s="2"/>
      <c r="R21" s="7">
        <f t="shared" si="4"/>
        <v>0</v>
      </c>
      <c r="S21" s="2"/>
      <c r="T21" s="6">
        <v>937.75</v>
      </c>
      <c r="U21" s="2"/>
      <c r="V21" s="7">
        <f t="shared" si="5"/>
        <v>0</v>
      </c>
      <c r="W21" s="2"/>
      <c r="X21" s="6">
        <f t="shared" si="6"/>
        <v>148.31999999999994</v>
      </c>
      <c r="Y21" s="2"/>
      <c r="Z21" s="7">
        <f t="shared" si="7"/>
        <v>0.15816582244734731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5567.04</v>
      </c>
      <c r="E22" s="2"/>
      <c r="F22" s="7">
        <f t="shared" si="0"/>
        <v>0</v>
      </c>
      <c r="G22" s="2"/>
      <c r="H22" s="6">
        <v>5888.52</v>
      </c>
      <c r="I22" s="2"/>
      <c r="J22" s="7">
        <f t="shared" si="1"/>
        <v>0</v>
      </c>
      <c r="K22" s="2"/>
      <c r="L22" s="6">
        <f t="shared" si="2"/>
        <v>-321.48000000000047</v>
      </c>
      <c r="M22" s="2"/>
      <c r="N22" s="7">
        <f t="shared" si="3"/>
        <v>-5.4594363269548279E-2</v>
      </c>
      <c r="O22" s="11"/>
      <c r="P22" s="6">
        <v>60742.71</v>
      </c>
      <c r="Q22" s="2"/>
      <c r="R22" s="7">
        <f t="shared" si="4"/>
        <v>0</v>
      </c>
      <c r="S22" s="2"/>
      <c r="T22" s="6">
        <v>62923.44</v>
      </c>
      <c r="U22" s="2"/>
      <c r="V22" s="7">
        <f t="shared" si="5"/>
        <v>0</v>
      </c>
      <c r="W22" s="2"/>
      <c r="X22" s="6">
        <f t="shared" si="6"/>
        <v>-2180.7300000000032</v>
      </c>
      <c r="Y22" s="2"/>
      <c r="Z22" s="7">
        <f t="shared" si="7"/>
        <v>-3.4656878263489774E-2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55.77</v>
      </c>
      <c r="E23" s="2"/>
      <c r="F23" s="7">
        <f t="shared" si="0"/>
        <v>0</v>
      </c>
      <c r="G23" s="2"/>
      <c r="H23" s="6">
        <v>78.989999999999995</v>
      </c>
      <c r="I23" s="2"/>
      <c r="J23" s="7">
        <f t="shared" si="1"/>
        <v>0</v>
      </c>
      <c r="K23" s="2"/>
      <c r="L23" s="6">
        <f t="shared" si="2"/>
        <v>-23.219999999999992</v>
      </c>
      <c r="M23" s="2"/>
      <c r="N23" s="7">
        <f t="shared" si="3"/>
        <v>-0.29396126091910357</v>
      </c>
      <c r="O23" s="11"/>
      <c r="P23" s="6">
        <v>971.28</v>
      </c>
      <c r="Q23" s="2"/>
      <c r="R23" s="7">
        <f t="shared" si="4"/>
        <v>0</v>
      </c>
      <c r="S23" s="2"/>
      <c r="T23" s="6">
        <v>894.2</v>
      </c>
      <c r="U23" s="2"/>
      <c r="V23" s="7">
        <f t="shared" si="5"/>
        <v>0</v>
      </c>
      <c r="W23" s="2"/>
      <c r="X23" s="6">
        <f t="shared" si="6"/>
        <v>77.079999999999927</v>
      </c>
      <c r="Y23" s="2"/>
      <c r="Z23" s="7">
        <f t="shared" si="7"/>
        <v>8.6199955267277931E-2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3089.01</v>
      </c>
      <c r="E24" s="2"/>
      <c r="F24" s="7">
        <f t="shared" si="0"/>
        <v>0</v>
      </c>
      <c r="G24" s="2"/>
      <c r="H24" s="6">
        <v>2007.42</v>
      </c>
      <c r="I24" s="2"/>
      <c r="J24" s="7">
        <f t="shared" si="1"/>
        <v>0</v>
      </c>
      <c r="K24" s="2"/>
      <c r="L24" s="6">
        <f t="shared" si="2"/>
        <v>1081.5900000000001</v>
      </c>
      <c r="M24" s="2"/>
      <c r="N24" s="7">
        <f t="shared" si="3"/>
        <v>0.53879606659294021</v>
      </c>
      <c r="O24" s="11"/>
      <c r="P24" s="6">
        <v>25906.32</v>
      </c>
      <c r="Q24" s="2"/>
      <c r="R24" s="7">
        <f t="shared" si="4"/>
        <v>0</v>
      </c>
      <c r="S24" s="2"/>
      <c r="T24" s="6">
        <v>22651.91</v>
      </c>
      <c r="U24" s="2"/>
      <c r="V24" s="7">
        <f t="shared" si="5"/>
        <v>0</v>
      </c>
      <c r="W24" s="2"/>
      <c r="X24" s="6">
        <f t="shared" si="6"/>
        <v>3254.41</v>
      </c>
      <c r="Y24" s="2"/>
      <c r="Z24" s="7">
        <f t="shared" si="7"/>
        <v>0.14367044545029536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6">
        <v>2281.11</v>
      </c>
      <c r="E25" s="2"/>
      <c r="F25" s="7">
        <f t="shared" si="0"/>
        <v>0</v>
      </c>
      <c r="G25" s="2"/>
      <c r="H25" s="6">
        <v>1812.38</v>
      </c>
      <c r="I25" s="2"/>
      <c r="J25" s="7">
        <f t="shared" si="1"/>
        <v>0</v>
      </c>
      <c r="K25" s="2"/>
      <c r="L25" s="6">
        <f t="shared" si="2"/>
        <v>468.73</v>
      </c>
      <c r="M25" s="2"/>
      <c r="N25" s="7">
        <f t="shared" si="3"/>
        <v>0.25862677804875356</v>
      </c>
      <c r="O25" s="11"/>
      <c r="P25" s="6">
        <v>21182.400000000001</v>
      </c>
      <c r="Q25" s="2"/>
      <c r="R25" s="7">
        <f t="shared" si="4"/>
        <v>0</v>
      </c>
      <c r="S25" s="2"/>
      <c r="T25" s="6">
        <v>20066.080000000002</v>
      </c>
      <c r="U25" s="2"/>
      <c r="V25" s="7">
        <f t="shared" si="5"/>
        <v>0</v>
      </c>
      <c r="W25" s="2"/>
      <c r="X25" s="6">
        <f t="shared" si="6"/>
        <v>1116.3199999999997</v>
      </c>
      <c r="Y25" s="2"/>
      <c r="Z25" s="7">
        <f t="shared" si="7"/>
        <v>5.5632191240142549E-2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6">
        <v>-35515.33</v>
      </c>
      <c r="E26" s="2"/>
      <c r="F26" s="7">
        <f t="shared" si="0"/>
        <v>0</v>
      </c>
      <c r="G26" s="2"/>
      <c r="H26" s="6">
        <v>1118.6199999999999</v>
      </c>
      <c r="I26" s="2"/>
      <c r="J26" s="7">
        <f t="shared" si="1"/>
        <v>0</v>
      </c>
      <c r="K26" s="2"/>
      <c r="L26" s="6">
        <f t="shared" si="2"/>
        <v>-36633.950000000004</v>
      </c>
      <c r="M26" s="2"/>
      <c r="N26" s="7">
        <f t="shared" si="3"/>
        <v>-32.749235665373412</v>
      </c>
      <c r="O26" s="11"/>
      <c r="P26" s="6">
        <v>-21311.279999999999</v>
      </c>
      <c r="Q26" s="2"/>
      <c r="R26" s="7">
        <f t="shared" si="4"/>
        <v>0</v>
      </c>
      <c r="S26" s="2"/>
      <c r="T26" s="6">
        <v>18777.53</v>
      </c>
      <c r="U26" s="2"/>
      <c r="V26" s="7">
        <f t="shared" si="5"/>
        <v>0</v>
      </c>
      <c r="W26" s="2"/>
      <c r="X26" s="6">
        <f t="shared" si="6"/>
        <v>-40088.81</v>
      </c>
      <c r="Y26" s="2"/>
      <c r="Z26" s="7">
        <f t="shared" si="7"/>
        <v>-2.1349352124587204</v>
      </c>
    </row>
    <row r="27" spans="1:26" s="24" customFormat="1" hidden="1" outlineLevel="2" x14ac:dyDescent="0.25">
      <c r="A27" s="27"/>
      <c r="B27" s="11" t="str">
        <f>CONCATENATE("          ", "6156", " - ", "EMPLOYEE MEALS")</f>
        <v xml:space="preserve">          6156 - EMPLOYEE MEALS</v>
      </c>
      <c r="C27" s="11"/>
      <c r="D27" s="6">
        <v>87.5</v>
      </c>
      <c r="E27" s="2"/>
      <c r="F27" s="7">
        <f t="shared" si="0"/>
        <v>0</v>
      </c>
      <c r="G27" s="2"/>
      <c r="H27" s="6">
        <v>704.41</v>
      </c>
      <c r="I27" s="2"/>
      <c r="J27" s="7">
        <f t="shared" si="1"/>
        <v>0</v>
      </c>
      <c r="K27" s="2"/>
      <c r="L27" s="6">
        <f t="shared" si="2"/>
        <v>-616.91</v>
      </c>
      <c r="M27" s="2"/>
      <c r="N27" s="7">
        <f t="shared" si="3"/>
        <v>-0.87578256981019575</v>
      </c>
      <c r="O27" s="11"/>
      <c r="P27" s="6">
        <v>7502.88</v>
      </c>
      <c r="Q27" s="2"/>
      <c r="R27" s="7">
        <f t="shared" si="4"/>
        <v>0</v>
      </c>
      <c r="S27" s="2"/>
      <c r="T27" s="6">
        <v>7342.96</v>
      </c>
      <c r="U27" s="2"/>
      <c r="V27" s="7">
        <f t="shared" si="5"/>
        <v>0</v>
      </c>
      <c r="W27" s="2"/>
      <c r="X27" s="6">
        <f t="shared" si="6"/>
        <v>159.92000000000007</v>
      </c>
      <c r="Y27" s="2"/>
      <c r="Z27" s="7">
        <f t="shared" si="7"/>
        <v>2.1778683255798761E-2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9529.02</v>
      </c>
      <c r="E28" s="1"/>
      <c r="F28" s="5">
        <f t="shared" ref="F28:F34" si="8">IF(D$12=0,0,D28/D$12)</f>
        <v>0</v>
      </c>
      <c r="G28" s="1"/>
      <c r="H28" s="1">
        <f>SUM(OSRRefH22_1x_0)</f>
        <v>29160.450000000004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-19631.430000000004</v>
      </c>
      <c r="M28" s="1"/>
      <c r="N28" s="5">
        <f t="shared" ref="N28:N34" si="11">IF(H28=0,0,L28/H28)</f>
        <v>-0.6732210922670947</v>
      </c>
      <c r="O28" s="13"/>
      <c r="P28" s="1">
        <f>SUM(OSRRefP22_1x_0)</f>
        <v>309901.15999999997</v>
      </c>
      <c r="Q28" s="1"/>
      <c r="R28" s="5">
        <f t="shared" ref="R28:R34" si="12">IF(P$12=0,0,P28/P$12)</f>
        <v>0</v>
      </c>
      <c r="S28" s="1"/>
      <c r="T28" s="1">
        <f>SUM(OSRRefT22_1x_0)</f>
        <v>296573.7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13327.459999999963</v>
      </c>
      <c r="Y28" s="1"/>
      <c r="Z28" s="5">
        <f t="shared" ref="Z28:Z34" si="15">IF(T28=0,0,X28/T28)</f>
        <v>4.4938104761143564E-2</v>
      </c>
    </row>
    <row r="29" spans="1:26" s="24" customFormat="1" hidden="1" outlineLevel="2" x14ac:dyDescent="0.25">
      <c r="A29" s="27"/>
      <c r="B29" s="11" t="str">
        <f>CONCATENATE("          ", "6002", " - ", "STAFF SALARIES")</f>
        <v xml:space="preserve">          6002 - STAFF SALARIES</v>
      </c>
      <c r="C29" s="11"/>
      <c r="D29" s="6">
        <v>18790.04</v>
      </c>
      <c r="E29" s="2"/>
      <c r="F29" s="7">
        <f t="shared" si="8"/>
        <v>0</v>
      </c>
      <c r="G29" s="2"/>
      <c r="H29" s="6">
        <v>22363.190000000002</v>
      </c>
      <c r="I29" s="2"/>
      <c r="J29" s="7">
        <f t="shared" si="9"/>
        <v>0</v>
      </c>
      <c r="K29" s="2"/>
      <c r="L29" s="6">
        <f t="shared" si="10"/>
        <v>-3573.1500000000015</v>
      </c>
      <c r="M29" s="2"/>
      <c r="N29" s="7">
        <f t="shared" si="11"/>
        <v>-0.15977818906873309</v>
      </c>
      <c r="O29" s="11"/>
      <c r="P29" s="6">
        <v>260598.14</v>
      </c>
      <c r="Q29" s="2"/>
      <c r="R29" s="7">
        <f t="shared" si="12"/>
        <v>0</v>
      </c>
      <c r="S29" s="2"/>
      <c r="T29" s="6">
        <v>232265.28</v>
      </c>
      <c r="U29" s="2"/>
      <c r="V29" s="7">
        <f t="shared" si="13"/>
        <v>0</v>
      </c>
      <c r="W29" s="2"/>
      <c r="X29" s="6">
        <f t="shared" si="14"/>
        <v>28332.860000000015</v>
      </c>
      <c r="Y29" s="2"/>
      <c r="Z29" s="7">
        <f t="shared" si="15"/>
        <v>0.1219849131131438</v>
      </c>
    </row>
    <row r="30" spans="1:26" s="24" customFormat="1" hidden="1" outlineLevel="2" x14ac:dyDescent="0.25">
      <c r="A30" s="27"/>
      <c r="B30" s="11" t="str">
        <f>CONCATENATE("          ", "6004", " - ", "STAFF HOURLY")</f>
        <v xml:space="preserve">          6004 - STAFF HOURLY</v>
      </c>
      <c r="C30" s="11"/>
      <c r="D30" s="6">
        <v>-9381.52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-9381.52</v>
      </c>
      <c r="M30" s="2"/>
      <c r="N30" s="7">
        <f t="shared" si="11"/>
        <v>0</v>
      </c>
      <c r="O30" s="11"/>
      <c r="P30" s="6">
        <v>-9381.52</v>
      </c>
      <c r="Q30" s="2"/>
      <c r="R30" s="7">
        <f t="shared" si="12"/>
        <v>0</v>
      </c>
      <c r="S30" s="2"/>
      <c r="T30" s="6"/>
      <c r="U30" s="2"/>
      <c r="V30" s="7">
        <f t="shared" si="13"/>
        <v>0</v>
      </c>
      <c r="W30" s="2"/>
      <c r="X30" s="6">
        <f t="shared" si="14"/>
        <v>-9381.52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"6005", " - ", "TEMPORARY WAGES-HOURLY")</f>
        <v xml:space="preserve">          6005 - TEMPORARY WAGES-HOURLY</v>
      </c>
      <c r="C31" s="11"/>
      <c r="D31" s="6"/>
      <c r="E31" s="2"/>
      <c r="F31" s="7">
        <f t="shared" si="8"/>
        <v>0</v>
      </c>
      <c r="G31" s="2"/>
      <c r="H31" s="6">
        <v>1712.38</v>
      </c>
      <c r="I31" s="2"/>
      <c r="J31" s="7">
        <f t="shared" si="9"/>
        <v>0</v>
      </c>
      <c r="K31" s="2"/>
      <c r="L31" s="6">
        <f t="shared" si="10"/>
        <v>-1712.38</v>
      </c>
      <c r="M31" s="2"/>
      <c r="N31" s="7">
        <f t="shared" si="11"/>
        <v>-1</v>
      </c>
      <c r="O31" s="11"/>
      <c r="P31" s="6">
        <v>20823.22</v>
      </c>
      <c r="Q31" s="2"/>
      <c r="R31" s="7">
        <f t="shared" si="12"/>
        <v>0</v>
      </c>
      <c r="S31" s="2"/>
      <c r="T31" s="6">
        <v>20690.129999999997</v>
      </c>
      <c r="U31" s="2"/>
      <c r="V31" s="7">
        <f t="shared" si="13"/>
        <v>0</v>
      </c>
      <c r="W31" s="2"/>
      <c r="X31" s="6">
        <f t="shared" si="14"/>
        <v>133.09000000000378</v>
      </c>
      <c r="Y31" s="2"/>
      <c r="Z31" s="7">
        <f t="shared" si="15"/>
        <v>6.4325357066390499E-3</v>
      </c>
    </row>
    <row r="32" spans="1:26" s="24" customFormat="1" hidden="1" outlineLevel="2" x14ac:dyDescent="0.25">
      <c r="A32" s="27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8"/>
        <v>0</v>
      </c>
      <c r="G32" s="2"/>
      <c r="H32" s="6">
        <v>1436.88</v>
      </c>
      <c r="I32" s="2"/>
      <c r="J32" s="7">
        <f t="shared" si="9"/>
        <v>0</v>
      </c>
      <c r="K32" s="2"/>
      <c r="L32" s="6">
        <f t="shared" si="10"/>
        <v>-1436.88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5753.52</v>
      </c>
      <c r="U32" s="2"/>
      <c r="V32" s="7">
        <f t="shared" si="13"/>
        <v>0</v>
      </c>
      <c r="W32" s="2"/>
      <c r="X32" s="6">
        <f t="shared" si="14"/>
        <v>-5753.52</v>
      </c>
      <c r="Y32" s="2"/>
      <c r="Z32" s="7">
        <f t="shared" si="15"/>
        <v>-1</v>
      </c>
    </row>
    <row r="33" spans="1:26" s="24" customFormat="1" hidden="1" outlineLevel="2" x14ac:dyDescent="0.25">
      <c r="A33" s="27"/>
      <c r="B33" s="11" t="str">
        <f>CONCATENATE("          ", "6007", " - ", "STUDENT HOURLY")</f>
        <v xml:space="preserve">          6007 - STUDENT HOURLY</v>
      </c>
      <c r="C33" s="11"/>
      <c r="D33" s="6">
        <v>-120</v>
      </c>
      <c r="E33" s="2"/>
      <c r="F33" s="7">
        <f t="shared" si="8"/>
        <v>0</v>
      </c>
      <c r="G33" s="2"/>
      <c r="H33" s="6">
        <v>3033</v>
      </c>
      <c r="I33" s="2"/>
      <c r="J33" s="7">
        <f t="shared" si="9"/>
        <v>0</v>
      </c>
      <c r="K33" s="2"/>
      <c r="L33" s="6">
        <f t="shared" si="10"/>
        <v>-3153</v>
      </c>
      <c r="M33" s="2"/>
      <c r="N33" s="7">
        <f t="shared" si="11"/>
        <v>-1.0395647873392682</v>
      </c>
      <c r="O33" s="11"/>
      <c r="P33" s="6">
        <v>32551.350000000002</v>
      </c>
      <c r="Q33" s="2"/>
      <c r="R33" s="7">
        <f t="shared" si="12"/>
        <v>0</v>
      </c>
      <c r="S33" s="2"/>
      <c r="T33" s="6">
        <v>35554.769999999997</v>
      </c>
      <c r="U33" s="2"/>
      <c r="V33" s="7">
        <f t="shared" si="13"/>
        <v>0</v>
      </c>
      <c r="W33" s="2"/>
      <c r="X33" s="6">
        <f t="shared" si="14"/>
        <v>-3003.4199999999946</v>
      </c>
      <c r="Y33" s="2"/>
      <c r="Z33" s="7">
        <f t="shared" si="15"/>
        <v>-8.4473053826532835E-2</v>
      </c>
    </row>
    <row r="34" spans="1:26" s="24" customFormat="1" hidden="1" outlineLevel="2" x14ac:dyDescent="0.25">
      <c r="A34" s="27"/>
      <c r="B34" s="11" t="str">
        <f>CONCATENATE("          ", "6008", " - ", "STUDENT HOURLY-FICA EXEMPT")</f>
        <v xml:space="preserve">          6008 - STUDENT HOURLY-FICA EXEMPT</v>
      </c>
      <c r="C34" s="11"/>
      <c r="D34" s="6">
        <v>240.5</v>
      </c>
      <c r="E34" s="2"/>
      <c r="F34" s="7">
        <f t="shared" si="8"/>
        <v>0</v>
      </c>
      <c r="G34" s="2"/>
      <c r="H34" s="6">
        <v>615</v>
      </c>
      <c r="I34" s="2"/>
      <c r="J34" s="7">
        <f t="shared" si="9"/>
        <v>0</v>
      </c>
      <c r="K34" s="2"/>
      <c r="L34" s="6">
        <f t="shared" si="10"/>
        <v>-374.5</v>
      </c>
      <c r="M34" s="2"/>
      <c r="N34" s="7">
        <f t="shared" si="11"/>
        <v>-0.60894308943089426</v>
      </c>
      <c r="O34" s="11"/>
      <c r="P34" s="6">
        <v>5309.97</v>
      </c>
      <c r="Q34" s="2"/>
      <c r="R34" s="7">
        <f t="shared" si="12"/>
        <v>0</v>
      </c>
      <c r="S34" s="2"/>
      <c r="T34" s="6">
        <v>2310</v>
      </c>
      <c r="U34" s="2"/>
      <c r="V34" s="7">
        <f t="shared" si="13"/>
        <v>0</v>
      </c>
      <c r="W34" s="2"/>
      <c r="X34" s="6">
        <f t="shared" si="14"/>
        <v>2999.9700000000003</v>
      </c>
      <c r="Y34" s="2"/>
      <c r="Z34" s="7">
        <f t="shared" si="15"/>
        <v>1.2986883116883119</v>
      </c>
    </row>
    <row r="35" spans="1:26" s="25" customFormat="1" outlineLevel="1" collapsed="1" x14ac:dyDescent="0.25">
      <c r="A35" s="26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54" si="16">IF(D$12=0,0,D35/D$12)</f>
        <v>0</v>
      </c>
      <c r="G35" s="1"/>
      <c r="H35" s="1">
        <f>SUM(OSRRefH22_2x_0)</f>
        <v>18</v>
      </c>
      <c r="I35" s="1"/>
      <c r="J35" s="5">
        <f t="shared" ref="J35:J54" si="17">IF(H$12=0,0,H35/H$12)</f>
        <v>0</v>
      </c>
      <c r="K35" s="1"/>
      <c r="L35" s="1">
        <f t="shared" ref="L35:L54" si="18">+D35-H35</f>
        <v>-18</v>
      </c>
      <c r="M35" s="1"/>
      <c r="N35" s="5">
        <f t="shared" ref="N35:N54" si="19">IF(H35=0,0,L35/H35)</f>
        <v>-1</v>
      </c>
      <c r="O35" s="13"/>
      <c r="P35" s="1">
        <f>SUM(OSRRefP22_2x_0)</f>
        <v>62</v>
      </c>
      <c r="Q35" s="1"/>
      <c r="R35" s="5">
        <f t="shared" ref="R35:R54" si="20">IF(P$12=0,0,P35/P$12)</f>
        <v>0</v>
      </c>
      <c r="S35" s="1"/>
      <c r="T35" s="1">
        <f>SUM(OSRRefT22_2x_0)</f>
        <v>54</v>
      </c>
      <c r="U35" s="1"/>
      <c r="V35" s="5">
        <f t="shared" ref="V35:V54" si="21">IF(T$12=0,0,T35/T$12)</f>
        <v>0</v>
      </c>
      <c r="W35" s="1"/>
      <c r="X35" s="1">
        <f t="shared" ref="X35:X54" si="22">+P35-T35</f>
        <v>8</v>
      </c>
      <c r="Y35" s="1"/>
      <c r="Z35" s="5">
        <f t="shared" ref="Z35:Z54" si="23">IF(T35=0,0,X35/T35)</f>
        <v>0.14814814814814814</v>
      </c>
    </row>
    <row r="36" spans="1:26" s="24" customFormat="1" hidden="1" outlineLevel="2" x14ac:dyDescent="0.25">
      <c r="A36" s="27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>
        <v>18</v>
      </c>
      <c r="I36" s="2"/>
      <c r="J36" s="7">
        <f t="shared" si="17"/>
        <v>0</v>
      </c>
      <c r="K36" s="2"/>
      <c r="L36" s="6">
        <f t="shared" si="18"/>
        <v>-18</v>
      </c>
      <c r="M36" s="2"/>
      <c r="N36" s="7">
        <f t="shared" si="19"/>
        <v>-1</v>
      </c>
      <c r="O36" s="11"/>
      <c r="P36" s="6">
        <v>62</v>
      </c>
      <c r="Q36" s="2"/>
      <c r="R36" s="7">
        <f t="shared" si="20"/>
        <v>0</v>
      </c>
      <c r="S36" s="2"/>
      <c r="T36" s="6">
        <v>54</v>
      </c>
      <c r="U36" s="2"/>
      <c r="V36" s="7">
        <f t="shared" si="21"/>
        <v>0</v>
      </c>
      <c r="W36" s="2"/>
      <c r="X36" s="6">
        <f t="shared" si="22"/>
        <v>8</v>
      </c>
      <c r="Y36" s="2"/>
      <c r="Z36" s="7">
        <f t="shared" si="23"/>
        <v>0.14814814814814814</v>
      </c>
    </row>
    <row r="37" spans="1:26" s="25" customFormat="1" outlineLevel="1" collapsed="1" x14ac:dyDescent="0.25">
      <c r="A37" s="26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1558.88</v>
      </c>
      <c r="E37" s="1"/>
      <c r="F37" s="5">
        <f t="shared" si="16"/>
        <v>0</v>
      </c>
      <c r="G37" s="1"/>
      <c r="H37" s="1">
        <f>SUM(OSRRefH22_3x_0)</f>
        <v>1558.88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SUM(OSRRefP22_3x_0)</f>
        <v>15588.8</v>
      </c>
      <c r="Q37" s="1"/>
      <c r="R37" s="5">
        <f t="shared" si="20"/>
        <v>0</v>
      </c>
      <c r="S37" s="1"/>
      <c r="T37" s="1">
        <f>SUM(OSRRefT22_3x_0)</f>
        <v>15588.8</v>
      </c>
      <c r="U37" s="1"/>
      <c r="V37" s="5">
        <f t="shared" si="21"/>
        <v>0</v>
      </c>
      <c r="W37" s="1"/>
      <c r="X37" s="1">
        <f t="shared" si="22"/>
        <v>0</v>
      </c>
      <c r="Y37" s="1"/>
      <c r="Z37" s="5">
        <f t="shared" si="23"/>
        <v>0</v>
      </c>
    </row>
    <row r="38" spans="1:26" s="24" customFormat="1" hidden="1" outlineLevel="2" x14ac:dyDescent="0.25">
      <c r="A38" s="27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1558.88</v>
      </c>
      <c r="E38" s="2"/>
      <c r="F38" s="7">
        <f t="shared" si="16"/>
        <v>0</v>
      </c>
      <c r="G38" s="2"/>
      <c r="H38" s="6">
        <v>1558.88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15588.8</v>
      </c>
      <c r="Q38" s="2"/>
      <c r="R38" s="7">
        <f t="shared" si="20"/>
        <v>0</v>
      </c>
      <c r="S38" s="2"/>
      <c r="T38" s="6">
        <v>15588.8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5" customFormat="1" outlineLevel="1" collapsed="1" x14ac:dyDescent="0.25">
      <c r="A39" s="26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SUM(OSRRefP22_4x_0)</f>
        <v>3.96</v>
      </c>
      <c r="Q39" s="1"/>
      <c r="R39" s="5">
        <f t="shared" si="20"/>
        <v>0</v>
      </c>
      <c r="S39" s="1"/>
      <c r="T39" s="1">
        <f>SUM(OSRRefT22_4x_0)</f>
        <v>137.68</v>
      </c>
      <c r="U39" s="1"/>
      <c r="V39" s="5">
        <f t="shared" si="21"/>
        <v>0</v>
      </c>
      <c r="W39" s="1"/>
      <c r="X39" s="1">
        <f t="shared" si="22"/>
        <v>-133.72</v>
      </c>
      <c r="Y39" s="1"/>
      <c r="Z39" s="5">
        <f t="shared" si="23"/>
        <v>-0.97123765252760019</v>
      </c>
    </row>
    <row r="40" spans="1:26" s="24" customFormat="1" hidden="1" outlineLevel="2" x14ac:dyDescent="0.25">
      <c r="A40" s="27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3.96</v>
      </c>
      <c r="Q40" s="2"/>
      <c r="R40" s="7">
        <f t="shared" si="20"/>
        <v>0</v>
      </c>
      <c r="S40" s="2"/>
      <c r="T40" s="6">
        <v>137.68</v>
      </c>
      <c r="U40" s="2"/>
      <c r="V40" s="7">
        <f t="shared" si="21"/>
        <v>0</v>
      </c>
      <c r="W40" s="2"/>
      <c r="X40" s="6">
        <f t="shared" si="22"/>
        <v>-133.72</v>
      </c>
      <c r="Y40" s="2"/>
      <c r="Z40" s="7">
        <f t="shared" si="23"/>
        <v>-0.97123765252760019</v>
      </c>
    </row>
    <row r="41" spans="1:26" s="25" customFormat="1" outlineLevel="1" collapsed="1" x14ac:dyDescent="0.25">
      <c r="A41" s="26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SUM(OSRRefD22_5x_0)</f>
        <v>91.26</v>
      </c>
      <c r="E41" s="1"/>
      <c r="F41" s="5">
        <f t="shared" si="16"/>
        <v>0</v>
      </c>
      <c r="G41" s="1"/>
      <c r="H41" s="1">
        <f>SUM(OSRRefH22_5x_0)</f>
        <v>91.26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SUM(OSRRefP22_5x_0)</f>
        <v>912.6</v>
      </c>
      <c r="Q41" s="1"/>
      <c r="R41" s="5">
        <f t="shared" si="20"/>
        <v>0</v>
      </c>
      <c r="S41" s="1"/>
      <c r="T41" s="1">
        <f>SUM(OSRRefT22_5x_0)</f>
        <v>912.6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7"/>
      <c r="B42" s="11" t="str">
        <f>CONCATENATE("          ", "6351", " - ", "EQUIPMENT RENTAL")</f>
        <v xml:space="preserve">          6351 - EQUIPMENT RENTAL</v>
      </c>
      <c r="C42" s="11"/>
      <c r="D42" s="6">
        <v>91.26</v>
      </c>
      <c r="E42" s="2"/>
      <c r="F42" s="7">
        <f t="shared" si="16"/>
        <v>0</v>
      </c>
      <c r="G42" s="2"/>
      <c r="H42" s="6">
        <v>91.26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912.6</v>
      </c>
      <c r="Q42" s="2"/>
      <c r="R42" s="7">
        <f t="shared" si="20"/>
        <v>0</v>
      </c>
      <c r="S42" s="2"/>
      <c r="T42" s="6">
        <v>912.6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5" customFormat="1" outlineLevel="1" collapsed="1" x14ac:dyDescent="0.25">
      <c r="A43" s="26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SUM(OSRRefD22_6x_0)</f>
        <v>123.5</v>
      </c>
      <c r="E43" s="1"/>
      <c r="F43" s="5">
        <f t="shared" si="16"/>
        <v>0</v>
      </c>
      <c r="G43" s="1"/>
      <c r="H43" s="1">
        <f>SUM(OSRRefH22_6x_0)</f>
        <v>115.15</v>
      </c>
      <c r="I43" s="1"/>
      <c r="J43" s="5">
        <f t="shared" si="17"/>
        <v>0</v>
      </c>
      <c r="K43" s="1"/>
      <c r="L43" s="1">
        <f t="shared" si="18"/>
        <v>8.3499999999999943</v>
      </c>
      <c r="M43" s="1"/>
      <c r="N43" s="5">
        <f t="shared" si="19"/>
        <v>7.251411202778979E-2</v>
      </c>
      <c r="O43" s="13"/>
      <c r="P43" s="1">
        <f>SUM(OSRRefP22_6x_0)</f>
        <v>1264.4000000000001</v>
      </c>
      <c r="Q43" s="1"/>
      <c r="R43" s="5">
        <f t="shared" si="20"/>
        <v>0</v>
      </c>
      <c r="S43" s="1"/>
      <c r="T43" s="1">
        <f>SUM(OSRRefT22_6x_0)</f>
        <v>1448.15</v>
      </c>
      <c r="U43" s="1"/>
      <c r="V43" s="5">
        <f t="shared" si="21"/>
        <v>0</v>
      </c>
      <c r="W43" s="1"/>
      <c r="X43" s="1">
        <f t="shared" si="22"/>
        <v>-183.75</v>
      </c>
      <c r="Y43" s="1"/>
      <c r="Z43" s="5">
        <f t="shared" si="23"/>
        <v>-0.12688602699996546</v>
      </c>
    </row>
    <row r="44" spans="1:26" s="24" customFormat="1" hidden="1" outlineLevel="2" x14ac:dyDescent="0.25">
      <c r="A44" s="27"/>
      <c r="B44" s="11" t="str">
        <f>CONCATENATE("          ", "6307", " - ", "POSTAGE")</f>
        <v xml:space="preserve">          6307 - POSTAGE</v>
      </c>
      <c r="C44" s="11"/>
      <c r="D44" s="6">
        <v>123.5</v>
      </c>
      <c r="E44" s="2"/>
      <c r="F44" s="7">
        <f t="shared" si="16"/>
        <v>0</v>
      </c>
      <c r="G44" s="2"/>
      <c r="H44" s="6">
        <v>115.15</v>
      </c>
      <c r="I44" s="2"/>
      <c r="J44" s="7">
        <f t="shared" si="17"/>
        <v>0</v>
      </c>
      <c r="K44" s="2"/>
      <c r="L44" s="6">
        <f t="shared" si="18"/>
        <v>8.3499999999999943</v>
      </c>
      <c r="M44" s="2"/>
      <c r="N44" s="7">
        <f t="shared" si="19"/>
        <v>7.251411202778979E-2</v>
      </c>
      <c r="O44" s="11"/>
      <c r="P44" s="6">
        <v>1264.4000000000001</v>
      </c>
      <c r="Q44" s="2"/>
      <c r="R44" s="7">
        <f t="shared" si="20"/>
        <v>0</v>
      </c>
      <c r="S44" s="2"/>
      <c r="T44" s="6">
        <v>1448.15</v>
      </c>
      <c r="U44" s="2"/>
      <c r="V44" s="7">
        <f t="shared" si="21"/>
        <v>0</v>
      </c>
      <c r="W44" s="2"/>
      <c r="X44" s="6">
        <f t="shared" si="22"/>
        <v>-183.75</v>
      </c>
      <c r="Y44" s="2"/>
      <c r="Z44" s="7">
        <f t="shared" si="23"/>
        <v>-0.12688602699996546</v>
      </c>
    </row>
    <row r="45" spans="1:26" s="25" customFormat="1" outlineLevel="1" collapsed="1" x14ac:dyDescent="0.25">
      <c r="A45" s="26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SUM(OSRRefP22_7x_0)</f>
        <v>0</v>
      </c>
      <c r="Q45" s="1"/>
      <c r="R45" s="5">
        <f t="shared" si="20"/>
        <v>0</v>
      </c>
      <c r="S45" s="1"/>
      <c r="T45" s="1">
        <f>SUM(OSRRefT22_7x_0)</f>
        <v>90.42</v>
      </c>
      <c r="U45" s="1"/>
      <c r="V45" s="5">
        <f t="shared" si="21"/>
        <v>0</v>
      </c>
      <c r="W45" s="1"/>
      <c r="X45" s="1">
        <f t="shared" si="22"/>
        <v>-90.42</v>
      </c>
      <c r="Y45" s="1"/>
      <c r="Z45" s="5">
        <f t="shared" si="23"/>
        <v>-1</v>
      </c>
    </row>
    <row r="46" spans="1:26" s="24" customFormat="1" hidden="1" outlineLevel="2" x14ac:dyDescent="0.25">
      <c r="A46" s="27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/>
      <c r="Q46" s="2"/>
      <c r="R46" s="7">
        <f t="shared" si="20"/>
        <v>0</v>
      </c>
      <c r="S46" s="2"/>
      <c r="T46" s="6">
        <v>90.42</v>
      </c>
      <c r="U46" s="2"/>
      <c r="V46" s="7">
        <f t="shared" si="21"/>
        <v>0</v>
      </c>
      <c r="W46" s="2"/>
      <c r="X46" s="6">
        <f t="shared" si="22"/>
        <v>-90.42</v>
      </c>
      <c r="Y46" s="2"/>
      <c r="Z46" s="7">
        <f t="shared" si="23"/>
        <v>-1</v>
      </c>
    </row>
    <row r="47" spans="1:26" s="25" customFormat="1" outlineLevel="1" collapsed="1" x14ac:dyDescent="0.25">
      <c r="A47" s="26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SUM(OSRRefD22_8x_0)</f>
        <v>132.16999999999999</v>
      </c>
      <c r="E47" s="1"/>
      <c r="F47" s="5">
        <f t="shared" si="16"/>
        <v>0</v>
      </c>
      <c r="G47" s="1"/>
      <c r="H47" s="1">
        <f>SUM(OSRRefH22_8x_0)</f>
        <v>124.52</v>
      </c>
      <c r="I47" s="1"/>
      <c r="J47" s="5">
        <f t="shared" si="17"/>
        <v>0</v>
      </c>
      <c r="K47" s="1"/>
      <c r="L47" s="1">
        <f t="shared" si="18"/>
        <v>7.6499999999999915</v>
      </c>
      <c r="M47" s="1"/>
      <c r="N47" s="5">
        <f t="shared" si="19"/>
        <v>6.1435913909412075E-2</v>
      </c>
      <c r="O47" s="13"/>
      <c r="P47" s="1">
        <f>SUM(OSRRefP22_8x_0)</f>
        <v>1321.7</v>
      </c>
      <c r="Q47" s="1"/>
      <c r="R47" s="5">
        <f t="shared" si="20"/>
        <v>0</v>
      </c>
      <c r="S47" s="1"/>
      <c r="T47" s="1">
        <f>SUM(OSRRefT22_8x_0)</f>
        <v>1023.02</v>
      </c>
      <c r="U47" s="1"/>
      <c r="V47" s="5">
        <f t="shared" si="21"/>
        <v>0</v>
      </c>
      <c r="W47" s="1"/>
      <c r="X47" s="1">
        <f t="shared" si="22"/>
        <v>298.68000000000006</v>
      </c>
      <c r="Y47" s="1"/>
      <c r="Z47" s="5">
        <f t="shared" si="23"/>
        <v>0.29195910148384202</v>
      </c>
    </row>
    <row r="48" spans="1:26" s="24" customFormat="1" hidden="1" outlineLevel="2" x14ac:dyDescent="0.25">
      <c r="A48" s="27"/>
      <c r="B48" s="11" t="str">
        <f>CONCATENATE("          ", "6314", " - ", "LIABILITY INSURANCE")</f>
        <v xml:space="preserve">          6314 - LIABILITY INSURANCE</v>
      </c>
      <c r="C48" s="11"/>
      <c r="D48" s="6">
        <v>132.16999999999999</v>
      </c>
      <c r="E48" s="2"/>
      <c r="F48" s="7">
        <f t="shared" si="16"/>
        <v>0</v>
      </c>
      <c r="G48" s="2"/>
      <c r="H48" s="6">
        <v>124.52</v>
      </c>
      <c r="I48" s="2"/>
      <c r="J48" s="7">
        <f t="shared" si="17"/>
        <v>0</v>
      </c>
      <c r="K48" s="2"/>
      <c r="L48" s="6">
        <f t="shared" si="18"/>
        <v>7.6499999999999915</v>
      </c>
      <c r="M48" s="2"/>
      <c r="N48" s="7">
        <f t="shared" si="19"/>
        <v>6.1435913909412075E-2</v>
      </c>
      <c r="O48" s="11"/>
      <c r="P48" s="6">
        <v>1321.7</v>
      </c>
      <c r="Q48" s="2"/>
      <c r="R48" s="7">
        <f t="shared" si="20"/>
        <v>0</v>
      </c>
      <c r="S48" s="2"/>
      <c r="T48" s="6">
        <v>1023.02</v>
      </c>
      <c r="U48" s="2"/>
      <c r="V48" s="7">
        <f t="shared" si="21"/>
        <v>0</v>
      </c>
      <c r="W48" s="2"/>
      <c r="X48" s="6">
        <f t="shared" si="22"/>
        <v>298.68000000000006</v>
      </c>
      <c r="Y48" s="2"/>
      <c r="Z48" s="7">
        <f t="shared" si="23"/>
        <v>0.29195910148384202</v>
      </c>
    </row>
    <row r="49" spans="1:26" s="25" customFormat="1" outlineLevel="1" collapsed="1" x14ac:dyDescent="0.25">
      <c r="A49" s="26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SUM(OSRRefD22_9x_0)</f>
        <v>0</v>
      </c>
      <c r="E49" s="1"/>
      <c r="F49" s="5">
        <f t="shared" si="16"/>
        <v>0</v>
      </c>
      <c r="G49" s="1"/>
      <c r="H49" s="1">
        <f>SUM(OSRRefH22_9x_0)</f>
        <v>0</v>
      </c>
      <c r="I49" s="1"/>
      <c r="J49" s="5">
        <f t="shared" si="17"/>
        <v>0</v>
      </c>
      <c r="K49" s="1"/>
      <c r="L49" s="1">
        <f t="shared" si="18"/>
        <v>0</v>
      </c>
      <c r="M49" s="1"/>
      <c r="N49" s="5">
        <f t="shared" si="19"/>
        <v>0</v>
      </c>
      <c r="O49" s="13"/>
      <c r="P49" s="1">
        <f>SUM(OSRRefP22_9x_0)</f>
        <v>82.5</v>
      </c>
      <c r="Q49" s="1"/>
      <c r="R49" s="5">
        <f t="shared" si="20"/>
        <v>0</v>
      </c>
      <c r="S49" s="1"/>
      <c r="T49" s="1">
        <f>SUM(OSRRefT22_9x_0)</f>
        <v>412.5</v>
      </c>
      <c r="U49" s="1"/>
      <c r="V49" s="5">
        <f t="shared" si="21"/>
        <v>0</v>
      </c>
      <c r="W49" s="1"/>
      <c r="X49" s="1">
        <f t="shared" si="22"/>
        <v>-330</v>
      </c>
      <c r="Y49" s="1"/>
      <c r="Z49" s="5">
        <f t="shared" si="23"/>
        <v>-0.8</v>
      </c>
    </row>
    <row r="50" spans="1:26" s="24" customFormat="1" hidden="1" outlineLevel="2" x14ac:dyDescent="0.25">
      <c r="A50" s="27"/>
      <c r="B50" s="11" t="str">
        <f>CONCATENATE("          ", "6332", " - ", "CONSULTANT FEES")</f>
        <v xml:space="preserve">          6332 - CONSULTANT FEES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82.5</v>
      </c>
      <c r="Q50" s="2"/>
      <c r="R50" s="7">
        <f t="shared" si="20"/>
        <v>0</v>
      </c>
      <c r="S50" s="2"/>
      <c r="T50" s="6">
        <v>412.5</v>
      </c>
      <c r="U50" s="2"/>
      <c r="V50" s="7">
        <f t="shared" si="21"/>
        <v>0</v>
      </c>
      <c r="W50" s="2"/>
      <c r="X50" s="6">
        <f t="shared" si="22"/>
        <v>-330</v>
      </c>
      <c r="Y50" s="2"/>
      <c r="Z50" s="7">
        <f t="shared" si="23"/>
        <v>-0.8</v>
      </c>
    </row>
    <row r="51" spans="1:26" s="25" customFormat="1" outlineLevel="1" collapsed="1" x14ac:dyDescent="0.25">
      <c r="A51" s="26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SUM(OSRRefD22_10x_0)</f>
        <v>818.69</v>
      </c>
      <c r="E51" s="1"/>
      <c r="F51" s="5">
        <f t="shared" si="16"/>
        <v>0</v>
      </c>
      <c r="G51" s="1"/>
      <c r="H51" s="1">
        <f>SUM(OSRRefH22_10x_0)</f>
        <v>496.14</v>
      </c>
      <c r="I51" s="1"/>
      <c r="J51" s="5">
        <f t="shared" si="17"/>
        <v>0</v>
      </c>
      <c r="K51" s="1"/>
      <c r="L51" s="1">
        <f t="shared" si="18"/>
        <v>322.55000000000007</v>
      </c>
      <c r="M51" s="1"/>
      <c r="N51" s="5">
        <f t="shared" si="19"/>
        <v>0.65011891804732547</v>
      </c>
      <c r="O51" s="13"/>
      <c r="P51" s="1">
        <f>SUM(OSRRefP22_10x_0)</f>
        <v>32612.59</v>
      </c>
      <c r="Q51" s="1"/>
      <c r="R51" s="5">
        <f t="shared" si="20"/>
        <v>0</v>
      </c>
      <c r="S51" s="1"/>
      <c r="T51" s="1">
        <f>SUM(OSRRefT22_10x_0)</f>
        <v>30833.309999999998</v>
      </c>
      <c r="U51" s="1"/>
      <c r="V51" s="5">
        <f t="shared" si="21"/>
        <v>0</v>
      </c>
      <c r="W51" s="1"/>
      <c r="X51" s="1">
        <f t="shared" si="22"/>
        <v>1779.2800000000025</v>
      </c>
      <c r="Y51" s="1"/>
      <c r="Z51" s="5">
        <f t="shared" si="23"/>
        <v>5.7706422048103258E-2</v>
      </c>
    </row>
    <row r="52" spans="1:26" s="24" customFormat="1" hidden="1" outlineLevel="2" x14ac:dyDescent="0.25">
      <c r="A52" s="27"/>
      <c r="B52" s="11" t="str">
        <f>CONCATENATE("          ", "6371", " - ", "COMPUTER SOFTWARE MAINTENANCE")</f>
        <v xml:space="preserve">          6371 - COMPUTER SOFTWARE MAINTENANCE</v>
      </c>
      <c r="C52" s="11"/>
      <c r="D52" s="6">
        <v>330</v>
      </c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330</v>
      </c>
      <c r="M52" s="2"/>
      <c r="N52" s="7">
        <f t="shared" si="19"/>
        <v>0</v>
      </c>
      <c r="O52" s="11"/>
      <c r="P52" s="6">
        <v>26963.83</v>
      </c>
      <c r="Q52" s="2"/>
      <c r="R52" s="7">
        <f t="shared" si="20"/>
        <v>0</v>
      </c>
      <c r="S52" s="2"/>
      <c r="T52" s="6">
        <v>25794.14</v>
      </c>
      <c r="U52" s="2"/>
      <c r="V52" s="7">
        <f t="shared" si="21"/>
        <v>0</v>
      </c>
      <c r="W52" s="2"/>
      <c r="X52" s="6">
        <f t="shared" si="22"/>
        <v>1169.6900000000023</v>
      </c>
      <c r="Y52" s="2"/>
      <c r="Z52" s="7">
        <f t="shared" si="23"/>
        <v>4.5347121477979195E-2</v>
      </c>
    </row>
    <row r="53" spans="1:26" s="24" customFormat="1" hidden="1" outlineLevel="2" x14ac:dyDescent="0.25">
      <c r="A53" s="27"/>
      <c r="B53" s="11" t="str">
        <f>CONCATENATE("          ", "6373", " - ", "MAINTENANCE CONTRACTS")</f>
        <v xml:space="preserve">          6373 - MAINTENANCE CONTRACTS</v>
      </c>
      <c r="C53" s="11"/>
      <c r="D53" s="6">
        <v>488.69</v>
      </c>
      <c r="E53" s="2"/>
      <c r="F53" s="7">
        <f t="shared" si="16"/>
        <v>0</v>
      </c>
      <c r="G53" s="2"/>
      <c r="H53" s="6">
        <v>496.14</v>
      </c>
      <c r="I53" s="2"/>
      <c r="J53" s="7">
        <f t="shared" si="17"/>
        <v>0</v>
      </c>
      <c r="K53" s="2"/>
      <c r="L53" s="6">
        <f t="shared" si="18"/>
        <v>-7.4499999999999886</v>
      </c>
      <c r="M53" s="2"/>
      <c r="N53" s="7">
        <f t="shared" si="19"/>
        <v>-1.5015922924980829E-2</v>
      </c>
      <c r="O53" s="11"/>
      <c r="P53" s="6">
        <v>5110.82</v>
      </c>
      <c r="Q53" s="2"/>
      <c r="R53" s="7">
        <f t="shared" si="20"/>
        <v>0</v>
      </c>
      <c r="S53" s="2"/>
      <c r="T53" s="6">
        <v>5039.17</v>
      </c>
      <c r="U53" s="2"/>
      <c r="V53" s="7">
        <f t="shared" si="21"/>
        <v>0</v>
      </c>
      <c r="W53" s="2"/>
      <c r="X53" s="6">
        <f t="shared" si="22"/>
        <v>71.649999999999636</v>
      </c>
      <c r="Y53" s="2"/>
      <c r="Z53" s="7">
        <f t="shared" si="23"/>
        <v>1.4218611398305601E-2</v>
      </c>
    </row>
    <row r="54" spans="1:26" s="24" customFormat="1" hidden="1" outlineLevel="2" x14ac:dyDescent="0.25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>
        <v>537.94000000000005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537.94000000000005</v>
      </c>
      <c r="Y54" s="2"/>
      <c r="Z54" s="7">
        <f t="shared" si="23"/>
        <v>0</v>
      </c>
    </row>
    <row r="55" spans="1:26" s="25" customFormat="1" outlineLevel="1" collapsed="1" x14ac:dyDescent="0.25">
      <c r="A55" s="26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SUM(OSRRefD22_11x_0)</f>
        <v>1024.96</v>
      </c>
      <c r="E55" s="1"/>
      <c r="F55" s="5">
        <f t="shared" ref="F55:F62" si="24">IF(D$12=0,0,D55/D$12)</f>
        <v>0</v>
      </c>
      <c r="G55" s="1"/>
      <c r="H55" s="1">
        <f>SUM(OSRRefH22_11x_0)</f>
        <v>674.1</v>
      </c>
      <c r="I55" s="1"/>
      <c r="J55" s="5">
        <f t="shared" ref="J55:J62" si="25">IF(H$12=0,0,H55/H$12)</f>
        <v>0</v>
      </c>
      <c r="K55" s="1"/>
      <c r="L55" s="1">
        <f t="shared" ref="L55:L62" si="26">+D55-H55</f>
        <v>350.86</v>
      </c>
      <c r="M55" s="1"/>
      <c r="N55" s="5">
        <f t="shared" ref="N55:N62" si="27">IF(H55=0,0,L55/H55)</f>
        <v>0.52048657469218218</v>
      </c>
      <c r="O55" s="13"/>
      <c r="P55" s="1">
        <f>SUM(OSRRefP22_11x_0)</f>
        <v>10454.93</v>
      </c>
      <c r="Q55" s="1"/>
      <c r="R55" s="5">
        <f t="shared" ref="R55:R62" si="28">IF(P$12=0,0,P55/P$12)</f>
        <v>0</v>
      </c>
      <c r="S55" s="1"/>
      <c r="T55" s="1">
        <f>SUM(OSRRefT22_11x_0)</f>
        <v>7118.43</v>
      </c>
      <c r="U55" s="1"/>
      <c r="V55" s="5">
        <f t="shared" ref="V55:V62" si="29">IF(T$12=0,0,T55/T$12)</f>
        <v>0</v>
      </c>
      <c r="W55" s="1"/>
      <c r="X55" s="1">
        <f t="shared" ref="X55:X62" si="30">+P55-T55</f>
        <v>3336.5</v>
      </c>
      <c r="Y55" s="1"/>
      <c r="Z55" s="5">
        <f t="shared" ref="Z55:Z62" si="31">IF(T55=0,0,X55/T55)</f>
        <v>0.46871290439043439</v>
      </c>
    </row>
    <row r="56" spans="1:26" s="24" customFormat="1" hidden="1" outlineLevel="2" x14ac:dyDescent="0.25">
      <c r="A56" s="27"/>
      <c r="B56" s="11" t="str">
        <f>CONCATENATE("          ", "6281", " - ", "STORAGE FEE")</f>
        <v xml:space="preserve">          6281 - STORAGE FEE</v>
      </c>
      <c r="C56" s="11"/>
      <c r="D56" s="6">
        <v>1024.96</v>
      </c>
      <c r="E56" s="2"/>
      <c r="F56" s="7">
        <f t="shared" si="24"/>
        <v>0</v>
      </c>
      <c r="G56" s="2"/>
      <c r="H56" s="6">
        <v>674.1</v>
      </c>
      <c r="I56" s="2"/>
      <c r="J56" s="7">
        <f t="shared" si="25"/>
        <v>0</v>
      </c>
      <c r="K56" s="2"/>
      <c r="L56" s="6">
        <f t="shared" si="26"/>
        <v>350.86</v>
      </c>
      <c r="M56" s="2"/>
      <c r="N56" s="7">
        <f t="shared" si="27"/>
        <v>0.52048657469218218</v>
      </c>
      <c r="O56" s="11"/>
      <c r="P56" s="6">
        <v>10454.93</v>
      </c>
      <c r="Q56" s="2"/>
      <c r="R56" s="7">
        <f t="shared" si="28"/>
        <v>0</v>
      </c>
      <c r="S56" s="2"/>
      <c r="T56" s="6">
        <v>7118.43</v>
      </c>
      <c r="U56" s="2"/>
      <c r="V56" s="7">
        <f t="shared" si="29"/>
        <v>0</v>
      </c>
      <c r="W56" s="2"/>
      <c r="X56" s="6">
        <f t="shared" si="30"/>
        <v>3336.5</v>
      </c>
      <c r="Y56" s="2"/>
      <c r="Z56" s="7">
        <f t="shared" si="31"/>
        <v>0.46871290439043439</v>
      </c>
    </row>
    <row r="57" spans="1:26" s="25" customFormat="1" outlineLevel="1" collapsed="1" x14ac:dyDescent="0.25">
      <c r="A57" s="26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0</v>
      </c>
      <c r="E57" s="1"/>
      <c r="F57" s="5">
        <f t="shared" si="24"/>
        <v>0</v>
      </c>
      <c r="G57" s="1"/>
      <c r="H57" s="1">
        <f>SUM(OSRRefH22_12x_0)</f>
        <v>0</v>
      </c>
      <c r="I57" s="1"/>
      <c r="J57" s="5">
        <f t="shared" si="25"/>
        <v>0</v>
      </c>
      <c r="K57" s="1"/>
      <c r="L57" s="1">
        <f t="shared" si="26"/>
        <v>0</v>
      </c>
      <c r="M57" s="1"/>
      <c r="N57" s="5">
        <f t="shared" si="27"/>
        <v>0</v>
      </c>
      <c r="O57" s="13"/>
      <c r="P57" s="1">
        <f>SUM(OSRRefP22_12x_0)</f>
        <v>39</v>
      </c>
      <c r="Q57" s="1"/>
      <c r="R57" s="5">
        <f t="shared" si="28"/>
        <v>0</v>
      </c>
      <c r="S57" s="1"/>
      <c r="T57" s="1">
        <f>SUM(OSRRefT22_12x_0)</f>
        <v>0</v>
      </c>
      <c r="U57" s="1"/>
      <c r="V57" s="5">
        <f t="shared" si="29"/>
        <v>0</v>
      </c>
      <c r="W57" s="1"/>
      <c r="X57" s="1">
        <f t="shared" si="30"/>
        <v>39</v>
      </c>
      <c r="Y57" s="1"/>
      <c r="Z57" s="5">
        <f t="shared" si="31"/>
        <v>0</v>
      </c>
    </row>
    <row r="58" spans="1:26" s="24" customFormat="1" hidden="1" outlineLevel="2" x14ac:dyDescent="0.25">
      <c r="A58" s="27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0</v>
      </c>
      <c r="M58" s="2"/>
      <c r="N58" s="7">
        <f t="shared" si="27"/>
        <v>0</v>
      </c>
      <c r="O58" s="11"/>
      <c r="P58" s="6">
        <v>39</v>
      </c>
      <c r="Q58" s="2"/>
      <c r="R58" s="7">
        <f t="shared" si="28"/>
        <v>0</v>
      </c>
      <c r="S58" s="2"/>
      <c r="T58" s="6"/>
      <c r="U58" s="2"/>
      <c r="V58" s="7">
        <f t="shared" si="29"/>
        <v>0</v>
      </c>
      <c r="W58" s="2"/>
      <c r="X58" s="6">
        <f t="shared" si="30"/>
        <v>39</v>
      </c>
      <c r="Y58" s="2"/>
      <c r="Z58" s="7">
        <f t="shared" si="31"/>
        <v>0</v>
      </c>
    </row>
    <row r="59" spans="1:26" s="25" customFormat="1" outlineLevel="1" collapsed="1" x14ac:dyDescent="0.25">
      <c r="A59" s="26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692.79</v>
      </c>
      <c r="E59" s="1"/>
      <c r="F59" s="5">
        <f t="shared" si="24"/>
        <v>0</v>
      </c>
      <c r="G59" s="1"/>
      <c r="H59" s="1">
        <f>SUM(OSRRefH22_13x_0)</f>
        <v>248.12</v>
      </c>
      <c r="I59" s="1"/>
      <c r="J59" s="5">
        <f t="shared" si="25"/>
        <v>0</v>
      </c>
      <c r="K59" s="1"/>
      <c r="L59" s="1">
        <f t="shared" si="26"/>
        <v>444.66999999999996</v>
      </c>
      <c r="M59" s="1"/>
      <c r="N59" s="5">
        <f t="shared" si="27"/>
        <v>1.7921570207963886</v>
      </c>
      <c r="O59" s="13"/>
      <c r="P59" s="1">
        <f>SUM(OSRRefP22_13x_0)</f>
        <v>6766.91</v>
      </c>
      <c r="Q59" s="1"/>
      <c r="R59" s="5">
        <f t="shared" si="28"/>
        <v>0</v>
      </c>
      <c r="S59" s="1"/>
      <c r="T59" s="1">
        <f>SUM(OSRRefT22_13x_0)</f>
        <v>15185.990000000002</v>
      </c>
      <c r="U59" s="1"/>
      <c r="V59" s="5">
        <f t="shared" si="29"/>
        <v>0</v>
      </c>
      <c r="W59" s="1"/>
      <c r="X59" s="1">
        <f t="shared" si="30"/>
        <v>-8419.0800000000017</v>
      </c>
      <c r="Y59" s="1"/>
      <c r="Z59" s="5">
        <f t="shared" si="31"/>
        <v>-0.55439783642686458</v>
      </c>
    </row>
    <row r="60" spans="1:26" s="24" customFormat="1" hidden="1" outlineLevel="2" x14ac:dyDescent="0.2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/>
      <c r="Q60" s="2"/>
      <c r="R60" s="7">
        <f t="shared" si="28"/>
        <v>0</v>
      </c>
      <c r="S60" s="2"/>
      <c r="T60" s="6">
        <v>2355.94</v>
      </c>
      <c r="U60" s="2"/>
      <c r="V60" s="7">
        <f t="shared" si="29"/>
        <v>0</v>
      </c>
      <c r="W60" s="2"/>
      <c r="X60" s="6">
        <f t="shared" si="30"/>
        <v>-2355.94</v>
      </c>
      <c r="Y60" s="2"/>
      <c r="Z60" s="7">
        <f t="shared" si="31"/>
        <v>-1</v>
      </c>
    </row>
    <row r="61" spans="1:26" s="24" customFormat="1" hidden="1" outlineLevel="2" x14ac:dyDescent="0.25">
      <c r="A61" s="27"/>
      <c r="B61" s="11" t="str">
        <f>CONCATENATE("          ", "6241", " - ", "OFFICE EXPENSE")</f>
        <v xml:space="preserve">          6241 - OFFICE EXPENSE</v>
      </c>
      <c r="C61" s="11"/>
      <c r="D61" s="6">
        <v>692.79</v>
      </c>
      <c r="E61" s="2"/>
      <c r="F61" s="7">
        <f t="shared" si="24"/>
        <v>0</v>
      </c>
      <c r="G61" s="2"/>
      <c r="H61" s="6">
        <v>248.12</v>
      </c>
      <c r="I61" s="2"/>
      <c r="J61" s="7">
        <f t="shared" si="25"/>
        <v>0</v>
      </c>
      <c r="K61" s="2"/>
      <c r="L61" s="6">
        <f t="shared" si="26"/>
        <v>444.66999999999996</v>
      </c>
      <c r="M61" s="2"/>
      <c r="N61" s="7">
        <f t="shared" si="27"/>
        <v>1.7921570207963886</v>
      </c>
      <c r="O61" s="11"/>
      <c r="P61" s="6">
        <v>6104</v>
      </c>
      <c r="Q61" s="2"/>
      <c r="R61" s="7">
        <f t="shared" si="28"/>
        <v>0</v>
      </c>
      <c r="S61" s="2"/>
      <c r="T61" s="6">
        <v>12828.86</v>
      </c>
      <c r="U61" s="2"/>
      <c r="V61" s="7">
        <f t="shared" si="29"/>
        <v>0</v>
      </c>
      <c r="W61" s="2"/>
      <c r="X61" s="6">
        <f t="shared" si="30"/>
        <v>-6724.8600000000006</v>
      </c>
      <c r="Y61" s="2"/>
      <c r="Z61" s="7">
        <f t="shared" si="31"/>
        <v>-0.52419778530594308</v>
      </c>
    </row>
    <row r="62" spans="1:26" s="24" customFormat="1" hidden="1" outlineLevel="2" x14ac:dyDescent="0.25">
      <c r="A62" s="27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1"/>
      <c r="P62" s="6">
        <v>662.91</v>
      </c>
      <c r="Q62" s="2"/>
      <c r="R62" s="7">
        <f t="shared" si="28"/>
        <v>0</v>
      </c>
      <c r="S62" s="2"/>
      <c r="T62" s="6">
        <v>1.19</v>
      </c>
      <c r="U62" s="2"/>
      <c r="V62" s="7">
        <f t="shared" si="29"/>
        <v>0</v>
      </c>
      <c r="W62" s="2"/>
      <c r="X62" s="6">
        <f t="shared" si="30"/>
        <v>661.71999999999991</v>
      </c>
      <c r="Y62" s="2"/>
      <c r="Z62" s="7">
        <f t="shared" si="31"/>
        <v>556.06722689075627</v>
      </c>
    </row>
    <row r="63" spans="1:26" s="25" customFormat="1" outlineLevel="1" collapsed="1" x14ac:dyDescent="0.25">
      <c r="A63" s="26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SUM(OSRRefD22_14x_0)</f>
        <v>419.35</v>
      </c>
      <c r="E63" s="1"/>
      <c r="F63" s="5">
        <f t="shared" ref="F63:F68" si="32">IF(D$12=0,0,D63/D$12)</f>
        <v>0</v>
      </c>
      <c r="G63" s="1"/>
      <c r="H63" s="1">
        <f>SUM(OSRRefH22_14x_0)</f>
        <v>377.4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41.950000000000045</v>
      </c>
      <c r="M63" s="1"/>
      <c r="N63" s="5">
        <f t="shared" ref="N63:N68" si="35">IF(H63=0,0,L63/H63)</f>
        <v>0.11115527291997893</v>
      </c>
      <c r="O63" s="13"/>
      <c r="P63" s="1">
        <f>SUM(OSRRefP22_14x_0)</f>
        <v>4115.54</v>
      </c>
      <c r="Q63" s="1"/>
      <c r="R63" s="5">
        <f t="shared" ref="R63:R68" si="36">IF(P$12=0,0,P63/P$12)</f>
        <v>0</v>
      </c>
      <c r="S63" s="1"/>
      <c r="T63" s="1">
        <f>SUM(OSRRefT22_14x_0)</f>
        <v>3709.7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405.84000000000015</v>
      </c>
      <c r="Y63" s="1"/>
      <c r="Z63" s="5">
        <f t="shared" ref="Z63:Z68" si="39">IF(T63=0,0,X63/T63)</f>
        <v>0.10939968191497969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6">
        <v>419.35</v>
      </c>
      <c r="E64" s="2"/>
      <c r="F64" s="7">
        <f t="shared" si="32"/>
        <v>0</v>
      </c>
      <c r="G64" s="2"/>
      <c r="H64" s="6">
        <v>377.4</v>
      </c>
      <c r="I64" s="2"/>
      <c r="J64" s="7">
        <f t="shared" si="33"/>
        <v>0</v>
      </c>
      <c r="K64" s="2"/>
      <c r="L64" s="6">
        <f t="shared" si="34"/>
        <v>41.950000000000045</v>
      </c>
      <c r="M64" s="2"/>
      <c r="N64" s="7">
        <f t="shared" si="35"/>
        <v>0.11115527291997893</v>
      </c>
      <c r="O64" s="11"/>
      <c r="P64" s="6">
        <v>4115.54</v>
      </c>
      <c r="Q64" s="2"/>
      <c r="R64" s="7">
        <f t="shared" si="36"/>
        <v>0</v>
      </c>
      <c r="S64" s="2"/>
      <c r="T64" s="6">
        <v>3709.7</v>
      </c>
      <c r="U64" s="2"/>
      <c r="V64" s="7">
        <f t="shared" si="37"/>
        <v>0</v>
      </c>
      <c r="W64" s="2"/>
      <c r="X64" s="6">
        <f t="shared" si="38"/>
        <v>405.84000000000015</v>
      </c>
      <c r="Y64" s="2"/>
      <c r="Z64" s="7">
        <f t="shared" si="39"/>
        <v>0.10939968191497969</v>
      </c>
    </row>
    <row r="65" spans="1:26" s="25" customFormat="1" outlineLevel="1" collapsed="1" x14ac:dyDescent="0.25">
      <c r="A65" s="26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SUM(OSRRefD22_15x_0)</f>
        <v>0</v>
      </c>
      <c r="E65" s="1"/>
      <c r="F65" s="5">
        <f t="shared" si="32"/>
        <v>0</v>
      </c>
      <c r="G65" s="1"/>
      <c r="H65" s="1">
        <f>SUM(OSRRefH22_15x_0)</f>
        <v>311</v>
      </c>
      <c r="I65" s="1"/>
      <c r="J65" s="5">
        <f t="shared" si="33"/>
        <v>0</v>
      </c>
      <c r="K65" s="1"/>
      <c r="L65" s="1">
        <f t="shared" si="34"/>
        <v>-311</v>
      </c>
      <c r="M65" s="1"/>
      <c r="N65" s="5">
        <f t="shared" si="35"/>
        <v>-1</v>
      </c>
      <c r="O65" s="13"/>
      <c r="P65" s="1">
        <f>SUM(OSRRefP22_15x_0)</f>
        <v>400.18</v>
      </c>
      <c r="Q65" s="1"/>
      <c r="R65" s="5">
        <f t="shared" si="36"/>
        <v>0</v>
      </c>
      <c r="S65" s="1"/>
      <c r="T65" s="1">
        <f>SUM(OSRRefT22_15x_0)</f>
        <v>5315.13</v>
      </c>
      <c r="U65" s="1"/>
      <c r="V65" s="5">
        <f t="shared" si="37"/>
        <v>0</v>
      </c>
      <c r="W65" s="1"/>
      <c r="X65" s="1">
        <f t="shared" si="38"/>
        <v>-4914.95</v>
      </c>
      <c r="Y65" s="1"/>
      <c r="Z65" s="5">
        <f t="shared" si="39"/>
        <v>-0.92470927333856368</v>
      </c>
    </row>
    <row r="66" spans="1:26" s="24" customFormat="1" hidden="1" outlineLevel="2" x14ac:dyDescent="0.25">
      <c r="A66" s="27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32"/>
        <v>0</v>
      </c>
      <c r="G66" s="2"/>
      <c r="H66" s="6">
        <v>311</v>
      </c>
      <c r="I66" s="2"/>
      <c r="J66" s="7">
        <f t="shared" si="33"/>
        <v>0</v>
      </c>
      <c r="K66" s="2"/>
      <c r="L66" s="6">
        <f t="shared" si="34"/>
        <v>-311</v>
      </c>
      <c r="M66" s="2"/>
      <c r="N66" s="7">
        <f t="shared" si="35"/>
        <v>-1</v>
      </c>
      <c r="O66" s="11"/>
      <c r="P66" s="6">
        <v>400.18</v>
      </c>
      <c r="Q66" s="2"/>
      <c r="R66" s="7">
        <f t="shared" si="36"/>
        <v>0</v>
      </c>
      <c r="S66" s="2"/>
      <c r="T66" s="6">
        <v>5315.13</v>
      </c>
      <c r="U66" s="2"/>
      <c r="V66" s="7">
        <f t="shared" si="37"/>
        <v>0</v>
      </c>
      <c r="W66" s="2"/>
      <c r="X66" s="6">
        <f t="shared" si="38"/>
        <v>-4914.95</v>
      </c>
      <c r="Y66" s="2"/>
      <c r="Z66" s="7">
        <f t="shared" si="39"/>
        <v>-0.92470927333856368</v>
      </c>
    </row>
    <row r="67" spans="1:26" s="25" customFormat="1" outlineLevel="1" collapsed="1" x14ac:dyDescent="0.25">
      <c r="A67" s="26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SUM(OSRRefD22_16x_0)</f>
        <v>0</v>
      </c>
      <c r="E67" s="1"/>
      <c r="F67" s="5">
        <f t="shared" si="32"/>
        <v>0</v>
      </c>
      <c r="G67" s="1"/>
      <c r="H67" s="1">
        <f>SUM(OSRRefH22_16x_0)</f>
        <v>0</v>
      </c>
      <c r="I67" s="1"/>
      <c r="J67" s="5">
        <f t="shared" si="33"/>
        <v>0</v>
      </c>
      <c r="K67" s="1"/>
      <c r="L67" s="1">
        <f t="shared" si="34"/>
        <v>0</v>
      </c>
      <c r="M67" s="1"/>
      <c r="N67" s="5">
        <f t="shared" si="35"/>
        <v>0</v>
      </c>
      <c r="O67" s="13"/>
      <c r="P67" s="1">
        <f>SUM(OSRRefP22_16x_0)</f>
        <v>0</v>
      </c>
      <c r="Q67" s="1"/>
      <c r="R67" s="5">
        <f t="shared" si="36"/>
        <v>0</v>
      </c>
      <c r="S67" s="1"/>
      <c r="T67" s="1">
        <f>SUM(OSRRefT22_16x_0)</f>
        <v>3.63</v>
      </c>
      <c r="U67" s="1"/>
      <c r="V67" s="5">
        <f t="shared" si="37"/>
        <v>0</v>
      </c>
      <c r="W67" s="1"/>
      <c r="X67" s="1">
        <f t="shared" si="38"/>
        <v>-3.63</v>
      </c>
      <c r="Y67" s="1"/>
      <c r="Z67" s="5">
        <f t="shared" si="39"/>
        <v>-1</v>
      </c>
    </row>
    <row r="68" spans="1:26" s="24" customFormat="1" hidden="1" outlineLevel="2" x14ac:dyDescent="0.25">
      <c r="A68" s="27"/>
      <c r="B68" s="11" t="str">
        <f>CONCATENATE("          ", "6294", " - ", "TRAVEL OPERATIONAL")</f>
        <v xml:space="preserve">          6294 - TRAVEL OPERATIONAL</v>
      </c>
      <c r="C68" s="11"/>
      <c r="D68" s="6"/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0</v>
      </c>
      <c r="M68" s="2"/>
      <c r="N68" s="7">
        <f t="shared" si="35"/>
        <v>0</v>
      </c>
      <c r="O68" s="11"/>
      <c r="P68" s="6"/>
      <c r="Q68" s="2"/>
      <c r="R68" s="7">
        <f t="shared" si="36"/>
        <v>0</v>
      </c>
      <c r="S68" s="2"/>
      <c r="T68" s="6">
        <v>3.63</v>
      </c>
      <c r="U68" s="2"/>
      <c r="V68" s="7">
        <f t="shared" si="37"/>
        <v>0</v>
      </c>
      <c r="W68" s="2"/>
      <c r="X68" s="6">
        <f t="shared" si="38"/>
        <v>-3.63</v>
      </c>
      <c r="Y68" s="2"/>
      <c r="Z68" s="7">
        <f t="shared" si="39"/>
        <v>-1</v>
      </c>
    </row>
    <row r="69" spans="1:26" s="53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9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1">
        <f>+D16-D18+D70</f>
        <v>7537.7599999999975</v>
      </c>
      <c r="E72" s="14"/>
      <c r="F72" s="20">
        <f>IF(D$12=0,0,D72/D$12)</f>
        <v>0</v>
      </c>
      <c r="G72" s="14"/>
      <c r="H72" s="21">
        <f>+H16-H18+H70</f>
        <v>-46972.499999999993</v>
      </c>
      <c r="I72" s="14"/>
      <c r="J72" s="20">
        <f>IF(H$12=0,0,H72/H$12)</f>
        <v>0</v>
      </c>
      <c r="K72" s="15"/>
      <c r="L72" s="21">
        <f>+D72-H72</f>
        <v>54510.259999999987</v>
      </c>
      <c r="M72" s="15"/>
      <c r="N72" s="20">
        <f>IF(H72=0,0,L72/H72)</f>
        <v>-1.1604717653946457</v>
      </c>
      <c r="O72" s="29"/>
      <c r="P72" s="21">
        <f>+P16-P18+P70</f>
        <v>-506101.7699999999</v>
      </c>
      <c r="Q72" s="14"/>
      <c r="R72" s="20">
        <f>IF(P$12=0,0,P72/P$12)</f>
        <v>0</v>
      </c>
      <c r="S72" s="14"/>
      <c r="T72" s="21">
        <f>+T16-T18+T70</f>
        <v>-535245.37999999989</v>
      </c>
      <c r="U72" s="14"/>
      <c r="V72" s="20">
        <f>IF(T$12=0,0,T72/T$12)</f>
        <v>0</v>
      </c>
      <c r="W72" s="15"/>
      <c r="X72" s="21">
        <f>+P72-T72</f>
        <v>29143.609999999986</v>
      </c>
      <c r="Y72" s="15"/>
      <c r="Z72" s="20">
        <f>IF(T72=0,0,X72/T72)</f>
        <v>-5.4449064090940857E-2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/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/>
      <c r="Q74" s="4"/>
      <c r="R74" s="12">
        <f>IF(P$12=0,0,P74/P$12)</f>
        <v>0</v>
      </c>
      <c r="S74" s="4"/>
      <c r="T74" s="4"/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0">
        <f>+D72-D74</f>
        <v>7537.7599999999975</v>
      </c>
      <c r="E76" s="14"/>
      <c r="F76" s="36">
        <f>IF(D$12=0,0,D76/D$12)</f>
        <v>0</v>
      </c>
      <c r="G76" s="14"/>
      <c r="H76" s="30">
        <f>+H72-H74</f>
        <v>-46972.499999999993</v>
      </c>
      <c r="I76" s="14"/>
      <c r="J76" s="36">
        <f>IF(H$12=0,0,H76/H$12)</f>
        <v>0</v>
      </c>
      <c r="K76" s="15"/>
      <c r="L76" s="30">
        <f>D76-H76</f>
        <v>54510.259999999987</v>
      </c>
      <c r="M76" s="15"/>
      <c r="N76" s="36">
        <f>IF(H76=0,0,L76/H76)</f>
        <v>-1.1604717653946457</v>
      </c>
      <c r="O76" s="29"/>
      <c r="P76" s="30">
        <f>+P72-P74</f>
        <v>-506101.7699999999</v>
      </c>
      <c r="Q76" s="14"/>
      <c r="R76" s="36">
        <f>IF(P$12=0,0,P76/P$12)</f>
        <v>0</v>
      </c>
      <c r="S76" s="14"/>
      <c r="T76" s="30">
        <f>+T72-T74</f>
        <v>-535245.37999999989</v>
      </c>
      <c r="U76" s="14"/>
      <c r="V76" s="36">
        <f>IF(T$12=0,0,T76/T$12)</f>
        <v>0</v>
      </c>
      <c r="W76" s="15"/>
      <c r="X76" s="30">
        <f>P76-T76</f>
        <v>29143.609999999986</v>
      </c>
      <c r="Y76" s="15"/>
      <c r="Z76" s="36">
        <f>IF(T76=0,0,X76/T76)</f>
        <v>-5.4449064090940857E-2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1">
        <f>SUM(D76:D78)</f>
        <v>7537.7599999999975</v>
      </c>
      <c r="E79" s="14"/>
      <c r="F79" s="32">
        <f>IF(D$12=0,0,D79/D$12)</f>
        <v>0</v>
      </c>
      <c r="G79" s="14"/>
      <c r="H79" s="31">
        <f>SUM(H76:H78)</f>
        <v>-46972.499999999993</v>
      </c>
      <c r="I79" s="14"/>
      <c r="J79" s="32">
        <f>IF(H$12=0,0,H79/H$12)</f>
        <v>0</v>
      </c>
      <c r="K79" s="15"/>
      <c r="L79" s="31">
        <f>+D79-H79</f>
        <v>54510.259999999987</v>
      </c>
      <c r="M79" s="15"/>
      <c r="N79" s="32">
        <f>IF(H79=0,0,L79/H79)</f>
        <v>-1.1604717653946457</v>
      </c>
      <c r="O79" s="29"/>
      <c r="P79" s="31">
        <f>SUM(P76:P78)</f>
        <v>-506101.7699999999</v>
      </c>
      <c r="Q79" s="14"/>
      <c r="R79" s="32">
        <f>IF(P$12=0,0,P79/P$12)</f>
        <v>0</v>
      </c>
      <c r="S79" s="14"/>
      <c r="T79" s="31">
        <f>SUM(T76:T78)</f>
        <v>-535245.37999999989</v>
      </c>
      <c r="U79" s="14"/>
      <c r="V79" s="32">
        <f>IF(T$12=0,0,T79/T$12)</f>
        <v>0</v>
      </c>
      <c r="W79" s="15"/>
      <c r="X79" s="31">
        <f>+P79-T79</f>
        <v>29143.609999999986</v>
      </c>
      <c r="Y79" s="15"/>
      <c r="Z79" s="32">
        <f>IF(T79=0,0,X79/T79)</f>
        <v>-5.4449064090940857E-2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4">
        <v>43965.470736423609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9" t="s">
        <v>313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61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","203", " - ", "Human Resources")</f>
        <v>Department 203 - Human Resources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66029.459999999992</v>
      </c>
      <c r="E18" s="22"/>
      <c r="F18" s="35">
        <f t="shared" ref="F18:F29" si="0">IF(D$12=0,0,D18/D$12)</f>
        <v>0</v>
      </c>
      <c r="G18" s="22"/>
      <c r="H18" s="22">
        <f>SUM(OSRRefH22x_0)</f>
        <v>90901.84</v>
      </c>
      <c r="I18" s="22"/>
      <c r="J18" s="35">
        <f t="shared" ref="J18:J29" si="1">IF(H$12=0,0,H18/H$12)</f>
        <v>0</v>
      </c>
      <c r="K18" s="4"/>
      <c r="L18" s="22">
        <f t="shared" ref="L18:L29" si="2">+D18-H18</f>
        <v>-24872.380000000005</v>
      </c>
      <c r="M18" s="4"/>
      <c r="N18" s="35">
        <f t="shared" ref="N18:N29" si="3">IF(H18=0,0,L18/H18)</f>
        <v>-0.27361800377198092</v>
      </c>
      <c r="O18" s="10"/>
      <c r="P18" s="22">
        <f>SUM(OSRRefP22x_0)</f>
        <v>711963.41000000027</v>
      </c>
      <c r="Q18" s="22"/>
      <c r="R18" s="35">
        <f t="shared" ref="R18:R29" si="4">IF(P$12=0,0,P18/P$12)</f>
        <v>0</v>
      </c>
      <c r="S18" s="22"/>
      <c r="T18" s="22">
        <f>SUM(OSRRefT22x_0)</f>
        <v>612003.01</v>
      </c>
      <c r="U18" s="22"/>
      <c r="V18" s="35">
        <f t="shared" ref="V18:V29" si="5">IF(T$12=0,0,T18/T$12)</f>
        <v>0</v>
      </c>
      <c r="W18" s="4"/>
      <c r="X18" s="22">
        <f t="shared" ref="X18:X29" si="6">+P18-T18</f>
        <v>99960.400000000256</v>
      </c>
      <c r="Y18" s="4"/>
      <c r="Z18" s="35">
        <f t="shared" ref="Z18:Z29" si="7">IF(T18=0,0,X18/T18)</f>
        <v>0.16333318360640131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13882.88</v>
      </c>
      <c r="E19" s="1"/>
      <c r="F19" s="5">
        <f t="shared" si="0"/>
        <v>0</v>
      </c>
      <c r="G19" s="1"/>
      <c r="H19" s="1">
        <f>SUM(OSRRefH22_0x_0)</f>
        <v>10900.47</v>
      </c>
      <c r="I19" s="1"/>
      <c r="J19" s="5">
        <f t="shared" si="1"/>
        <v>0</v>
      </c>
      <c r="K19" s="1"/>
      <c r="L19" s="1">
        <f t="shared" si="2"/>
        <v>2982.41</v>
      </c>
      <c r="M19" s="1"/>
      <c r="N19" s="5">
        <f t="shared" si="3"/>
        <v>0.2736037987352839</v>
      </c>
      <c r="O19" s="13"/>
      <c r="P19" s="1">
        <f>SUM(OSRRefP22_0x_0)</f>
        <v>144364.20000000001</v>
      </c>
      <c r="Q19" s="1"/>
      <c r="R19" s="5">
        <f t="shared" si="4"/>
        <v>0</v>
      </c>
      <c r="S19" s="1"/>
      <c r="T19" s="1">
        <f>SUM(OSRRefT22_0x_0)</f>
        <v>110031.02</v>
      </c>
      <c r="U19" s="1"/>
      <c r="V19" s="5">
        <f t="shared" si="5"/>
        <v>0</v>
      </c>
      <c r="W19" s="1"/>
      <c r="X19" s="1">
        <f t="shared" si="6"/>
        <v>34333.180000000008</v>
      </c>
      <c r="Y19" s="1"/>
      <c r="Z19" s="5">
        <f t="shared" si="7"/>
        <v>0.31203182520710981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3037.31</v>
      </c>
      <c r="E20" s="2"/>
      <c r="F20" s="7">
        <f t="shared" si="0"/>
        <v>0</v>
      </c>
      <c r="G20" s="2"/>
      <c r="H20" s="6">
        <v>1498.96</v>
      </c>
      <c r="I20" s="2"/>
      <c r="J20" s="7">
        <f t="shared" si="1"/>
        <v>0</v>
      </c>
      <c r="K20" s="2"/>
      <c r="L20" s="6">
        <f t="shared" si="2"/>
        <v>1538.35</v>
      </c>
      <c r="M20" s="2"/>
      <c r="N20" s="7">
        <f t="shared" si="3"/>
        <v>1.0262782195655653</v>
      </c>
      <c r="O20" s="11"/>
      <c r="P20" s="6">
        <v>22934.58</v>
      </c>
      <c r="Q20" s="2"/>
      <c r="R20" s="7">
        <f t="shared" si="4"/>
        <v>0</v>
      </c>
      <c r="S20" s="2"/>
      <c r="T20" s="6">
        <v>16972.310000000001</v>
      </c>
      <c r="U20" s="2"/>
      <c r="V20" s="7">
        <f t="shared" si="5"/>
        <v>0</v>
      </c>
      <c r="W20" s="2"/>
      <c r="X20" s="6">
        <f t="shared" si="6"/>
        <v>5962.27</v>
      </c>
      <c r="Y20" s="2"/>
      <c r="Z20" s="7">
        <f t="shared" si="7"/>
        <v>0.35129396057460655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90.73</v>
      </c>
      <c r="E21" s="2"/>
      <c r="F21" s="7">
        <f t="shared" si="0"/>
        <v>0</v>
      </c>
      <c r="G21" s="2"/>
      <c r="H21" s="6">
        <v>64.239999999999995</v>
      </c>
      <c r="I21" s="2"/>
      <c r="J21" s="7">
        <f t="shared" si="1"/>
        <v>0</v>
      </c>
      <c r="K21" s="2"/>
      <c r="L21" s="6">
        <f t="shared" si="2"/>
        <v>26.490000000000009</v>
      </c>
      <c r="M21" s="2"/>
      <c r="N21" s="7">
        <f t="shared" si="3"/>
        <v>0.41235990037359915</v>
      </c>
      <c r="O21" s="11"/>
      <c r="P21" s="6">
        <v>847</v>
      </c>
      <c r="Q21" s="2"/>
      <c r="R21" s="7">
        <f t="shared" si="4"/>
        <v>0</v>
      </c>
      <c r="S21" s="2"/>
      <c r="T21" s="6">
        <v>653.49</v>
      </c>
      <c r="U21" s="2"/>
      <c r="V21" s="7">
        <f t="shared" si="5"/>
        <v>0</v>
      </c>
      <c r="W21" s="2"/>
      <c r="X21" s="6">
        <f t="shared" si="6"/>
        <v>193.51</v>
      </c>
      <c r="Y21" s="2"/>
      <c r="Z21" s="7">
        <f t="shared" si="7"/>
        <v>0.29611776767815878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6091.67</v>
      </c>
      <c r="E22" s="2"/>
      <c r="F22" s="7">
        <f t="shared" si="0"/>
        <v>0</v>
      </c>
      <c r="G22" s="2"/>
      <c r="H22" s="6">
        <v>5859.11</v>
      </c>
      <c r="I22" s="2"/>
      <c r="J22" s="7">
        <f t="shared" si="1"/>
        <v>0</v>
      </c>
      <c r="K22" s="2"/>
      <c r="L22" s="6">
        <f t="shared" si="2"/>
        <v>232.5600000000004</v>
      </c>
      <c r="M22" s="2"/>
      <c r="N22" s="7">
        <f t="shared" si="3"/>
        <v>3.9692035138442598E-2</v>
      </c>
      <c r="O22" s="11"/>
      <c r="P22" s="6">
        <v>61615.740000000005</v>
      </c>
      <c r="Q22" s="2"/>
      <c r="R22" s="7">
        <f t="shared" si="4"/>
        <v>0</v>
      </c>
      <c r="S22" s="2"/>
      <c r="T22" s="6">
        <v>56170</v>
      </c>
      <c r="U22" s="2"/>
      <c r="V22" s="7">
        <f t="shared" si="5"/>
        <v>0</v>
      </c>
      <c r="W22" s="2"/>
      <c r="X22" s="6">
        <f t="shared" si="6"/>
        <v>5445.7400000000052</v>
      </c>
      <c r="Y22" s="2"/>
      <c r="Z22" s="7">
        <f t="shared" si="7"/>
        <v>9.6951041481217831E-2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69.38</v>
      </c>
      <c r="E23" s="2"/>
      <c r="F23" s="7">
        <f t="shared" si="0"/>
        <v>0</v>
      </c>
      <c r="G23" s="2"/>
      <c r="H23" s="6">
        <v>53.88</v>
      </c>
      <c r="I23" s="2"/>
      <c r="J23" s="7">
        <f t="shared" si="1"/>
        <v>0</v>
      </c>
      <c r="K23" s="2"/>
      <c r="L23" s="6">
        <f t="shared" si="2"/>
        <v>15.499999999999993</v>
      </c>
      <c r="M23" s="2"/>
      <c r="N23" s="7">
        <f t="shared" si="3"/>
        <v>0.28767631774313274</v>
      </c>
      <c r="O23" s="11"/>
      <c r="P23" s="6">
        <v>746.39</v>
      </c>
      <c r="Q23" s="2"/>
      <c r="R23" s="7">
        <f t="shared" si="4"/>
        <v>0</v>
      </c>
      <c r="S23" s="2"/>
      <c r="T23" s="6">
        <v>625.87</v>
      </c>
      <c r="U23" s="2"/>
      <c r="V23" s="7">
        <f t="shared" si="5"/>
        <v>0</v>
      </c>
      <c r="W23" s="2"/>
      <c r="X23" s="6">
        <f t="shared" si="6"/>
        <v>120.51999999999998</v>
      </c>
      <c r="Y23" s="2"/>
      <c r="Z23" s="7">
        <f t="shared" si="7"/>
        <v>0.19256395098023549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1167.43</v>
      </c>
      <c r="E24" s="2"/>
      <c r="F24" s="7">
        <f t="shared" si="0"/>
        <v>0</v>
      </c>
      <c r="G24" s="2"/>
      <c r="H24" s="6">
        <v>727.17</v>
      </c>
      <c r="I24" s="2"/>
      <c r="J24" s="7">
        <f t="shared" si="1"/>
        <v>0</v>
      </c>
      <c r="K24" s="2"/>
      <c r="L24" s="6">
        <f t="shared" si="2"/>
        <v>440.2600000000001</v>
      </c>
      <c r="M24" s="2"/>
      <c r="N24" s="7">
        <f t="shared" si="3"/>
        <v>0.60544301882640938</v>
      </c>
      <c r="O24" s="11"/>
      <c r="P24" s="6">
        <v>12632.47</v>
      </c>
      <c r="Q24" s="2"/>
      <c r="R24" s="7">
        <f t="shared" si="4"/>
        <v>0</v>
      </c>
      <c r="S24" s="2"/>
      <c r="T24" s="6">
        <v>9406.27</v>
      </c>
      <c r="U24" s="2"/>
      <c r="V24" s="7">
        <f t="shared" si="5"/>
        <v>0</v>
      </c>
      <c r="W24" s="2"/>
      <c r="X24" s="6">
        <f t="shared" si="6"/>
        <v>3226.1999999999989</v>
      </c>
      <c r="Y24" s="2"/>
      <c r="Z24" s="7">
        <f t="shared" si="7"/>
        <v>0.34298398833969246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4936.88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4936.88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992.81</v>
      </c>
      <c r="E26" s="2"/>
      <c r="F26" s="7">
        <f t="shared" si="0"/>
        <v>0</v>
      </c>
      <c r="G26" s="2"/>
      <c r="H26" s="6">
        <v>514.92999999999995</v>
      </c>
      <c r="I26" s="2"/>
      <c r="J26" s="7">
        <f t="shared" si="1"/>
        <v>0</v>
      </c>
      <c r="K26" s="2"/>
      <c r="L26" s="6">
        <f t="shared" si="2"/>
        <v>477.88</v>
      </c>
      <c r="M26" s="2"/>
      <c r="N26" s="7">
        <f t="shared" si="3"/>
        <v>0.92804847260792733</v>
      </c>
      <c r="O26" s="11"/>
      <c r="P26" s="6">
        <v>4783.49</v>
      </c>
      <c r="Q26" s="2"/>
      <c r="R26" s="7">
        <f t="shared" si="4"/>
        <v>0</v>
      </c>
      <c r="S26" s="2"/>
      <c r="T26" s="6">
        <v>3294.43</v>
      </c>
      <c r="U26" s="2"/>
      <c r="V26" s="7">
        <f t="shared" si="5"/>
        <v>0</v>
      </c>
      <c r="W26" s="2"/>
      <c r="X26" s="6">
        <f t="shared" si="6"/>
        <v>1489.06</v>
      </c>
      <c r="Y26" s="2"/>
      <c r="Z26" s="7">
        <f t="shared" si="7"/>
        <v>0.45199321278643045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1499.44</v>
      </c>
      <c r="E27" s="2"/>
      <c r="F27" s="7">
        <f t="shared" si="0"/>
        <v>0</v>
      </c>
      <c r="G27" s="2"/>
      <c r="H27" s="6">
        <v>1042.44</v>
      </c>
      <c r="I27" s="2"/>
      <c r="J27" s="7">
        <f t="shared" si="1"/>
        <v>0</v>
      </c>
      <c r="K27" s="2"/>
      <c r="L27" s="6">
        <f t="shared" si="2"/>
        <v>457</v>
      </c>
      <c r="M27" s="2"/>
      <c r="N27" s="7">
        <f t="shared" si="3"/>
        <v>0.43839453589655036</v>
      </c>
      <c r="O27" s="11"/>
      <c r="P27" s="6">
        <v>19436.59</v>
      </c>
      <c r="Q27" s="2"/>
      <c r="R27" s="7">
        <f t="shared" si="4"/>
        <v>0</v>
      </c>
      <c r="S27" s="2"/>
      <c r="T27" s="6">
        <v>11248.54</v>
      </c>
      <c r="U27" s="2"/>
      <c r="V27" s="7">
        <f t="shared" si="5"/>
        <v>0</v>
      </c>
      <c r="W27" s="2"/>
      <c r="X27" s="6">
        <f t="shared" si="6"/>
        <v>8188.0499999999993</v>
      </c>
      <c r="Y27" s="2"/>
      <c r="Z27" s="7">
        <f t="shared" si="7"/>
        <v>0.72792113465391939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934.11</v>
      </c>
      <c r="E28" s="2"/>
      <c r="F28" s="7">
        <f t="shared" si="0"/>
        <v>0</v>
      </c>
      <c r="G28" s="2"/>
      <c r="H28" s="6">
        <v>750.06</v>
      </c>
      <c r="I28" s="2"/>
      <c r="J28" s="7">
        <f t="shared" si="1"/>
        <v>0</v>
      </c>
      <c r="K28" s="2"/>
      <c r="L28" s="6">
        <f t="shared" si="2"/>
        <v>184.05000000000007</v>
      </c>
      <c r="M28" s="2"/>
      <c r="N28" s="7">
        <f t="shared" si="3"/>
        <v>0.24538036957043446</v>
      </c>
      <c r="O28" s="11"/>
      <c r="P28" s="6">
        <v>12778.1</v>
      </c>
      <c r="Q28" s="2"/>
      <c r="R28" s="7">
        <f t="shared" si="4"/>
        <v>0</v>
      </c>
      <c r="S28" s="2"/>
      <c r="T28" s="6">
        <v>7883.37</v>
      </c>
      <c r="U28" s="2"/>
      <c r="V28" s="7">
        <f t="shared" si="5"/>
        <v>0</v>
      </c>
      <c r="W28" s="2"/>
      <c r="X28" s="6">
        <f t="shared" si="6"/>
        <v>4894.7300000000005</v>
      </c>
      <c r="Y28" s="2"/>
      <c r="Z28" s="7">
        <f t="shared" si="7"/>
        <v>0.62089309521181935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0"/>
        <v>0</v>
      </c>
      <c r="G29" s="2"/>
      <c r="H29" s="6">
        <v>389.68</v>
      </c>
      <c r="I29" s="2"/>
      <c r="J29" s="7">
        <f t="shared" si="1"/>
        <v>0</v>
      </c>
      <c r="K29" s="2"/>
      <c r="L29" s="6">
        <f t="shared" si="2"/>
        <v>-389.68</v>
      </c>
      <c r="M29" s="2"/>
      <c r="N29" s="7">
        <f t="shared" si="3"/>
        <v>-1</v>
      </c>
      <c r="O29" s="11"/>
      <c r="P29" s="6">
        <v>3652.96</v>
      </c>
      <c r="Q29" s="2"/>
      <c r="R29" s="7">
        <f t="shared" si="4"/>
        <v>0</v>
      </c>
      <c r="S29" s="2"/>
      <c r="T29" s="6">
        <v>3776.74</v>
      </c>
      <c r="U29" s="2"/>
      <c r="V29" s="7">
        <f t="shared" si="5"/>
        <v>0</v>
      </c>
      <c r="W29" s="2"/>
      <c r="X29" s="6">
        <f t="shared" si="6"/>
        <v>-123.77999999999975</v>
      </c>
      <c r="Y29" s="2"/>
      <c r="Z29" s="7">
        <f t="shared" si="7"/>
        <v>-3.2774297409935489E-2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32256.309999999998</v>
      </c>
      <c r="E30" s="1"/>
      <c r="F30" s="5">
        <f t="shared" ref="F30:F35" si="8">IF(D$12=0,0,D30/D$12)</f>
        <v>0</v>
      </c>
      <c r="G30" s="1"/>
      <c r="H30" s="1">
        <f>SUM(OSRRefH22_1x_0)</f>
        <v>20266.240000000002</v>
      </c>
      <c r="I30" s="1"/>
      <c r="J30" s="5">
        <f t="shared" ref="J30:J35" si="9">IF(H$12=0,0,H30/H$12)</f>
        <v>0</v>
      </c>
      <c r="K30" s="1"/>
      <c r="L30" s="1">
        <f t="shared" ref="L30:L35" si="10">+D30-H30</f>
        <v>11990.069999999996</v>
      </c>
      <c r="M30" s="1"/>
      <c r="N30" s="5">
        <f t="shared" ref="N30:N35" si="11">IF(H30=0,0,L30/H30)</f>
        <v>0.59162775137371293</v>
      </c>
      <c r="O30" s="13"/>
      <c r="P30" s="1">
        <f>SUM(OSRRefP22_1x_0)</f>
        <v>273359.71000000002</v>
      </c>
      <c r="Q30" s="1"/>
      <c r="R30" s="5">
        <f t="shared" ref="R30:R35" si="12">IF(P$12=0,0,P30/P$12)</f>
        <v>0</v>
      </c>
      <c r="S30" s="1"/>
      <c r="T30" s="1">
        <f>SUM(OSRRefT22_1x_0)</f>
        <v>214760.08000000002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58599.630000000005</v>
      </c>
      <c r="Y30" s="1"/>
      <c r="Z30" s="5">
        <f t="shared" ref="Z30:Z35" si="15">IF(T30=0,0,X30/T30)</f>
        <v>0.27286090599332985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11873.29</v>
      </c>
      <c r="E31" s="2"/>
      <c r="F31" s="7">
        <f t="shared" si="8"/>
        <v>0</v>
      </c>
      <c r="G31" s="2"/>
      <c r="H31" s="6">
        <v>7728.46</v>
      </c>
      <c r="I31" s="2"/>
      <c r="J31" s="7">
        <f t="shared" si="9"/>
        <v>0</v>
      </c>
      <c r="K31" s="2"/>
      <c r="L31" s="6">
        <f t="shared" si="10"/>
        <v>4144.8300000000008</v>
      </c>
      <c r="M31" s="2"/>
      <c r="N31" s="7">
        <f t="shared" si="11"/>
        <v>0.53630736265698475</v>
      </c>
      <c r="O31" s="11"/>
      <c r="P31" s="6">
        <v>93054.94</v>
      </c>
      <c r="Q31" s="2"/>
      <c r="R31" s="7">
        <f t="shared" si="12"/>
        <v>0</v>
      </c>
      <c r="S31" s="2"/>
      <c r="T31" s="6">
        <v>79216.61</v>
      </c>
      <c r="U31" s="2"/>
      <c r="V31" s="7">
        <f t="shared" si="13"/>
        <v>0</v>
      </c>
      <c r="W31" s="2"/>
      <c r="X31" s="6">
        <f t="shared" si="14"/>
        <v>13838.330000000002</v>
      </c>
      <c r="Y31" s="2"/>
      <c r="Z31" s="7">
        <f t="shared" si="15"/>
        <v>0.17468975256578137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21069.18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21069.18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>
        <v>14590.64</v>
      </c>
      <c r="E33" s="2"/>
      <c r="F33" s="7">
        <f t="shared" si="8"/>
        <v>0</v>
      </c>
      <c r="G33" s="2"/>
      <c r="H33" s="6">
        <v>8025.01</v>
      </c>
      <c r="I33" s="2"/>
      <c r="J33" s="7">
        <f t="shared" si="9"/>
        <v>0</v>
      </c>
      <c r="K33" s="2"/>
      <c r="L33" s="6">
        <f t="shared" si="10"/>
        <v>6565.6299999999992</v>
      </c>
      <c r="M33" s="2"/>
      <c r="N33" s="7">
        <f t="shared" si="11"/>
        <v>0.81814602100184286</v>
      </c>
      <c r="O33" s="11"/>
      <c r="P33" s="6">
        <v>102313.89</v>
      </c>
      <c r="Q33" s="2"/>
      <c r="R33" s="7">
        <f t="shared" si="12"/>
        <v>0</v>
      </c>
      <c r="S33" s="2"/>
      <c r="T33" s="6">
        <v>84316.790000000008</v>
      </c>
      <c r="U33" s="2"/>
      <c r="V33" s="7">
        <f t="shared" si="13"/>
        <v>0</v>
      </c>
      <c r="W33" s="2"/>
      <c r="X33" s="6">
        <f t="shared" si="14"/>
        <v>17997.099999999991</v>
      </c>
      <c r="Y33" s="2"/>
      <c r="Z33" s="7">
        <f t="shared" si="15"/>
        <v>0.21344621871871533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10255.379999999999</v>
      </c>
      <c r="E34" s="2"/>
      <c r="F34" s="7">
        <f t="shared" si="8"/>
        <v>0</v>
      </c>
      <c r="G34" s="2"/>
      <c r="H34" s="6">
        <v>3275.27</v>
      </c>
      <c r="I34" s="2"/>
      <c r="J34" s="7">
        <f t="shared" si="9"/>
        <v>0</v>
      </c>
      <c r="K34" s="2"/>
      <c r="L34" s="6">
        <f t="shared" si="10"/>
        <v>6980.1099999999988</v>
      </c>
      <c r="M34" s="2"/>
      <c r="N34" s="7">
        <f t="shared" si="11"/>
        <v>2.131155599385699</v>
      </c>
      <c r="O34" s="11"/>
      <c r="P34" s="6">
        <v>56921.7</v>
      </c>
      <c r="Q34" s="2"/>
      <c r="R34" s="7">
        <f t="shared" si="12"/>
        <v>0</v>
      </c>
      <c r="S34" s="2"/>
      <c r="T34" s="6">
        <v>33908.74</v>
      </c>
      <c r="U34" s="2"/>
      <c r="V34" s="7">
        <f t="shared" si="13"/>
        <v>0</v>
      </c>
      <c r="W34" s="2"/>
      <c r="X34" s="6">
        <f t="shared" si="14"/>
        <v>23012.959999999999</v>
      </c>
      <c r="Y34" s="2"/>
      <c r="Z34" s="7">
        <f t="shared" si="15"/>
        <v>0.67867340396605713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>
        <v>-4463</v>
      </c>
      <c r="E35" s="2"/>
      <c r="F35" s="7">
        <f t="shared" si="8"/>
        <v>0</v>
      </c>
      <c r="G35" s="2"/>
      <c r="H35" s="6">
        <v>1237.5</v>
      </c>
      <c r="I35" s="2"/>
      <c r="J35" s="7">
        <f t="shared" si="9"/>
        <v>0</v>
      </c>
      <c r="K35" s="2"/>
      <c r="L35" s="6">
        <f t="shared" si="10"/>
        <v>-5700.5</v>
      </c>
      <c r="M35" s="2"/>
      <c r="N35" s="7">
        <f t="shared" si="11"/>
        <v>-4.6064646464646462</v>
      </c>
      <c r="O35" s="11"/>
      <c r="P35" s="6">
        <v>0</v>
      </c>
      <c r="Q35" s="2"/>
      <c r="R35" s="7">
        <f t="shared" si="12"/>
        <v>0</v>
      </c>
      <c r="S35" s="2"/>
      <c r="T35" s="6">
        <v>17317.939999999999</v>
      </c>
      <c r="U35" s="2"/>
      <c r="V35" s="7">
        <f t="shared" si="13"/>
        <v>0</v>
      </c>
      <c r="W35" s="2"/>
      <c r="X35" s="6">
        <f t="shared" si="14"/>
        <v>-17317.939999999999</v>
      </c>
      <c r="Y35" s="2"/>
      <c r="Z35" s="7">
        <f t="shared" si="15"/>
        <v>-1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53" si="16">IF(D$12=0,0,D36/D$12)</f>
        <v>0</v>
      </c>
      <c r="G36" s="1"/>
      <c r="H36" s="1">
        <f>SUM(OSRRefH22_2x_0)</f>
        <v>739.67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-739.67</v>
      </c>
      <c r="M36" s="1"/>
      <c r="N36" s="5">
        <f t="shared" ref="N36:N53" si="19">IF(H36=0,0,L36/H36)</f>
        <v>-1</v>
      </c>
      <c r="O36" s="13"/>
      <c r="P36" s="1">
        <f>SUM(OSRRefP22_2x_0)</f>
        <v>1556.04</v>
      </c>
      <c r="Q36" s="1"/>
      <c r="R36" s="5">
        <f t="shared" ref="R36:R53" si="20">IF(P$12=0,0,P36/P$12)</f>
        <v>0</v>
      </c>
      <c r="S36" s="1"/>
      <c r="T36" s="1">
        <f>SUM(OSRRefT22_2x_0)</f>
        <v>4122.13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-2566.09</v>
      </c>
      <c r="Y36" s="1"/>
      <c r="Z36" s="5">
        <f t="shared" ref="Z36:Z53" si="23">IF(T36=0,0,X36/T36)</f>
        <v>-0.62251554414829224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739.67</v>
      </c>
      <c r="I37" s="2"/>
      <c r="J37" s="7">
        <f t="shared" si="17"/>
        <v>0</v>
      </c>
      <c r="K37" s="2"/>
      <c r="L37" s="6">
        <f t="shared" si="18"/>
        <v>-739.67</v>
      </c>
      <c r="M37" s="2"/>
      <c r="N37" s="7">
        <f t="shared" si="19"/>
        <v>-1</v>
      </c>
      <c r="O37" s="11"/>
      <c r="P37" s="6">
        <v>1556.04</v>
      </c>
      <c r="Q37" s="2"/>
      <c r="R37" s="7">
        <f t="shared" si="20"/>
        <v>0</v>
      </c>
      <c r="S37" s="2"/>
      <c r="T37" s="6">
        <v>4122.13</v>
      </c>
      <c r="U37" s="2"/>
      <c r="V37" s="7">
        <f t="shared" si="21"/>
        <v>0</v>
      </c>
      <c r="W37" s="2"/>
      <c r="X37" s="6">
        <f t="shared" si="22"/>
        <v>-2566.09</v>
      </c>
      <c r="Y37" s="2"/>
      <c r="Z37" s="7">
        <f t="shared" si="23"/>
        <v>-0.62251554414829224</v>
      </c>
    </row>
    <row r="38" spans="1:26" s="25" customFormat="1" outlineLevel="1" collapsed="1" x14ac:dyDescent="0.25">
      <c r="A38" s="26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224.17</v>
      </c>
      <c r="I38" s="1"/>
      <c r="J38" s="5">
        <f t="shared" si="17"/>
        <v>0</v>
      </c>
      <c r="K38" s="1"/>
      <c r="L38" s="1">
        <f t="shared" si="18"/>
        <v>-224.17</v>
      </c>
      <c r="M38" s="1"/>
      <c r="N38" s="5">
        <f t="shared" si="19"/>
        <v>-1</v>
      </c>
      <c r="O38" s="13"/>
      <c r="P38" s="1">
        <f>SUM(OSRRefP22_3x_0)</f>
        <v>2017.57</v>
      </c>
      <c r="Q38" s="1"/>
      <c r="R38" s="5">
        <f t="shared" si="20"/>
        <v>0</v>
      </c>
      <c r="S38" s="1"/>
      <c r="T38" s="1">
        <f>SUM(OSRRefT22_3x_0)</f>
        <v>2241.6999999999998</v>
      </c>
      <c r="U38" s="1"/>
      <c r="V38" s="5">
        <f t="shared" si="21"/>
        <v>0</v>
      </c>
      <c r="W38" s="1"/>
      <c r="X38" s="1">
        <f t="shared" si="22"/>
        <v>-224.12999999999988</v>
      </c>
      <c r="Y38" s="1"/>
      <c r="Z38" s="5">
        <f t="shared" si="23"/>
        <v>-9.9982156399161304E-2</v>
      </c>
    </row>
    <row r="39" spans="1:26" s="24" customFormat="1" hidden="1" outlineLevel="2" x14ac:dyDescent="0.25">
      <c r="A39" s="27"/>
      <c r="B39" s="11" t="str">
        <f>CONCATENATE("          ", "6322", " - ", "EQUIPMENT DEPRECIATION EXPENSE")</f>
        <v xml:space="preserve">          6322 - EQUIPMENT DEPRECIATION EXPENSE</v>
      </c>
      <c r="C39" s="11"/>
      <c r="D39" s="6"/>
      <c r="E39" s="2"/>
      <c r="F39" s="7">
        <f t="shared" si="16"/>
        <v>0</v>
      </c>
      <c r="G39" s="2"/>
      <c r="H39" s="6">
        <v>224.17</v>
      </c>
      <c r="I39" s="2"/>
      <c r="J39" s="7">
        <f t="shared" si="17"/>
        <v>0</v>
      </c>
      <c r="K39" s="2"/>
      <c r="L39" s="6">
        <f t="shared" si="18"/>
        <v>-224.17</v>
      </c>
      <c r="M39" s="2"/>
      <c r="N39" s="7">
        <f t="shared" si="19"/>
        <v>-1</v>
      </c>
      <c r="O39" s="11"/>
      <c r="P39" s="6">
        <v>2017.57</v>
      </c>
      <c r="Q39" s="2"/>
      <c r="R39" s="7">
        <f t="shared" si="20"/>
        <v>0</v>
      </c>
      <c r="S39" s="2"/>
      <c r="T39" s="6">
        <v>2241.6999999999998</v>
      </c>
      <c r="U39" s="2"/>
      <c r="V39" s="7">
        <f t="shared" si="21"/>
        <v>0</v>
      </c>
      <c r="W39" s="2"/>
      <c r="X39" s="6">
        <f t="shared" si="22"/>
        <v>-224.12999999999988</v>
      </c>
      <c r="Y39" s="2"/>
      <c r="Z39" s="7">
        <f t="shared" si="23"/>
        <v>-9.9982156399161304E-2</v>
      </c>
    </row>
    <row r="40" spans="1:26" s="25" customFormat="1" outlineLevel="1" collapsed="1" x14ac:dyDescent="0.25">
      <c r="A40" s="26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195.74</v>
      </c>
      <c r="E40" s="1"/>
      <c r="F40" s="5">
        <f t="shared" si="16"/>
        <v>0</v>
      </c>
      <c r="G40" s="1"/>
      <c r="H40" s="1">
        <f>SUM(OSRRefH22_4x_0)</f>
        <v>19159.04</v>
      </c>
      <c r="I40" s="1"/>
      <c r="J40" s="5">
        <f t="shared" si="17"/>
        <v>0</v>
      </c>
      <c r="K40" s="1"/>
      <c r="L40" s="1">
        <f t="shared" si="18"/>
        <v>-18963.3</v>
      </c>
      <c r="M40" s="1"/>
      <c r="N40" s="5">
        <f t="shared" si="19"/>
        <v>-0.98978341294762151</v>
      </c>
      <c r="O40" s="13"/>
      <c r="P40" s="1">
        <f>SUM(OSRRefP22_4x_0)</f>
        <v>29521.939999999995</v>
      </c>
      <c r="Q40" s="1"/>
      <c r="R40" s="5">
        <f t="shared" si="20"/>
        <v>0</v>
      </c>
      <c r="S40" s="1"/>
      <c r="T40" s="1">
        <f>SUM(OSRRefT22_4x_0)</f>
        <v>46061.84</v>
      </c>
      <c r="U40" s="1"/>
      <c r="V40" s="5">
        <f t="shared" si="21"/>
        <v>0</v>
      </c>
      <c r="W40" s="1"/>
      <c r="X40" s="1">
        <f t="shared" si="22"/>
        <v>-16539.900000000001</v>
      </c>
      <c r="Y40" s="1"/>
      <c r="Z40" s="5">
        <f t="shared" si="23"/>
        <v>-0.35908031463788687</v>
      </c>
    </row>
    <row r="41" spans="1:26" s="24" customFormat="1" hidden="1" outlineLevel="2" x14ac:dyDescent="0.25">
      <c r="A41" s="27"/>
      <c r="B41" s="11" t="str">
        <f>CONCATENATE("          ", "6277", " - ", "EMPLOYEE APPRECIATION")</f>
        <v xml:space="preserve">          6277 - EMPLOYEE APPRECIATION</v>
      </c>
      <c r="C41" s="11"/>
      <c r="D41" s="6">
        <v>195.74</v>
      </c>
      <c r="E41" s="2"/>
      <c r="F41" s="7">
        <f t="shared" si="16"/>
        <v>0</v>
      </c>
      <c r="G41" s="2"/>
      <c r="H41" s="6">
        <v>19159.04</v>
      </c>
      <c r="I41" s="2"/>
      <c r="J41" s="7">
        <f t="shared" si="17"/>
        <v>0</v>
      </c>
      <c r="K41" s="2"/>
      <c r="L41" s="6">
        <f t="shared" si="18"/>
        <v>-18963.3</v>
      </c>
      <c r="M41" s="2"/>
      <c r="N41" s="7">
        <f t="shared" si="19"/>
        <v>-0.98978341294762151</v>
      </c>
      <c r="O41" s="11"/>
      <c r="P41" s="6">
        <v>29521.939999999995</v>
      </c>
      <c r="Q41" s="2"/>
      <c r="R41" s="7">
        <f t="shared" si="20"/>
        <v>0</v>
      </c>
      <c r="S41" s="2"/>
      <c r="T41" s="6">
        <v>46061.84</v>
      </c>
      <c r="U41" s="2"/>
      <c r="V41" s="7">
        <f t="shared" si="21"/>
        <v>0</v>
      </c>
      <c r="W41" s="2"/>
      <c r="X41" s="6">
        <f t="shared" si="22"/>
        <v>-16539.900000000001</v>
      </c>
      <c r="Y41" s="2"/>
      <c r="Z41" s="7">
        <f t="shared" si="23"/>
        <v>-0.35908031463788687</v>
      </c>
    </row>
    <row r="42" spans="1:26" s="25" customFormat="1" outlineLevel="1" collapsed="1" x14ac:dyDescent="0.25">
      <c r="A42" s="26"/>
      <c r="B42" s="13" t="str">
        <f>CONCATENATE("     ","Equipment Rental                                  ")</f>
        <v xml:space="preserve">     Equipment Rental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91.26</v>
      </c>
      <c r="I42" s="1"/>
      <c r="J42" s="5">
        <f t="shared" si="17"/>
        <v>0</v>
      </c>
      <c r="K42" s="1"/>
      <c r="L42" s="1">
        <f t="shared" si="18"/>
        <v>-91.26</v>
      </c>
      <c r="M42" s="1"/>
      <c r="N42" s="5">
        <f t="shared" si="19"/>
        <v>-1</v>
      </c>
      <c r="O42" s="13"/>
      <c r="P42" s="1">
        <f>SUM(OSRRefP22_5x_0)</f>
        <v>273.77999999999997</v>
      </c>
      <c r="Q42" s="1"/>
      <c r="R42" s="5">
        <f t="shared" si="20"/>
        <v>0</v>
      </c>
      <c r="S42" s="1"/>
      <c r="T42" s="1">
        <f>SUM(OSRRefT22_5x_0)</f>
        <v>912.6</v>
      </c>
      <c r="U42" s="1"/>
      <c r="V42" s="5">
        <f t="shared" si="21"/>
        <v>0</v>
      </c>
      <c r="W42" s="1"/>
      <c r="X42" s="1">
        <f t="shared" si="22"/>
        <v>-638.82000000000005</v>
      </c>
      <c r="Y42" s="1"/>
      <c r="Z42" s="5">
        <f t="shared" si="23"/>
        <v>-0.70000000000000007</v>
      </c>
    </row>
    <row r="43" spans="1:26" s="24" customFormat="1" hidden="1" outlineLevel="2" x14ac:dyDescent="0.25">
      <c r="A43" s="27"/>
      <c r="B43" s="11" t="str">
        <f>CONCATENATE("          ", "6351", " - ", "EQUIPMENT RENTAL")</f>
        <v xml:space="preserve">          6351 - EQUIPMENT RENTAL</v>
      </c>
      <c r="C43" s="11"/>
      <c r="D43" s="6"/>
      <c r="E43" s="2"/>
      <c r="F43" s="7">
        <f t="shared" si="16"/>
        <v>0</v>
      </c>
      <c r="G43" s="2"/>
      <c r="H43" s="6">
        <v>91.26</v>
      </c>
      <c r="I43" s="2"/>
      <c r="J43" s="7">
        <f t="shared" si="17"/>
        <v>0</v>
      </c>
      <c r="K43" s="2"/>
      <c r="L43" s="6">
        <f t="shared" si="18"/>
        <v>-91.26</v>
      </c>
      <c r="M43" s="2"/>
      <c r="N43" s="7">
        <f t="shared" si="19"/>
        <v>-1</v>
      </c>
      <c r="O43" s="11"/>
      <c r="P43" s="6">
        <v>273.77999999999997</v>
      </c>
      <c r="Q43" s="2"/>
      <c r="R43" s="7">
        <f t="shared" si="20"/>
        <v>0</v>
      </c>
      <c r="S43" s="2"/>
      <c r="T43" s="6">
        <v>912.6</v>
      </c>
      <c r="U43" s="2"/>
      <c r="V43" s="7">
        <f t="shared" si="21"/>
        <v>0</v>
      </c>
      <c r="W43" s="2"/>
      <c r="X43" s="6">
        <f t="shared" si="22"/>
        <v>-638.82000000000005</v>
      </c>
      <c r="Y43" s="2"/>
      <c r="Z43" s="7">
        <f t="shared" si="23"/>
        <v>-0.70000000000000007</v>
      </c>
    </row>
    <row r="44" spans="1:26" s="25" customFormat="1" outlineLevel="1" collapsed="1" x14ac:dyDescent="0.25">
      <c r="A44" s="26"/>
      <c r="B44" s="13" t="str">
        <f>CONCATENATE("     ","Freight out/Postage                               ")</f>
        <v xml:space="preserve">     Freight out/Postage                               </v>
      </c>
      <c r="C44" s="13"/>
      <c r="D44" s="1">
        <f>SUM(OSRRefD22_6x_0)</f>
        <v>20.95</v>
      </c>
      <c r="E44" s="1"/>
      <c r="F44" s="5">
        <f t="shared" si="16"/>
        <v>0</v>
      </c>
      <c r="G44" s="1"/>
      <c r="H44" s="1">
        <f>SUM(OSRRefH22_6x_0)</f>
        <v>62.55</v>
      </c>
      <c r="I44" s="1"/>
      <c r="J44" s="5">
        <f t="shared" si="17"/>
        <v>0</v>
      </c>
      <c r="K44" s="1"/>
      <c r="L44" s="1">
        <f t="shared" si="18"/>
        <v>-41.599999999999994</v>
      </c>
      <c r="M44" s="1"/>
      <c r="N44" s="5">
        <f t="shared" si="19"/>
        <v>-0.66506794564348515</v>
      </c>
      <c r="O44" s="13"/>
      <c r="P44" s="1">
        <f>SUM(OSRRefP22_6x_0)</f>
        <v>1064.5</v>
      </c>
      <c r="Q44" s="1"/>
      <c r="R44" s="5">
        <f t="shared" si="20"/>
        <v>0</v>
      </c>
      <c r="S44" s="1"/>
      <c r="T44" s="1">
        <f>SUM(OSRRefT22_6x_0)</f>
        <v>1436.63</v>
      </c>
      <c r="U44" s="1"/>
      <c r="V44" s="5">
        <f t="shared" si="21"/>
        <v>0</v>
      </c>
      <c r="W44" s="1"/>
      <c r="X44" s="1">
        <f t="shared" si="22"/>
        <v>-372.13000000000011</v>
      </c>
      <c r="Y44" s="1"/>
      <c r="Z44" s="5">
        <f t="shared" si="23"/>
        <v>-0.25902981282584941</v>
      </c>
    </row>
    <row r="45" spans="1:26" s="24" customFormat="1" hidden="1" outlineLevel="2" x14ac:dyDescent="0.25">
      <c r="A45" s="27"/>
      <c r="B45" s="11" t="str">
        <f>CONCATENATE("          ", "6307", " - ", "POSTAGE")</f>
        <v xml:space="preserve">          6307 - POSTAGE</v>
      </c>
      <c r="C45" s="11"/>
      <c r="D45" s="6">
        <v>20.95</v>
      </c>
      <c r="E45" s="2"/>
      <c r="F45" s="7">
        <f t="shared" si="16"/>
        <v>0</v>
      </c>
      <c r="G45" s="2"/>
      <c r="H45" s="6">
        <v>62.55</v>
      </c>
      <c r="I45" s="2"/>
      <c r="J45" s="7">
        <f t="shared" si="17"/>
        <v>0</v>
      </c>
      <c r="K45" s="2"/>
      <c r="L45" s="6">
        <f t="shared" si="18"/>
        <v>-41.599999999999994</v>
      </c>
      <c r="M45" s="2"/>
      <c r="N45" s="7">
        <f t="shared" si="19"/>
        <v>-0.66506794564348515</v>
      </c>
      <c r="O45" s="11"/>
      <c r="P45" s="6">
        <v>1064.5</v>
      </c>
      <c r="Q45" s="2"/>
      <c r="R45" s="7">
        <f t="shared" si="20"/>
        <v>0</v>
      </c>
      <c r="S45" s="2"/>
      <c r="T45" s="6">
        <v>1436.63</v>
      </c>
      <c r="U45" s="2"/>
      <c r="V45" s="7">
        <f t="shared" si="21"/>
        <v>0</v>
      </c>
      <c r="W45" s="2"/>
      <c r="X45" s="6">
        <f t="shared" si="22"/>
        <v>-372.13000000000011</v>
      </c>
      <c r="Y45" s="2"/>
      <c r="Z45" s="7">
        <f t="shared" si="23"/>
        <v>-0.25902981282584941</v>
      </c>
    </row>
    <row r="46" spans="1:26" s="25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SUM(OSRRefD22_7x_0)</f>
        <v>0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3"/>
      <c r="P46" s="1">
        <f>SUM(OSRRefP22_7x_0)</f>
        <v>700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0</v>
      </c>
      <c r="Y46" s="1"/>
      <c r="Z46" s="5">
        <f t="shared" si="23"/>
        <v>0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700</v>
      </c>
      <c r="Q47" s="2"/>
      <c r="R47" s="7">
        <f t="shared" si="20"/>
        <v>0</v>
      </c>
      <c r="S47" s="2"/>
      <c r="T47" s="6">
        <v>700</v>
      </c>
      <c r="U47" s="2"/>
      <c r="V47" s="7">
        <f t="shared" si="21"/>
        <v>0</v>
      </c>
      <c r="W47" s="2"/>
      <c r="X47" s="6">
        <f t="shared" si="22"/>
        <v>0</v>
      </c>
      <c r="Y47" s="2"/>
      <c r="Z47" s="7">
        <f t="shared" si="23"/>
        <v>0</v>
      </c>
    </row>
    <row r="48" spans="1:26" s="25" customFormat="1" outlineLevel="1" collapsed="1" x14ac:dyDescent="0.25">
      <c r="A48" s="26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61.68</v>
      </c>
      <c r="I48" s="1"/>
      <c r="J48" s="5">
        <f t="shared" si="17"/>
        <v>0</v>
      </c>
      <c r="K48" s="1"/>
      <c r="L48" s="1">
        <f t="shared" si="18"/>
        <v>3.7899999999999991</v>
      </c>
      <c r="M48" s="1"/>
      <c r="N48" s="5">
        <f t="shared" si="19"/>
        <v>6.1446173800259393E-2</v>
      </c>
      <c r="O48" s="13"/>
      <c r="P48" s="1">
        <f>SUM(OSRRefP22_8x_0)</f>
        <v>654.70000000000005</v>
      </c>
      <c r="Q48" s="1"/>
      <c r="R48" s="5">
        <f t="shared" si="20"/>
        <v>0</v>
      </c>
      <c r="S48" s="1"/>
      <c r="T48" s="1">
        <f>SUM(OSRRefT22_8x_0)</f>
        <v>506.74</v>
      </c>
      <c r="U48" s="1"/>
      <c r="V48" s="5">
        <f t="shared" si="21"/>
        <v>0</v>
      </c>
      <c r="W48" s="1"/>
      <c r="X48" s="1">
        <f t="shared" si="22"/>
        <v>147.96000000000004</v>
      </c>
      <c r="Y48" s="1"/>
      <c r="Z48" s="5">
        <f t="shared" si="23"/>
        <v>0.2919840549394167</v>
      </c>
    </row>
    <row r="49" spans="1:26" s="24" customFormat="1" hidden="1" outlineLevel="2" x14ac:dyDescent="0.25">
      <c r="A49" s="27"/>
      <c r="B49" s="11" t="str">
        <f>CONCATENATE("          ", "6314", " - ", "LIABILITY INSURANCE")</f>
        <v xml:space="preserve">          6314 - LIABILITY INSURANCE</v>
      </c>
      <c r="C49" s="11"/>
      <c r="D49" s="6">
        <v>65.47</v>
      </c>
      <c r="E49" s="2"/>
      <c r="F49" s="7">
        <f t="shared" si="16"/>
        <v>0</v>
      </c>
      <c r="G49" s="2"/>
      <c r="H49" s="6">
        <v>61.68</v>
      </c>
      <c r="I49" s="2"/>
      <c r="J49" s="7">
        <f t="shared" si="17"/>
        <v>0</v>
      </c>
      <c r="K49" s="2"/>
      <c r="L49" s="6">
        <f t="shared" si="18"/>
        <v>3.7899999999999991</v>
      </c>
      <c r="M49" s="2"/>
      <c r="N49" s="7">
        <f t="shared" si="19"/>
        <v>6.1446173800259393E-2</v>
      </c>
      <c r="O49" s="11"/>
      <c r="P49" s="6">
        <v>654.70000000000005</v>
      </c>
      <c r="Q49" s="2"/>
      <c r="R49" s="7">
        <f t="shared" si="20"/>
        <v>0</v>
      </c>
      <c r="S49" s="2"/>
      <c r="T49" s="6">
        <v>506.74</v>
      </c>
      <c r="U49" s="2"/>
      <c r="V49" s="7">
        <f t="shared" si="21"/>
        <v>0</v>
      </c>
      <c r="W49" s="2"/>
      <c r="X49" s="6">
        <f t="shared" si="22"/>
        <v>147.96000000000004</v>
      </c>
      <c r="Y49" s="2"/>
      <c r="Z49" s="7">
        <f t="shared" si="23"/>
        <v>0.2919840549394167</v>
      </c>
    </row>
    <row r="50" spans="1:26" s="25" customFormat="1" outlineLevel="1" collapsed="1" x14ac:dyDescent="0.25">
      <c r="A50" s="26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SUM(OSRRefD22_9x_0)</f>
        <v>4155</v>
      </c>
      <c r="E50" s="1"/>
      <c r="F50" s="5">
        <f t="shared" si="16"/>
        <v>0</v>
      </c>
      <c r="G50" s="1"/>
      <c r="H50" s="1">
        <f>SUM(OSRRefH22_9x_0)</f>
        <v>24810</v>
      </c>
      <c r="I50" s="1"/>
      <c r="J50" s="5">
        <f t="shared" si="17"/>
        <v>0</v>
      </c>
      <c r="K50" s="1"/>
      <c r="L50" s="1">
        <f t="shared" si="18"/>
        <v>-20655</v>
      </c>
      <c r="M50" s="1"/>
      <c r="N50" s="5">
        <f t="shared" si="19"/>
        <v>-0.83252720677146308</v>
      </c>
      <c r="O50" s="13"/>
      <c r="P50" s="1">
        <f>SUM(OSRRefP22_9x_0)</f>
        <v>88938.52</v>
      </c>
      <c r="Q50" s="1"/>
      <c r="R50" s="5">
        <f t="shared" si="20"/>
        <v>0</v>
      </c>
      <c r="S50" s="1"/>
      <c r="T50" s="1">
        <f>SUM(OSRRefT22_9x_0)</f>
        <v>54328.490000000005</v>
      </c>
      <c r="U50" s="1"/>
      <c r="V50" s="5">
        <f t="shared" si="21"/>
        <v>0</v>
      </c>
      <c r="W50" s="1"/>
      <c r="X50" s="1">
        <f t="shared" si="22"/>
        <v>34610.03</v>
      </c>
      <c r="Y50" s="1"/>
      <c r="Z50" s="5">
        <f t="shared" si="23"/>
        <v>0.63705120462578646</v>
      </c>
    </row>
    <row r="51" spans="1:26" s="24" customFormat="1" hidden="1" outlineLevel="2" x14ac:dyDescent="0.25">
      <c r="A51" s="27"/>
      <c r="B51" s="11" t="str">
        <f>CONCATENATE("          ", "6332", " - ", "CONSULTANT FEES")</f>
        <v xml:space="preserve">          6332 - CONSULTANT FEES</v>
      </c>
      <c r="C51" s="11"/>
      <c r="D51" s="6"/>
      <c r="E51" s="2"/>
      <c r="F51" s="7">
        <f t="shared" si="16"/>
        <v>0</v>
      </c>
      <c r="G51" s="2"/>
      <c r="H51" s="6">
        <v>21750</v>
      </c>
      <c r="I51" s="2"/>
      <c r="J51" s="7">
        <f t="shared" si="17"/>
        <v>0</v>
      </c>
      <c r="K51" s="2"/>
      <c r="L51" s="6">
        <f t="shared" si="18"/>
        <v>-21750</v>
      </c>
      <c r="M51" s="2"/>
      <c r="N51" s="7">
        <f t="shared" si="19"/>
        <v>-1</v>
      </c>
      <c r="O51" s="11"/>
      <c r="P51" s="6">
        <v>21750</v>
      </c>
      <c r="Q51" s="2"/>
      <c r="R51" s="7">
        <f t="shared" si="20"/>
        <v>0</v>
      </c>
      <c r="S51" s="2"/>
      <c r="T51" s="6">
        <v>41800</v>
      </c>
      <c r="U51" s="2"/>
      <c r="V51" s="7">
        <f t="shared" si="21"/>
        <v>0</v>
      </c>
      <c r="W51" s="2"/>
      <c r="X51" s="6">
        <f t="shared" si="22"/>
        <v>-20050</v>
      </c>
      <c r="Y51" s="2"/>
      <c r="Z51" s="7">
        <f t="shared" si="23"/>
        <v>-0.47966507177033491</v>
      </c>
    </row>
    <row r="52" spans="1:26" s="24" customFormat="1" hidden="1" outlineLevel="2" x14ac:dyDescent="0.25">
      <c r="A52" s="27"/>
      <c r="B52" s="11" t="str">
        <f>CONCATENATE("          ", "6334", " - ", "LEGAL COUNCIL EXPENSE")</f>
        <v xml:space="preserve">          6334 - LEGAL COUNCIL EXPENSE</v>
      </c>
      <c r="C52" s="11"/>
      <c r="D52" s="6"/>
      <c r="E52" s="2"/>
      <c r="F52" s="7">
        <f t="shared" si="16"/>
        <v>0</v>
      </c>
      <c r="G52" s="2"/>
      <c r="H52" s="6">
        <v>735</v>
      </c>
      <c r="I52" s="2"/>
      <c r="J52" s="7">
        <f t="shared" si="17"/>
        <v>0</v>
      </c>
      <c r="K52" s="2"/>
      <c r="L52" s="6">
        <f t="shared" si="18"/>
        <v>-735</v>
      </c>
      <c r="M52" s="2"/>
      <c r="N52" s="7">
        <f t="shared" si="19"/>
        <v>-1</v>
      </c>
      <c r="O52" s="11"/>
      <c r="P52" s="6">
        <v>38010</v>
      </c>
      <c r="Q52" s="2"/>
      <c r="R52" s="7">
        <f t="shared" si="20"/>
        <v>0</v>
      </c>
      <c r="S52" s="2"/>
      <c r="T52" s="6">
        <v>1142.79</v>
      </c>
      <c r="U52" s="2"/>
      <c r="V52" s="7">
        <f t="shared" si="21"/>
        <v>0</v>
      </c>
      <c r="W52" s="2"/>
      <c r="X52" s="6">
        <f t="shared" si="22"/>
        <v>36867.21</v>
      </c>
      <c r="Y52" s="2"/>
      <c r="Z52" s="7">
        <f t="shared" si="23"/>
        <v>32.2607040663639</v>
      </c>
    </row>
    <row r="53" spans="1:26" s="24" customFormat="1" hidden="1" outlineLevel="2" x14ac:dyDescent="0.25">
      <c r="A53" s="27"/>
      <c r="B53" s="11" t="str">
        <f>CONCATENATE("          ", "6336", " - ", "PROFESSIONAL SERVICES")</f>
        <v xml:space="preserve">          6336 - PROFESSIONAL SERVICES</v>
      </c>
      <c r="C53" s="11"/>
      <c r="D53" s="6">
        <v>4155</v>
      </c>
      <c r="E53" s="2"/>
      <c r="F53" s="7">
        <f t="shared" si="16"/>
        <v>0</v>
      </c>
      <c r="G53" s="2"/>
      <c r="H53" s="6">
        <v>2325</v>
      </c>
      <c r="I53" s="2"/>
      <c r="J53" s="7">
        <f t="shared" si="17"/>
        <v>0</v>
      </c>
      <c r="K53" s="2"/>
      <c r="L53" s="6">
        <f t="shared" si="18"/>
        <v>1830</v>
      </c>
      <c r="M53" s="2"/>
      <c r="N53" s="7">
        <f t="shared" si="19"/>
        <v>0.7870967741935484</v>
      </c>
      <c r="O53" s="11"/>
      <c r="P53" s="6">
        <v>29178.52</v>
      </c>
      <c r="Q53" s="2"/>
      <c r="R53" s="7">
        <f t="shared" si="20"/>
        <v>0</v>
      </c>
      <c r="S53" s="2"/>
      <c r="T53" s="6">
        <v>11385.7</v>
      </c>
      <c r="U53" s="2"/>
      <c r="V53" s="7">
        <f t="shared" si="21"/>
        <v>0</v>
      </c>
      <c r="W53" s="2"/>
      <c r="X53" s="6">
        <f t="shared" si="22"/>
        <v>17792.82</v>
      </c>
      <c r="Y53" s="2"/>
      <c r="Z53" s="7">
        <f t="shared" si="23"/>
        <v>1.5627339557515127</v>
      </c>
    </row>
    <row r="54" spans="1:26" s="25" customFormat="1" outlineLevel="1" collapsed="1" x14ac:dyDescent="0.25">
      <c r="A54" s="26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14791.409999999998</v>
      </c>
      <c r="E54" s="1"/>
      <c r="F54" s="5">
        <f t="shared" ref="F54:F56" si="24">IF(D$12=0,0,D54/D$12)</f>
        <v>0</v>
      </c>
      <c r="G54" s="1"/>
      <c r="H54" s="1">
        <f>SUM(OSRRefH22_10x_0)</f>
        <v>13380.55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1410.8599999999988</v>
      </c>
      <c r="M54" s="1"/>
      <c r="N54" s="5">
        <f t="shared" ref="N54:N56" si="27">IF(H54=0,0,L54/H54)</f>
        <v>0.10544110668096594</v>
      </c>
      <c r="O54" s="13"/>
      <c r="P54" s="1">
        <f>SUM(OSRRefP22_10x_0)</f>
        <v>134436.21000000002</v>
      </c>
      <c r="Q54" s="1"/>
      <c r="R54" s="5">
        <f t="shared" ref="R54:R56" si="28">IF(P$12=0,0,P54/P$12)</f>
        <v>0</v>
      </c>
      <c r="S54" s="1"/>
      <c r="T54" s="1">
        <f>SUM(OSRRefT22_10x_0)</f>
        <v>133864.09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572.12000000002445</v>
      </c>
      <c r="Y54" s="1"/>
      <c r="Z54" s="5">
        <f t="shared" ref="Z54:Z56" si="31">IF(T54=0,0,X54/T54)</f>
        <v>4.2738870446885676E-3</v>
      </c>
    </row>
    <row r="55" spans="1:26" s="24" customFormat="1" hidden="1" outlineLevel="2" x14ac:dyDescent="0.25">
      <c r="A55" s="27"/>
      <c r="B55" s="11" t="str">
        <f>CONCATENATE("          ", "6371", " - ", "COMPUTER SOFTWARE MAINTENANCE")</f>
        <v xml:space="preserve">          6371 - COMPUTER SOFTWARE MAINTENANCE</v>
      </c>
      <c r="C55" s="11"/>
      <c r="D55" s="6">
        <v>14791.409999999998</v>
      </c>
      <c r="E55" s="2"/>
      <c r="F55" s="7">
        <f t="shared" si="24"/>
        <v>0</v>
      </c>
      <c r="G55" s="2"/>
      <c r="H55" s="6">
        <v>12865.46</v>
      </c>
      <c r="I55" s="2"/>
      <c r="J55" s="7">
        <f t="shared" si="25"/>
        <v>0</v>
      </c>
      <c r="K55" s="2"/>
      <c r="L55" s="6">
        <f t="shared" si="26"/>
        <v>1925.9499999999989</v>
      </c>
      <c r="M55" s="2"/>
      <c r="N55" s="7">
        <f t="shared" si="27"/>
        <v>0.1496992723151756</v>
      </c>
      <c r="O55" s="11"/>
      <c r="P55" s="6">
        <v>133742.54</v>
      </c>
      <c r="Q55" s="2"/>
      <c r="R55" s="7">
        <f t="shared" si="28"/>
        <v>0</v>
      </c>
      <c r="S55" s="2"/>
      <c r="T55" s="6">
        <v>130793.92</v>
      </c>
      <c r="U55" s="2"/>
      <c r="V55" s="7">
        <f t="shared" si="29"/>
        <v>0</v>
      </c>
      <c r="W55" s="2"/>
      <c r="X55" s="6">
        <f t="shared" si="30"/>
        <v>2948.6200000000099</v>
      </c>
      <c r="Y55" s="2"/>
      <c r="Z55" s="7">
        <f t="shared" si="31"/>
        <v>2.254401427833962E-2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24"/>
        <v>0</v>
      </c>
      <c r="G56" s="2"/>
      <c r="H56" s="6">
        <v>515.09</v>
      </c>
      <c r="I56" s="2"/>
      <c r="J56" s="7">
        <f t="shared" si="25"/>
        <v>0</v>
      </c>
      <c r="K56" s="2"/>
      <c r="L56" s="6">
        <f t="shared" si="26"/>
        <v>-515.09</v>
      </c>
      <c r="M56" s="2"/>
      <c r="N56" s="7">
        <f t="shared" si="27"/>
        <v>-1</v>
      </c>
      <c r="O56" s="11"/>
      <c r="P56" s="6">
        <v>693.67</v>
      </c>
      <c r="Q56" s="2"/>
      <c r="R56" s="7">
        <f t="shared" si="28"/>
        <v>0</v>
      </c>
      <c r="S56" s="2"/>
      <c r="T56" s="6">
        <v>3070.17</v>
      </c>
      <c r="U56" s="2"/>
      <c r="V56" s="7">
        <f t="shared" si="29"/>
        <v>0</v>
      </c>
      <c r="W56" s="2"/>
      <c r="X56" s="6">
        <f t="shared" si="30"/>
        <v>-2376.5</v>
      </c>
      <c r="Y56" s="2"/>
      <c r="Z56" s="7">
        <f t="shared" si="31"/>
        <v>-0.77406137119442897</v>
      </c>
    </row>
    <row r="57" spans="1:26" s="25" customFormat="1" outlineLevel="1" collapsed="1" x14ac:dyDescent="0.25">
      <c r="A57" s="26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59" si="32">IF(D$12=0,0,D57/D$12)</f>
        <v>0</v>
      </c>
      <c r="G57" s="1"/>
      <c r="H57" s="1">
        <f>SUM(OSRRefH22_11x_0)</f>
        <v>0</v>
      </c>
      <c r="I57" s="1"/>
      <c r="J57" s="5">
        <f t="shared" ref="J57:J59" si="33">IF(H$12=0,0,H57/H$12)</f>
        <v>0</v>
      </c>
      <c r="K57" s="1"/>
      <c r="L57" s="1">
        <f t="shared" ref="L57:L59" si="34">+D57-H57</f>
        <v>0</v>
      </c>
      <c r="M57" s="1"/>
      <c r="N57" s="5">
        <f t="shared" ref="N57:N59" si="35">IF(H57=0,0,L57/H57)</f>
        <v>0</v>
      </c>
      <c r="O57" s="13"/>
      <c r="P57" s="1">
        <f>SUM(OSRRefP22_11x_0)</f>
        <v>587</v>
      </c>
      <c r="Q57" s="1"/>
      <c r="R57" s="5">
        <f t="shared" ref="R57:R59" si="36">IF(P$12=0,0,P57/P$12)</f>
        <v>0</v>
      </c>
      <c r="S57" s="1"/>
      <c r="T57" s="1">
        <f>SUM(OSRRefT22_11x_0)</f>
        <v>2473.0100000000002</v>
      </c>
      <c r="U57" s="1"/>
      <c r="V57" s="5">
        <f t="shared" ref="V57:V59" si="37">IF(T$12=0,0,T57/T$12)</f>
        <v>0</v>
      </c>
      <c r="W57" s="1"/>
      <c r="X57" s="1">
        <f t="shared" ref="X57:X59" si="38">+P57-T57</f>
        <v>-1886.0100000000002</v>
      </c>
      <c r="Y57" s="1"/>
      <c r="Z57" s="5">
        <f t="shared" ref="Z57:Z59" si="39">IF(T57=0,0,X57/T57)</f>
        <v>-0.7626374337345988</v>
      </c>
    </row>
    <row r="58" spans="1:26" s="24" customFormat="1" hidden="1" outlineLevel="2" x14ac:dyDescent="0.25">
      <c r="A58" s="27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587</v>
      </c>
      <c r="Q58" s="2"/>
      <c r="R58" s="7">
        <f t="shared" si="36"/>
        <v>0</v>
      </c>
      <c r="S58" s="2"/>
      <c r="T58" s="6">
        <v>587</v>
      </c>
      <c r="U58" s="2"/>
      <c r="V58" s="7">
        <f t="shared" si="37"/>
        <v>0</v>
      </c>
      <c r="W58" s="2"/>
      <c r="X58" s="6">
        <f t="shared" si="38"/>
        <v>0</v>
      </c>
      <c r="Y58" s="2"/>
      <c r="Z58" s="7">
        <f t="shared" si="39"/>
        <v>0</v>
      </c>
    </row>
    <row r="59" spans="1:26" s="24" customFormat="1" hidden="1" outlineLevel="2" x14ac:dyDescent="0.25">
      <c r="A59" s="27"/>
      <c r="B59" s="11" t="str">
        <f>CONCATENATE("          ", "6275", " - ", "SUBSCRIPTIONS")</f>
        <v xml:space="preserve">          6275 - SUBSCRIPTIONS</v>
      </c>
      <c r="C59" s="11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/>
      <c r="Q59" s="2"/>
      <c r="R59" s="7">
        <f t="shared" si="36"/>
        <v>0</v>
      </c>
      <c r="S59" s="2"/>
      <c r="T59" s="6">
        <v>1886.01</v>
      </c>
      <c r="U59" s="2"/>
      <c r="V59" s="7">
        <f t="shared" si="37"/>
        <v>0</v>
      </c>
      <c r="W59" s="2"/>
      <c r="X59" s="6">
        <f t="shared" si="38"/>
        <v>-1886.01</v>
      </c>
      <c r="Y59" s="2"/>
      <c r="Z59" s="7">
        <f t="shared" si="39"/>
        <v>-1</v>
      </c>
    </row>
    <row r="60" spans="1:26" s="25" customFormat="1" outlineLevel="1" collapsed="1" x14ac:dyDescent="0.25">
      <c r="A60" s="26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SUM(OSRRefD22_12x_0)</f>
        <v>20</v>
      </c>
      <c r="E60" s="1"/>
      <c r="F60" s="5">
        <f t="shared" ref="F60:F63" si="40">IF(D$12=0,0,D60/D$12)</f>
        <v>0</v>
      </c>
      <c r="G60" s="1"/>
      <c r="H60" s="1">
        <f>SUM(OSRRefH22_12x_0)</f>
        <v>871.43</v>
      </c>
      <c r="I60" s="1"/>
      <c r="J60" s="5">
        <f t="shared" ref="J60:J63" si="41">IF(H$12=0,0,H60/H$12)</f>
        <v>0</v>
      </c>
      <c r="K60" s="1"/>
      <c r="L60" s="1">
        <f t="shared" ref="L60:L63" si="42">+D60-H60</f>
        <v>-851.43</v>
      </c>
      <c r="M60" s="1"/>
      <c r="N60" s="5">
        <f t="shared" ref="N60:N63" si="43">IF(H60=0,0,L60/H60)</f>
        <v>-0.97704921795210176</v>
      </c>
      <c r="O60" s="13"/>
      <c r="P60" s="1">
        <f>SUM(OSRRefP22_12x_0)</f>
        <v>16865.010000000002</v>
      </c>
      <c r="Q60" s="1"/>
      <c r="R60" s="5">
        <f t="shared" ref="R60:R63" si="44">IF(P$12=0,0,P60/P$12)</f>
        <v>0</v>
      </c>
      <c r="S60" s="1"/>
      <c r="T60" s="1">
        <f>SUM(OSRRefT22_12x_0)</f>
        <v>19646.68</v>
      </c>
      <c r="U60" s="1"/>
      <c r="V60" s="5">
        <f t="shared" ref="V60:V63" si="45">IF(T$12=0,0,T60/T$12)</f>
        <v>0</v>
      </c>
      <c r="W60" s="1"/>
      <c r="X60" s="1">
        <f t="shared" ref="X60:X63" si="46">+P60-T60</f>
        <v>-2781.6699999999983</v>
      </c>
      <c r="Y60" s="1"/>
      <c r="Z60" s="5">
        <f t="shared" ref="Z60:Z63" si="47">IF(T60=0,0,X60/T60)</f>
        <v>-0.14158473594520796</v>
      </c>
    </row>
    <row r="61" spans="1:26" s="24" customFormat="1" hidden="1" outlineLevel="2" x14ac:dyDescent="0.25">
      <c r="A61" s="27"/>
      <c r="B61" s="11" t="str">
        <f>CONCATENATE("          ", "6241", " - ", "OFFICE EXPENSE")</f>
        <v xml:space="preserve">          6241 - OFFICE EXPENSE</v>
      </c>
      <c r="C61" s="11"/>
      <c r="D61" s="6">
        <v>95.72</v>
      </c>
      <c r="E61" s="2"/>
      <c r="F61" s="7">
        <f t="shared" si="40"/>
        <v>0</v>
      </c>
      <c r="G61" s="2"/>
      <c r="H61" s="6">
        <v>796.43</v>
      </c>
      <c r="I61" s="2"/>
      <c r="J61" s="7">
        <f t="shared" si="41"/>
        <v>0</v>
      </c>
      <c r="K61" s="2"/>
      <c r="L61" s="6">
        <f t="shared" si="42"/>
        <v>-700.70999999999992</v>
      </c>
      <c r="M61" s="2"/>
      <c r="N61" s="7">
        <f t="shared" si="43"/>
        <v>-0.87981366849566189</v>
      </c>
      <c r="O61" s="11"/>
      <c r="P61" s="6">
        <v>12626.66</v>
      </c>
      <c r="Q61" s="2"/>
      <c r="R61" s="7">
        <f t="shared" si="44"/>
        <v>0</v>
      </c>
      <c r="S61" s="2"/>
      <c r="T61" s="6">
        <v>14809.249999999998</v>
      </c>
      <c r="U61" s="2"/>
      <c r="V61" s="7">
        <f t="shared" si="45"/>
        <v>0</v>
      </c>
      <c r="W61" s="2"/>
      <c r="X61" s="6">
        <f t="shared" si="46"/>
        <v>-2182.5899999999983</v>
      </c>
      <c r="Y61" s="2"/>
      <c r="Z61" s="7">
        <f t="shared" si="47"/>
        <v>-0.14738018468187103</v>
      </c>
    </row>
    <row r="62" spans="1:26" s="24" customFormat="1" hidden="1" outlineLevel="2" x14ac:dyDescent="0.25">
      <c r="A62" s="27"/>
      <c r="B62" s="11" t="str">
        <f>CONCATENATE("          ", "6244", " - ", "SAFETY SUPPLY EXPENSE")</f>
        <v xml:space="preserve">          6244 - SAFETY SUPPLY EXPENSE</v>
      </c>
      <c r="C62" s="11"/>
      <c r="D62" s="6">
        <v>-75.72</v>
      </c>
      <c r="E62" s="2"/>
      <c r="F62" s="7">
        <f t="shared" si="40"/>
        <v>0</v>
      </c>
      <c r="G62" s="2"/>
      <c r="H62" s="6">
        <v>75</v>
      </c>
      <c r="I62" s="2"/>
      <c r="J62" s="7">
        <f t="shared" si="41"/>
        <v>0</v>
      </c>
      <c r="K62" s="2"/>
      <c r="L62" s="6">
        <f t="shared" si="42"/>
        <v>-150.72</v>
      </c>
      <c r="M62" s="2"/>
      <c r="N62" s="7">
        <f t="shared" si="43"/>
        <v>-2.0095999999999998</v>
      </c>
      <c r="O62" s="11"/>
      <c r="P62" s="6">
        <v>2034.69</v>
      </c>
      <c r="Q62" s="2"/>
      <c r="R62" s="7">
        <f t="shared" si="44"/>
        <v>0</v>
      </c>
      <c r="S62" s="2"/>
      <c r="T62" s="6">
        <v>3512.48</v>
      </c>
      <c r="U62" s="2"/>
      <c r="V62" s="7">
        <f t="shared" si="45"/>
        <v>0</v>
      </c>
      <c r="W62" s="2"/>
      <c r="X62" s="6">
        <f t="shared" si="46"/>
        <v>-1477.79</v>
      </c>
      <c r="Y62" s="2"/>
      <c r="Z62" s="7">
        <f t="shared" si="47"/>
        <v>-0.42072552726278867</v>
      </c>
    </row>
    <row r="63" spans="1:26" s="24" customFormat="1" hidden="1" outlineLevel="2" x14ac:dyDescent="0.25">
      <c r="A63" s="27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40"/>
        <v>0</v>
      </c>
      <c r="G63" s="2"/>
      <c r="H63" s="6"/>
      <c r="I63" s="2"/>
      <c r="J63" s="7">
        <f t="shared" si="41"/>
        <v>0</v>
      </c>
      <c r="K63" s="2"/>
      <c r="L63" s="6">
        <f t="shared" si="42"/>
        <v>0</v>
      </c>
      <c r="M63" s="2"/>
      <c r="N63" s="7">
        <f t="shared" si="43"/>
        <v>0</v>
      </c>
      <c r="O63" s="11"/>
      <c r="P63" s="6">
        <v>2203.66</v>
      </c>
      <c r="Q63" s="2"/>
      <c r="R63" s="7">
        <f t="shared" si="44"/>
        <v>0</v>
      </c>
      <c r="S63" s="2"/>
      <c r="T63" s="6">
        <v>1324.95</v>
      </c>
      <c r="U63" s="2"/>
      <c r="V63" s="7">
        <f t="shared" si="45"/>
        <v>0</v>
      </c>
      <c r="W63" s="2"/>
      <c r="X63" s="6">
        <f t="shared" si="46"/>
        <v>878.70999999999981</v>
      </c>
      <c r="Y63" s="2"/>
      <c r="Z63" s="7">
        <f t="shared" si="47"/>
        <v>0.66320238499566009</v>
      </c>
    </row>
    <row r="64" spans="1:26" s="25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447.7</v>
      </c>
      <c r="E64" s="1"/>
      <c r="F64" s="5">
        <f t="shared" ref="F64:F69" si="48">IF(D$12=0,0,D64/D$12)</f>
        <v>0</v>
      </c>
      <c r="G64" s="1"/>
      <c r="H64" s="1">
        <f>SUM(OSRRefH22_13x_0)</f>
        <v>303</v>
      </c>
      <c r="I64" s="1"/>
      <c r="J64" s="5">
        <f t="shared" ref="J64:J69" si="49">IF(H$12=0,0,H64/H$12)</f>
        <v>0</v>
      </c>
      <c r="K64" s="1"/>
      <c r="L64" s="1">
        <f t="shared" ref="L64:L69" si="50">+D64-H64</f>
        <v>144.69999999999999</v>
      </c>
      <c r="M64" s="1"/>
      <c r="N64" s="5">
        <f t="shared" ref="N64:N69" si="51">IF(H64=0,0,L64/H64)</f>
        <v>0.47755775577557752</v>
      </c>
      <c r="O64" s="13"/>
      <c r="P64" s="1">
        <f>SUM(OSRRefP22_13x_0)</f>
        <v>3415.42</v>
      </c>
      <c r="Q64" s="1"/>
      <c r="R64" s="5">
        <f t="shared" ref="R64:R69" si="52">IF(P$12=0,0,P64/P$12)</f>
        <v>0</v>
      </c>
      <c r="S64" s="1"/>
      <c r="T64" s="1">
        <f>SUM(OSRRefT22_13x_0)</f>
        <v>3359.35</v>
      </c>
      <c r="U64" s="1"/>
      <c r="V64" s="5">
        <f t="shared" ref="V64:V69" si="53">IF(T$12=0,0,T64/T$12)</f>
        <v>0</v>
      </c>
      <c r="W64" s="1"/>
      <c r="X64" s="1">
        <f t="shared" ref="X64:X69" si="54">+P64-T64</f>
        <v>56.070000000000164</v>
      </c>
      <c r="Y64" s="1"/>
      <c r="Z64" s="5">
        <f t="shared" ref="Z64:Z69" si="55">IF(T64=0,0,X64/T64)</f>
        <v>1.6690728861238086E-2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447.7</v>
      </c>
      <c r="E65" s="2"/>
      <c r="F65" s="7">
        <f t="shared" si="48"/>
        <v>0</v>
      </c>
      <c r="G65" s="2"/>
      <c r="H65" s="6">
        <v>303</v>
      </c>
      <c r="I65" s="2"/>
      <c r="J65" s="7">
        <f t="shared" si="49"/>
        <v>0</v>
      </c>
      <c r="K65" s="2"/>
      <c r="L65" s="6">
        <f t="shared" si="50"/>
        <v>144.69999999999999</v>
      </c>
      <c r="M65" s="2"/>
      <c r="N65" s="7">
        <f t="shared" si="51"/>
        <v>0.47755775577557752</v>
      </c>
      <c r="O65" s="11"/>
      <c r="P65" s="6">
        <v>3415.42</v>
      </c>
      <c r="Q65" s="2"/>
      <c r="R65" s="7">
        <f t="shared" si="52"/>
        <v>0</v>
      </c>
      <c r="S65" s="2"/>
      <c r="T65" s="6">
        <v>3359.35</v>
      </c>
      <c r="U65" s="2"/>
      <c r="V65" s="7">
        <f t="shared" si="53"/>
        <v>0</v>
      </c>
      <c r="W65" s="2"/>
      <c r="X65" s="6">
        <f t="shared" si="54"/>
        <v>56.070000000000164</v>
      </c>
      <c r="Y65" s="2"/>
      <c r="Z65" s="7">
        <f t="shared" si="55"/>
        <v>1.6690728861238086E-2</v>
      </c>
    </row>
    <row r="66" spans="1:26" s="25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194</v>
      </c>
      <c r="E66" s="1"/>
      <c r="F66" s="5">
        <f t="shared" si="48"/>
        <v>0</v>
      </c>
      <c r="G66" s="1"/>
      <c r="H66" s="1">
        <f>SUM(OSRRefH22_14x_0)</f>
        <v>0</v>
      </c>
      <c r="I66" s="1"/>
      <c r="J66" s="5">
        <f t="shared" si="49"/>
        <v>0</v>
      </c>
      <c r="K66" s="1"/>
      <c r="L66" s="1">
        <f t="shared" si="50"/>
        <v>194</v>
      </c>
      <c r="M66" s="1"/>
      <c r="N66" s="5">
        <f t="shared" si="51"/>
        <v>0</v>
      </c>
      <c r="O66" s="13"/>
      <c r="P66" s="1">
        <f>SUM(OSRRefP22_14x_0)</f>
        <v>10721.8</v>
      </c>
      <c r="Q66" s="1"/>
      <c r="R66" s="5">
        <f t="shared" si="52"/>
        <v>0</v>
      </c>
      <c r="S66" s="1"/>
      <c r="T66" s="1">
        <f>SUM(OSRRefT22_14x_0)</f>
        <v>11912.12</v>
      </c>
      <c r="U66" s="1"/>
      <c r="V66" s="5">
        <f t="shared" si="53"/>
        <v>0</v>
      </c>
      <c r="W66" s="1"/>
      <c r="X66" s="1">
        <f t="shared" si="54"/>
        <v>-1190.3200000000015</v>
      </c>
      <c r="Y66" s="1"/>
      <c r="Z66" s="5">
        <f t="shared" si="55"/>
        <v>-9.9925118282891828E-2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6">
        <v>194</v>
      </c>
      <c r="E67" s="2"/>
      <c r="F67" s="7">
        <f t="shared" si="48"/>
        <v>0</v>
      </c>
      <c r="G67" s="2"/>
      <c r="H67" s="6"/>
      <c r="I67" s="2"/>
      <c r="J67" s="7">
        <f t="shared" si="49"/>
        <v>0</v>
      </c>
      <c r="K67" s="2"/>
      <c r="L67" s="6">
        <f t="shared" si="50"/>
        <v>194</v>
      </c>
      <c r="M67" s="2"/>
      <c r="N67" s="7">
        <f t="shared" si="51"/>
        <v>0</v>
      </c>
      <c r="O67" s="11"/>
      <c r="P67" s="6">
        <v>10721.8</v>
      </c>
      <c r="Q67" s="2"/>
      <c r="R67" s="7">
        <f t="shared" si="52"/>
        <v>0</v>
      </c>
      <c r="S67" s="2"/>
      <c r="T67" s="6">
        <v>11912.12</v>
      </c>
      <c r="U67" s="2"/>
      <c r="V67" s="7">
        <f t="shared" si="53"/>
        <v>0</v>
      </c>
      <c r="W67" s="2"/>
      <c r="X67" s="6">
        <f t="shared" si="54"/>
        <v>-1190.3200000000015</v>
      </c>
      <c r="Y67" s="2"/>
      <c r="Z67" s="7">
        <f t="shared" si="55"/>
        <v>-9.9925118282891828E-2</v>
      </c>
    </row>
    <row r="68" spans="1:26" s="25" customFormat="1" outlineLevel="1" collapsed="1" x14ac:dyDescent="0.25">
      <c r="A68" s="26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SUM(OSRRefD22_15x_0)</f>
        <v>0</v>
      </c>
      <c r="E68" s="1"/>
      <c r="F68" s="5">
        <f t="shared" si="48"/>
        <v>0</v>
      </c>
      <c r="G68" s="1"/>
      <c r="H68" s="1">
        <f>SUM(OSRRefH22_15x_0)</f>
        <v>31.78</v>
      </c>
      <c r="I68" s="1"/>
      <c r="J68" s="5">
        <f t="shared" si="49"/>
        <v>0</v>
      </c>
      <c r="K68" s="1"/>
      <c r="L68" s="1">
        <f t="shared" si="50"/>
        <v>-31.78</v>
      </c>
      <c r="M68" s="1"/>
      <c r="N68" s="5">
        <f t="shared" si="51"/>
        <v>-1</v>
      </c>
      <c r="O68" s="13"/>
      <c r="P68" s="1">
        <f>SUM(OSRRefP22_15x_0)</f>
        <v>3487.01</v>
      </c>
      <c r="Q68" s="1"/>
      <c r="R68" s="5">
        <f t="shared" si="52"/>
        <v>0</v>
      </c>
      <c r="S68" s="1"/>
      <c r="T68" s="1">
        <f>SUM(OSRRefT22_15x_0)</f>
        <v>5646.53</v>
      </c>
      <c r="U68" s="1"/>
      <c r="V68" s="5">
        <f t="shared" si="53"/>
        <v>0</v>
      </c>
      <c r="W68" s="1"/>
      <c r="X68" s="1">
        <f t="shared" si="54"/>
        <v>-2159.5199999999995</v>
      </c>
      <c r="Y68" s="1"/>
      <c r="Z68" s="5">
        <f t="shared" si="55"/>
        <v>-0.38245081492527261</v>
      </c>
    </row>
    <row r="69" spans="1:26" s="24" customFormat="1" hidden="1" outlineLevel="2" x14ac:dyDescent="0.25">
      <c r="A69" s="27"/>
      <c r="B69" s="11" t="str">
        <f>CONCATENATE("          ", "6292", " - ", "TRAVEL/CONFERENCE")</f>
        <v xml:space="preserve">          6292 - TRAVEL/CONFERENCE</v>
      </c>
      <c r="C69" s="11"/>
      <c r="D69" s="6"/>
      <c r="E69" s="2"/>
      <c r="F69" s="7">
        <f t="shared" si="48"/>
        <v>0</v>
      </c>
      <c r="G69" s="2"/>
      <c r="H69" s="6">
        <v>31.78</v>
      </c>
      <c r="I69" s="2"/>
      <c r="J69" s="7">
        <f t="shared" si="49"/>
        <v>0</v>
      </c>
      <c r="K69" s="2"/>
      <c r="L69" s="6">
        <f t="shared" si="50"/>
        <v>-31.78</v>
      </c>
      <c r="M69" s="2"/>
      <c r="N69" s="7">
        <f t="shared" si="51"/>
        <v>-1</v>
      </c>
      <c r="O69" s="11"/>
      <c r="P69" s="6">
        <v>3487.01</v>
      </c>
      <c r="Q69" s="2"/>
      <c r="R69" s="7">
        <f t="shared" si="52"/>
        <v>0</v>
      </c>
      <c r="S69" s="2"/>
      <c r="T69" s="6">
        <v>5646.53</v>
      </c>
      <c r="U69" s="2"/>
      <c r="V69" s="7">
        <f t="shared" si="53"/>
        <v>0</v>
      </c>
      <c r="W69" s="2"/>
      <c r="X69" s="6">
        <f t="shared" si="54"/>
        <v>-2159.5199999999995</v>
      </c>
      <c r="Y69" s="2"/>
      <c r="Z69" s="7">
        <f t="shared" si="55"/>
        <v>-0.38245081492527261</v>
      </c>
    </row>
    <row r="70" spans="1:26" s="53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+D16-D18+D71</f>
        <v>-66029.459999999992</v>
      </c>
      <c r="E73" s="14"/>
      <c r="F73" s="20">
        <f>IF(D$12=0,0,D73/D$12)</f>
        <v>0</v>
      </c>
      <c r="G73" s="14"/>
      <c r="H73" s="21">
        <f>+H16-H18+H71</f>
        <v>-90901.84</v>
      </c>
      <c r="I73" s="14"/>
      <c r="J73" s="20">
        <f>IF(H$12=0,0,H73/H$12)</f>
        <v>0</v>
      </c>
      <c r="K73" s="15"/>
      <c r="L73" s="21">
        <f>+D73-H73</f>
        <v>24872.380000000005</v>
      </c>
      <c r="M73" s="15"/>
      <c r="N73" s="20">
        <f>IF(H73=0,0,L73/H73)</f>
        <v>-0.27361800377198092</v>
      </c>
      <c r="O73" s="29"/>
      <c r="P73" s="21">
        <f>+P16-P18+P71</f>
        <v>-711963.41000000027</v>
      </c>
      <c r="Q73" s="14"/>
      <c r="R73" s="20">
        <f>IF(P$12=0,0,P73/P$12)</f>
        <v>0</v>
      </c>
      <c r="S73" s="14"/>
      <c r="T73" s="21">
        <f>+T16-T18+T71</f>
        <v>-612003.01</v>
      </c>
      <c r="U73" s="14"/>
      <c r="V73" s="20">
        <f>IF(T$12=0,0,T73/T$12)</f>
        <v>0</v>
      </c>
      <c r="W73" s="15"/>
      <c r="X73" s="21">
        <f>+P73-T73</f>
        <v>-99960.400000000256</v>
      </c>
      <c r="Y73" s="15"/>
      <c r="Z73" s="20">
        <f>IF(T73=0,0,X73/T73)</f>
        <v>0.16333318360640131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0">
        <f>+D73-D75</f>
        <v>-66029.459999999992</v>
      </c>
      <c r="E77" s="14"/>
      <c r="F77" s="36">
        <f>IF(D$12=0,0,D77/D$12)</f>
        <v>0</v>
      </c>
      <c r="G77" s="14"/>
      <c r="H77" s="30">
        <f>+H73-H75</f>
        <v>-90901.84</v>
      </c>
      <c r="I77" s="14"/>
      <c r="J77" s="36">
        <f>IF(H$12=0,0,H77/H$12)</f>
        <v>0</v>
      </c>
      <c r="K77" s="15"/>
      <c r="L77" s="30">
        <f>D77-H77</f>
        <v>24872.380000000005</v>
      </c>
      <c r="M77" s="15"/>
      <c r="N77" s="36">
        <f>IF(H77=0,0,L77/H77)</f>
        <v>-0.27361800377198092</v>
      </c>
      <c r="O77" s="29"/>
      <c r="P77" s="30">
        <f>+P73-P75</f>
        <v>-711963.41000000027</v>
      </c>
      <c r="Q77" s="14"/>
      <c r="R77" s="36">
        <f>IF(P$12=0,0,P77/P$12)</f>
        <v>0</v>
      </c>
      <c r="S77" s="14"/>
      <c r="T77" s="30">
        <f>+T73-T75</f>
        <v>-612003.01</v>
      </c>
      <c r="U77" s="14"/>
      <c r="V77" s="36">
        <f>IF(T$12=0,0,T77/T$12)</f>
        <v>0</v>
      </c>
      <c r="W77" s="15"/>
      <c r="X77" s="30">
        <f>P77-T77</f>
        <v>-99960.400000000256</v>
      </c>
      <c r="Y77" s="15"/>
      <c r="Z77" s="36">
        <f>IF(T77=0,0,X77/T77)</f>
        <v>0.16333318360640131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-66029.459999999992</v>
      </c>
      <c r="E80" s="14"/>
      <c r="F80" s="32">
        <f>IF(D$12=0,0,D80/D$12)</f>
        <v>0</v>
      </c>
      <c r="G80" s="14"/>
      <c r="H80" s="31">
        <f>SUM(H77:H79)</f>
        <v>-90901.84</v>
      </c>
      <c r="I80" s="14"/>
      <c r="J80" s="32">
        <f>IF(H$12=0,0,H80/H$12)</f>
        <v>0</v>
      </c>
      <c r="K80" s="15"/>
      <c r="L80" s="31">
        <f>+D80-H80</f>
        <v>24872.380000000005</v>
      </c>
      <c r="M80" s="15"/>
      <c r="N80" s="32">
        <f>IF(H80=0,0,L80/H80)</f>
        <v>-0.27361800377198092</v>
      </c>
      <c r="O80" s="29"/>
      <c r="P80" s="31">
        <f>SUM(P77:P79)</f>
        <v>-711963.41000000027</v>
      </c>
      <c r="Q80" s="14"/>
      <c r="R80" s="32">
        <f>IF(P$12=0,0,P80/P$12)</f>
        <v>0</v>
      </c>
      <c r="S80" s="14"/>
      <c r="T80" s="31">
        <f>SUM(T77:T79)</f>
        <v>-612003.01</v>
      </c>
      <c r="U80" s="14"/>
      <c r="V80" s="32">
        <f>IF(T$12=0,0,T80/T$12)</f>
        <v>0</v>
      </c>
      <c r="W80" s="15"/>
      <c r="X80" s="31">
        <f>+P80-T80</f>
        <v>-99960.400000000256</v>
      </c>
      <c r="Y80" s="15"/>
      <c r="Z80" s="32">
        <f>IF(T80=0,0,X80/T80)</f>
        <v>0.16333318360640131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4">
        <v>43965.470751655092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59" t="s">
        <v>313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61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","204", " - ", "Information Technology")</f>
        <v>Department 204 - Information Technology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52286.14</v>
      </c>
      <c r="E18" s="22"/>
      <c r="F18" s="35">
        <f t="shared" ref="F18:F29" si="0">IF(D$12=0,0,D18/D$12)</f>
        <v>0</v>
      </c>
      <c r="G18" s="22"/>
      <c r="H18" s="22">
        <f>SUM(OSRRefH22x_0)</f>
        <v>92802.8</v>
      </c>
      <c r="I18" s="22"/>
      <c r="J18" s="35">
        <f t="shared" ref="J18:J29" si="1">IF(H$12=0,0,H18/H$12)</f>
        <v>0</v>
      </c>
      <c r="K18" s="4"/>
      <c r="L18" s="22">
        <f t="shared" ref="L18:L29" si="2">+D18-H18</f>
        <v>-40516.660000000003</v>
      </c>
      <c r="M18" s="4"/>
      <c r="N18" s="35">
        <f t="shared" ref="N18:N29" si="3">IF(H18=0,0,L18/H18)</f>
        <v>-0.43658876671824559</v>
      </c>
      <c r="O18" s="10"/>
      <c r="P18" s="22">
        <f>SUM(OSRRefP22x_0)</f>
        <v>591228.65000000014</v>
      </c>
      <c r="Q18" s="22"/>
      <c r="R18" s="35">
        <f t="shared" ref="R18:R29" si="4">IF(P$12=0,0,P18/P$12)</f>
        <v>0</v>
      </c>
      <c r="S18" s="22"/>
      <c r="T18" s="22">
        <f>SUM(OSRRefT22x_0)</f>
        <v>664210.11999999988</v>
      </c>
      <c r="U18" s="22"/>
      <c r="V18" s="35">
        <f t="shared" ref="V18:V29" si="5">IF(T$12=0,0,T18/T$12)</f>
        <v>0</v>
      </c>
      <c r="W18" s="4"/>
      <c r="X18" s="22">
        <f t="shared" ref="X18:X29" si="6">+P18-T18</f>
        <v>-72981.469999999739</v>
      </c>
      <c r="Y18" s="4"/>
      <c r="Z18" s="35">
        <f t="shared" ref="Z18:Z29" si="7">IF(T18=0,0,X18/T18)</f>
        <v>-0.10987708227029085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13987.570000000002</v>
      </c>
      <c r="E19" s="1"/>
      <c r="F19" s="5">
        <f t="shared" si="0"/>
        <v>0</v>
      </c>
      <c r="G19" s="1"/>
      <c r="H19" s="1">
        <f>SUM(OSRRefH22_0x_0)</f>
        <v>15010.439999999999</v>
      </c>
      <c r="I19" s="1"/>
      <c r="J19" s="5">
        <f t="shared" si="1"/>
        <v>0</v>
      </c>
      <c r="K19" s="1"/>
      <c r="L19" s="1">
        <f t="shared" si="2"/>
        <v>-1022.8699999999972</v>
      </c>
      <c r="M19" s="1"/>
      <c r="N19" s="5">
        <f t="shared" si="3"/>
        <v>-6.8143905175331115E-2</v>
      </c>
      <c r="O19" s="13"/>
      <c r="P19" s="1">
        <f>SUM(OSRRefP22_0x_0)</f>
        <v>130030.31000000001</v>
      </c>
      <c r="Q19" s="1"/>
      <c r="R19" s="5">
        <f t="shared" si="4"/>
        <v>0</v>
      </c>
      <c r="S19" s="1"/>
      <c r="T19" s="1">
        <f>SUM(OSRRefT22_0x_0)</f>
        <v>148404.85</v>
      </c>
      <c r="U19" s="1"/>
      <c r="V19" s="5">
        <f t="shared" si="5"/>
        <v>0</v>
      </c>
      <c r="W19" s="1"/>
      <c r="X19" s="1">
        <f t="shared" si="6"/>
        <v>-18374.539999999994</v>
      </c>
      <c r="Y19" s="1"/>
      <c r="Z19" s="5">
        <f t="shared" si="7"/>
        <v>-0.12381360851751134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2350.5500000000002</v>
      </c>
      <c r="E20" s="2"/>
      <c r="F20" s="7">
        <f t="shared" si="0"/>
        <v>0</v>
      </c>
      <c r="G20" s="2"/>
      <c r="H20" s="6">
        <v>2237.79</v>
      </c>
      <c r="I20" s="2"/>
      <c r="J20" s="7">
        <f t="shared" si="1"/>
        <v>0</v>
      </c>
      <c r="K20" s="2"/>
      <c r="L20" s="6">
        <f t="shared" si="2"/>
        <v>112.76000000000022</v>
      </c>
      <c r="M20" s="2"/>
      <c r="N20" s="7">
        <f t="shared" si="3"/>
        <v>5.0388999861470565E-2</v>
      </c>
      <c r="O20" s="11"/>
      <c r="P20" s="6">
        <v>21272.560000000001</v>
      </c>
      <c r="Q20" s="2"/>
      <c r="R20" s="7">
        <f t="shared" si="4"/>
        <v>0</v>
      </c>
      <c r="S20" s="2"/>
      <c r="T20" s="6">
        <v>22818.02</v>
      </c>
      <c r="U20" s="2"/>
      <c r="V20" s="7">
        <f t="shared" si="5"/>
        <v>0</v>
      </c>
      <c r="W20" s="2"/>
      <c r="X20" s="6">
        <f t="shared" si="6"/>
        <v>-1545.4599999999991</v>
      </c>
      <c r="Y20" s="2"/>
      <c r="Z20" s="7">
        <f t="shared" si="7"/>
        <v>-6.7729803024101087E-2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67.739999999999995</v>
      </c>
      <c r="E21" s="2"/>
      <c r="F21" s="7">
        <f t="shared" si="0"/>
        <v>0</v>
      </c>
      <c r="G21" s="2"/>
      <c r="H21" s="6">
        <v>90.98</v>
      </c>
      <c r="I21" s="2"/>
      <c r="J21" s="7">
        <f t="shared" si="1"/>
        <v>0</v>
      </c>
      <c r="K21" s="2"/>
      <c r="L21" s="6">
        <f t="shared" si="2"/>
        <v>-23.240000000000009</v>
      </c>
      <c r="M21" s="2"/>
      <c r="N21" s="7">
        <f t="shared" si="3"/>
        <v>-0.25544075621015616</v>
      </c>
      <c r="O21" s="11"/>
      <c r="P21" s="6">
        <v>812.09</v>
      </c>
      <c r="Q21" s="2"/>
      <c r="R21" s="7">
        <f t="shared" si="4"/>
        <v>0</v>
      </c>
      <c r="S21" s="2"/>
      <c r="T21" s="6">
        <v>870.01</v>
      </c>
      <c r="U21" s="2"/>
      <c r="V21" s="7">
        <f t="shared" si="5"/>
        <v>0</v>
      </c>
      <c r="W21" s="2"/>
      <c r="X21" s="6">
        <f t="shared" si="6"/>
        <v>-57.919999999999959</v>
      </c>
      <c r="Y21" s="2"/>
      <c r="Z21" s="7">
        <f t="shared" si="7"/>
        <v>-6.6573947425891608E-2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5567.87</v>
      </c>
      <c r="E22" s="2"/>
      <c r="F22" s="7">
        <f t="shared" si="0"/>
        <v>0</v>
      </c>
      <c r="G22" s="2"/>
      <c r="H22" s="6">
        <v>7191</v>
      </c>
      <c r="I22" s="2"/>
      <c r="J22" s="7">
        <f t="shared" si="1"/>
        <v>0</v>
      </c>
      <c r="K22" s="2"/>
      <c r="L22" s="6">
        <f t="shared" si="2"/>
        <v>-1623.13</v>
      </c>
      <c r="M22" s="2"/>
      <c r="N22" s="7">
        <f t="shared" si="3"/>
        <v>-0.22571686830760673</v>
      </c>
      <c r="O22" s="11"/>
      <c r="P22" s="6">
        <v>53247.26</v>
      </c>
      <c r="Q22" s="2"/>
      <c r="R22" s="7">
        <f t="shared" si="4"/>
        <v>0</v>
      </c>
      <c r="S22" s="2"/>
      <c r="T22" s="6">
        <v>66324.62000000001</v>
      </c>
      <c r="U22" s="2"/>
      <c r="V22" s="7">
        <f t="shared" si="5"/>
        <v>0</v>
      </c>
      <c r="W22" s="2"/>
      <c r="X22" s="6">
        <f t="shared" si="6"/>
        <v>-13077.360000000008</v>
      </c>
      <c r="Y22" s="2"/>
      <c r="Z22" s="7">
        <f t="shared" si="7"/>
        <v>-0.19717203053707666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51.8</v>
      </c>
      <c r="E23" s="2"/>
      <c r="F23" s="7">
        <f t="shared" si="0"/>
        <v>0</v>
      </c>
      <c r="G23" s="2"/>
      <c r="H23" s="6">
        <v>76.3</v>
      </c>
      <c r="I23" s="2"/>
      <c r="J23" s="7">
        <f t="shared" si="1"/>
        <v>0</v>
      </c>
      <c r="K23" s="2"/>
      <c r="L23" s="6">
        <f t="shared" si="2"/>
        <v>-24.5</v>
      </c>
      <c r="M23" s="2"/>
      <c r="N23" s="7">
        <f t="shared" si="3"/>
        <v>-0.32110091743119268</v>
      </c>
      <c r="O23" s="11"/>
      <c r="P23" s="6">
        <v>746.89</v>
      </c>
      <c r="Q23" s="2"/>
      <c r="R23" s="7">
        <f t="shared" si="4"/>
        <v>0</v>
      </c>
      <c r="S23" s="2"/>
      <c r="T23" s="6">
        <v>812.38</v>
      </c>
      <c r="U23" s="2"/>
      <c r="V23" s="7">
        <f t="shared" si="5"/>
        <v>0</v>
      </c>
      <c r="W23" s="2"/>
      <c r="X23" s="6">
        <f t="shared" si="6"/>
        <v>-65.490000000000009</v>
      </c>
      <c r="Y23" s="2"/>
      <c r="Z23" s="7">
        <f t="shared" si="7"/>
        <v>-8.0614983135970861E-2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1716.08</v>
      </c>
      <c r="E24" s="2"/>
      <c r="F24" s="7">
        <f t="shared" si="0"/>
        <v>0</v>
      </c>
      <c r="G24" s="2"/>
      <c r="H24" s="6">
        <v>1565.19</v>
      </c>
      <c r="I24" s="2"/>
      <c r="J24" s="7">
        <f t="shared" si="1"/>
        <v>0</v>
      </c>
      <c r="K24" s="2"/>
      <c r="L24" s="6">
        <f t="shared" si="2"/>
        <v>150.88999999999987</v>
      </c>
      <c r="M24" s="2"/>
      <c r="N24" s="7">
        <f t="shared" si="3"/>
        <v>9.6403631507995746E-2</v>
      </c>
      <c r="O24" s="11"/>
      <c r="P24" s="6">
        <v>16287.56</v>
      </c>
      <c r="Q24" s="2"/>
      <c r="R24" s="7">
        <f t="shared" si="4"/>
        <v>0</v>
      </c>
      <c r="S24" s="2"/>
      <c r="T24" s="6">
        <v>18181.37</v>
      </c>
      <c r="U24" s="2"/>
      <c r="V24" s="7">
        <f t="shared" si="5"/>
        <v>0</v>
      </c>
      <c r="W24" s="2"/>
      <c r="X24" s="6">
        <f t="shared" si="6"/>
        <v>-1893.8099999999995</v>
      </c>
      <c r="Y24" s="2"/>
      <c r="Z24" s="7">
        <f t="shared" si="7"/>
        <v>-0.10416211759619873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134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134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523.01</v>
      </c>
      <c r="E26" s="2"/>
      <c r="F26" s="7">
        <f t="shared" si="0"/>
        <v>0</v>
      </c>
      <c r="G26" s="2"/>
      <c r="H26" s="6">
        <v>309.22000000000003</v>
      </c>
      <c r="I26" s="2"/>
      <c r="J26" s="7">
        <f t="shared" si="1"/>
        <v>0</v>
      </c>
      <c r="K26" s="2"/>
      <c r="L26" s="6">
        <f t="shared" si="2"/>
        <v>213.78999999999996</v>
      </c>
      <c r="M26" s="2"/>
      <c r="N26" s="7">
        <f t="shared" si="3"/>
        <v>0.69138477459413994</v>
      </c>
      <c r="O26" s="11"/>
      <c r="P26" s="6">
        <v>4073.77</v>
      </c>
      <c r="Q26" s="2"/>
      <c r="R26" s="7">
        <f t="shared" si="4"/>
        <v>0</v>
      </c>
      <c r="S26" s="2"/>
      <c r="T26" s="6">
        <v>309.22000000000003</v>
      </c>
      <c r="U26" s="2"/>
      <c r="V26" s="7">
        <f t="shared" si="5"/>
        <v>0</v>
      </c>
      <c r="W26" s="2"/>
      <c r="X26" s="6">
        <f t="shared" si="6"/>
        <v>3764.55</v>
      </c>
      <c r="Y26" s="2"/>
      <c r="Z26" s="7">
        <f t="shared" si="7"/>
        <v>12.174341892503719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2211.96</v>
      </c>
      <c r="E27" s="2"/>
      <c r="F27" s="7">
        <f t="shared" si="0"/>
        <v>0</v>
      </c>
      <c r="G27" s="2"/>
      <c r="H27" s="6">
        <v>1603.3</v>
      </c>
      <c r="I27" s="2"/>
      <c r="J27" s="7">
        <f t="shared" si="1"/>
        <v>0</v>
      </c>
      <c r="K27" s="2"/>
      <c r="L27" s="6">
        <f t="shared" si="2"/>
        <v>608.66000000000008</v>
      </c>
      <c r="M27" s="2"/>
      <c r="N27" s="7">
        <f t="shared" si="3"/>
        <v>0.37962951412711288</v>
      </c>
      <c r="O27" s="11"/>
      <c r="P27" s="6">
        <v>16732.28</v>
      </c>
      <c r="Q27" s="2"/>
      <c r="R27" s="7">
        <f t="shared" si="4"/>
        <v>0</v>
      </c>
      <c r="S27" s="2"/>
      <c r="T27" s="6">
        <v>20364.919999999998</v>
      </c>
      <c r="U27" s="2"/>
      <c r="V27" s="7">
        <f t="shared" si="5"/>
        <v>0</v>
      </c>
      <c r="W27" s="2"/>
      <c r="X27" s="6">
        <f t="shared" si="6"/>
        <v>-3632.6399999999994</v>
      </c>
      <c r="Y27" s="2"/>
      <c r="Z27" s="7">
        <f t="shared" si="7"/>
        <v>-0.17837732728633354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1498.56</v>
      </c>
      <c r="E28" s="2"/>
      <c r="F28" s="7">
        <f t="shared" si="0"/>
        <v>0</v>
      </c>
      <c r="G28" s="2"/>
      <c r="H28" s="6">
        <v>1196.6600000000001</v>
      </c>
      <c r="I28" s="2"/>
      <c r="J28" s="7">
        <f t="shared" si="1"/>
        <v>0</v>
      </c>
      <c r="K28" s="2"/>
      <c r="L28" s="6">
        <f t="shared" si="2"/>
        <v>301.89999999999986</v>
      </c>
      <c r="M28" s="2"/>
      <c r="N28" s="7">
        <f t="shared" si="3"/>
        <v>0.25228552805308097</v>
      </c>
      <c r="O28" s="11"/>
      <c r="P28" s="6">
        <v>11224.1</v>
      </c>
      <c r="Q28" s="2"/>
      <c r="R28" s="7">
        <f t="shared" si="4"/>
        <v>0</v>
      </c>
      <c r="S28" s="2"/>
      <c r="T28" s="6">
        <v>12160.16</v>
      </c>
      <c r="U28" s="2"/>
      <c r="V28" s="7">
        <f t="shared" si="5"/>
        <v>0</v>
      </c>
      <c r="W28" s="2"/>
      <c r="X28" s="6">
        <f t="shared" si="6"/>
        <v>-936.05999999999949</v>
      </c>
      <c r="Y28" s="2"/>
      <c r="Z28" s="7">
        <f t="shared" si="7"/>
        <v>-7.6977605557821571E-2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0"/>
        <v>0</v>
      </c>
      <c r="G29" s="2"/>
      <c r="H29" s="6">
        <v>740</v>
      </c>
      <c r="I29" s="2"/>
      <c r="J29" s="7">
        <f t="shared" si="1"/>
        <v>0</v>
      </c>
      <c r="K29" s="2"/>
      <c r="L29" s="6">
        <f t="shared" si="2"/>
        <v>-740</v>
      </c>
      <c r="M29" s="2"/>
      <c r="N29" s="7">
        <f t="shared" si="3"/>
        <v>-1</v>
      </c>
      <c r="O29" s="11"/>
      <c r="P29" s="6">
        <v>5499.8</v>
      </c>
      <c r="Q29" s="2"/>
      <c r="R29" s="7">
        <f t="shared" si="4"/>
        <v>0</v>
      </c>
      <c r="S29" s="2"/>
      <c r="T29" s="6">
        <v>6564.15</v>
      </c>
      <c r="U29" s="2"/>
      <c r="V29" s="7">
        <f t="shared" si="5"/>
        <v>0</v>
      </c>
      <c r="W29" s="2"/>
      <c r="X29" s="6">
        <f t="shared" si="6"/>
        <v>-1064.3499999999995</v>
      </c>
      <c r="Y29" s="2"/>
      <c r="Z29" s="7">
        <f t="shared" si="7"/>
        <v>-0.16214589855502989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21152.969999999998</v>
      </c>
      <c r="E30" s="1"/>
      <c r="F30" s="5">
        <f t="shared" ref="F30:F36" si="8">IF(D$12=0,0,D30/D$12)</f>
        <v>0</v>
      </c>
      <c r="G30" s="1"/>
      <c r="H30" s="1">
        <f>SUM(OSRRefH22_1x_0)</f>
        <v>27671.559999999998</v>
      </c>
      <c r="I30" s="1"/>
      <c r="J30" s="5">
        <f t="shared" ref="J30:J36" si="9">IF(H$12=0,0,H30/H$12)</f>
        <v>0</v>
      </c>
      <c r="K30" s="1"/>
      <c r="L30" s="1">
        <f t="shared" ref="L30:L36" si="10">+D30-H30</f>
        <v>-6518.59</v>
      </c>
      <c r="M30" s="1"/>
      <c r="N30" s="5">
        <f t="shared" ref="N30:N36" si="11">IF(H30=0,0,L30/H30)</f>
        <v>-0.23557002207320443</v>
      </c>
      <c r="O30" s="13"/>
      <c r="P30" s="1">
        <f>SUM(OSRRefP22_1x_0)</f>
        <v>259137.21999999997</v>
      </c>
      <c r="Q30" s="1"/>
      <c r="R30" s="5">
        <f t="shared" ref="R30:R36" si="12">IF(P$12=0,0,P30/P$12)</f>
        <v>0</v>
      </c>
      <c r="S30" s="1"/>
      <c r="T30" s="1">
        <f>SUM(OSRRefT22_1x_0)</f>
        <v>273796.86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-14659.640000000014</v>
      </c>
      <c r="Y30" s="1"/>
      <c r="Z30" s="5">
        <f t="shared" ref="Z30:Z36" si="15">IF(T30=0,0,X30/T30)</f>
        <v>-5.3542031124827416E-2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20312.969999999998</v>
      </c>
      <c r="E31" s="2"/>
      <c r="F31" s="7">
        <f t="shared" si="8"/>
        <v>0</v>
      </c>
      <c r="G31" s="2"/>
      <c r="H31" s="6">
        <v>16910.34</v>
      </c>
      <c r="I31" s="2"/>
      <c r="J31" s="7">
        <f t="shared" si="9"/>
        <v>0</v>
      </c>
      <c r="K31" s="2"/>
      <c r="L31" s="6">
        <f t="shared" si="10"/>
        <v>3402.6299999999974</v>
      </c>
      <c r="M31" s="2"/>
      <c r="N31" s="7">
        <f t="shared" si="11"/>
        <v>0.20121594243521995</v>
      </c>
      <c r="O31" s="11"/>
      <c r="P31" s="6">
        <v>132316.87999999998</v>
      </c>
      <c r="Q31" s="2"/>
      <c r="R31" s="7">
        <f t="shared" si="12"/>
        <v>0</v>
      </c>
      <c r="S31" s="2"/>
      <c r="T31" s="6">
        <v>151553.92000000001</v>
      </c>
      <c r="U31" s="2"/>
      <c r="V31" s="7">
        <f t="shared" si="13"/>
        <v>0</v>
      </c>
      <c r="W31" s="2"/>
      <c r="X31" s="6">
        <f t="shared" si="14"/>
        <v>-19237.040000000037</v>
      </c>
      <c r="Y31" s="2"/>
      <c r="Z31" s="7">
        <f t="shared" si="15"/>
        <v>-0.12693198565896571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6">
        <v>1176</v>
      </c>
      <c r="E32" s="2"/>
      <c r="F32" s="7">
        <f t="shared" si="8"/>
        <v>0</v>
      </c>
      <c r="G32" s="2"/>
      <c r="H32" s="6">
        <v>8009.19</v>
      </c>
      <c r="I32" s="2"/>
      <c r="J32" s="7">
        <f t="shared" si="9"/>
        <v>0</v>
      </c>
      <c r="K32" s="2"/>
      <c r="L32" s="6">
        <f t="shared" si="10"/>
        <v>-6833.19</v>
      </c>
      <c r="M32" s="2"/>
      <c r="N32" s="7">
        <f t="shared" si="11"/>
        <v>-0.85316867248747996</v>
      </c>
      <c r="O32" s="11"/>
      <c r="P32" s="6">
        <v>74256.600000000006</v>
      </c>
      <c r="Q32" s="2"/>
      <c r="R32" s="7">
        <f t="shared" si="12"/>
        <v>0</v>
      </c>
      <c r="S32" s="2"/>
      <c r="T32" s="6">
        <v>74831.7</v>
      </c>
      <c r="U32" s="2"/>
      <c r="V32" s="7">
        <f t="shared" si="13"/>
        <v>0</v>
      </c>
      <c r="W32" s="2"/>
      <c r="X32" s="6">
        <f t="shared" si="14"/>
        <v>-575.09999999999127</v>
      </c>
      <c r="Y32" s="2"/>
      <c r="Z32" s="7">
        <f t="shared" si="15"/>
        <v>-7.6852456913312312E-3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1631.25</v>
      </c>
      <c r="I33" s="2"/>
      <c r="J33" s="7">
        <f t="shared" si="9"/>
        <v>0</v>
      </c>
      <c r="K33" s="2"/>
      <c r="L33" s="6">
        <f t="shared" si="10"/>
        <v>-1631.25</v>
      </c>
      <c r="M33" s="2"/>
      <c r="N33" s="7">
        <f t="shared" si="11"/>
        <v>-1</v>
      </c>
      <c r="O33" s="11"/>
      <c r="P33" s="6">
        <v>23545.86</v>
      </c>
      <c r="Q33" s="2"/>
      <c r="R33" s="7">
        <f t="shared" si="12"/>
        <v>0</v>
      </c>
      <c r="S33" s="2"/>
      <c r="T33" s="6">
        <v>24312.37</v>
      </c>
      <c r="U33" s="2"/>
      <c r="V33" s="7">
        <f t="shared" si="13"/>
        <v>0</v>
      </c>
      <c r="W33" s="2"/>
      <c r="X33" s="6">
        <f t="shared" si="14"/>
        <v>-766.5099999999984</v>
      </c>
      <c r="Y33" s="2"/>
      <c r="Z33" s="7">
        <f t="shared" si="15"/>
        <v>-3.152757217827791E-2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1115.78</v>
      </c>
      <c r="I34" s="2"/>
      <c r="J34" s="7">
        <f t="shared" si="9"/>
        <v>0</v>
      </c>
      <c r="K34" s="2"/>
      <c r="L34" s="6">
        <f t="shared" si="10"/>
        <v>-1115.78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4668.38</v>
      </c>
      <c r="U34" s="2"/>
      <c r="V34" s="7">
        <f t="shared" si="13"/>
        <v>0</v>
      </c>
      <c r="W34" s="2"/>
      <c r="X34" s="6">
        <f t="shared" si="14"/>
        <v>-4668.38</v>
      </c>
      <c r="Y34" s="2"/>
      <c r="Z34" s="7">
        <f t="shared" si="15"/>
        <v>-1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>
        <v>-336</v>
      </c>
      <c r="E35" s="2"/>
      <c r="F35" s="7">
        <f t="shared" si="8"/>
        <v>0</v>
      </c>
      <c r="G35" s="2"/>
      <c r="H35" s="6">
        <v>5</v>
      </c>
      <c r="I35" s="2"/>
      <c r="J35" s="7">
        <f t="shared" si="9"/>
        <v>0</v>
      </c>
      <c r="K35" s="2"/>
      <c r="L35" s="6">
        <f t="shared" si="10"/>
        <v>-341</v>
      </c>
      <c r="M35" s="2"/>
      <c r="N35" s="7">
        <f t="shared" si="11"/>
        <v>-68.2</v>
      </c>
      <c r="O35" s="11"/>
      <c r="P35" s="6">
        <v>26497.88</v>
      </c>
      <c r="Q35" s="2"/>
      <c r="R35" s="7">
        <f t="shared" si="12"/>
        <v>0</v>
      </c>
      <c r="S35" s="2"/>
      <c r="T35" s="6">
        <v>18430.489999999998</v>
      </c>
      <c r="U35" s="2"/>
      <c r="V35" s="7">
        <f t="shared" si="13"/>
        <v>0</v>
      </c>
      <c r="W35" s="2"/>
      <c r="X35" s="6">
        <f t="shared" si="14"/>
        <v>8067.3900000000031</v>
      </c>
      <c r="Y35" s="2"/>
      <c r="Z35" s="7">
        <f t="shared" si="15"/>
        <v>0.43771977847577598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2520</v>
      </c>
      <c r="Q36" s="2"/>
      <c r="R36" s="7">
        <f t="shared" si="12"/>
        <v>0</v>
      </c>
      <c r="S36" s="2"/>
      <c r="T36" s="6"/>
      <c r="U36" s="2"/>
      <c r="V36" s="7">
        <f t="shared" si="13"/>
        <v>0</v>
      </c>
      <c r="W36" s="2"/>
      <c r="X36" s="6">
        <f t="shared" si="14"/>
        <v>2520</v>
      </c>
      <c r="Y36" s="2"/>
      <c r="Z36" s="7">
        <f t="shared" si="15"/>
        <v>0</v>
      </c>
    </row>
    <row r="37" spans="1:26" s="25" customFormat="1" outlineLevel="1" collapsed="1" x14ac:dyDescent="0.25">
      <c r="A37" s="26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1" si="16">IF(D$12=0,0,D37/D$12)</f>
        <v>0</v>
      </c>
      <c r="G37" s="1"/>
      <c r="H37" s="1">
        <f>SUM(OSRRefH22_2x_0)</f>
        <v>18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-18</v>
      </c>
      <c r="M37" s="1"/>
      <c r="N37" s="5">
        <f t="shared" ref="N37:N41" si="19">IF(H37=0,0,L37/H37)</f>
        <v>-1</v>
      </c>
      <c r="O37" s="13"/>
      <c r="P37" s="1">
        <f>SUM(OSRRefP22_2x_0)</f>
        <v>9.99</v>
      </c>
      <c r="Q37" s="1"/>
      <c r="R37" s="5">
        <f t="shared" ref="R37:R41" si="20">IF(P$12=0,0,P37/P$12)</f>
        <v>0</v>
      </c>
      <c r="S37" s="1"/>
      <c r="T37" s="1">
        <f>SUM(OSRRefT22_2x_0)</f>
        <v>1026.5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-1016.51</v>
      </c>
      <c r="Y37" s="1"/>
      <c r="Z37" s="5">
        <f t="shared" ref="Z37:Z41" si="23">IF(T37=0,0,X37/T37)</f>
        <v>-0.99026790063321968</v>
      </c>
    </row>
    <row r="38" spans="1:26" s="24" customFormat="1" hidden="1" outlineLevel="2" x14ac:dyDescent="0.25">
      <c r="A38" s="27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16"/>
        <v>0</v>
      </c>
      <c r="G38" s="2"/>
      <c r="H38" s="6">
        <v>18</v>
      </c>
      <c r="I38" s="2"/>
      <c r="J38" s="7">
        <f t="shared" si="17"/>
        <v>0</v>
      </c>
      <c r="K38" s="2"/>
      <c r="L38" s="6">
        <f t="shared" si="18"/>
        <v>-18</v>
      </c>
      <c r="M38" s="2"/>
      <c r="N38" s="7">
        <f t="shared" si="19"/>
        <v>-1</v>
      </c>
      <c r="O38" s="11"/>
      <c r="P38" s="6">
        <v>9.99</v>
      </c>
      <c r="Q38" s="2"/>
      <c r="R38" s="7">
        <f t="shared" si="20"/>
        <v>0</v>
      </c>
      <c r="S38" s="2"/>
      <c r="T38" s="6">
        <v>1026.5</v>
      </c>
      <c r="U38" s="2"/>
      <c r="V38" s="7">
        <f t="shared" si="21"/>
        <v>0</v>
      </c>
      <c r="W38" s="2"/>
      <c r="X38" s="6">
        <f t="shared" si="22"/>
        <v>-1016.51</v>
      </c>
      <c r="Y38" s="2"/>
      <c r="Z38" s="7">
        <f t="shared" si="23"/>
        <v>-0.99026790063321968</v>
      </c>
    </row>
    <row r="39" spans="1:26" s="25" customFormat="1" outlineLevel="1" collapsed="1" x14ac:dyDescent="0.25">
      <c r="A39" s="26"/>
      <c r="B39" s="13" t="str">
        <f>CONCATENATE("     ","Depreciation                                      ")</f>
        <v xml:space="preserve">     Depreciation                                      </v>
      </c>
      <c r="C39" s="13"/>
      <c r="D39" s="1">
        <f>SUM(OSRRefD22_3x_0)</f>
        <v>5817.65</v>
      </c>
      <c r="E39" s="1"/>
      <c r="F39" s="5">
        <f t="shared" si="16"/>
        <v>0</v>
      </c>
      <c r="G39" s="1"/>
      <c r="H39" s="1">
        <f>SUM(OSRRefH22_3x_0)</f>
        <v>7869.89</v>
      </c>
      <c r="I39" s="1"/>
      <c r="J39" s="5">
        <f t="shared" si="17"/>
        <v>0</v>
      </c>
      <c r="K39" s="1"/>
      <c r="L39" s="1">
        <f t="shared" si="18"/>
        <v>-2052.2400000000007</v>
      </c>
      <c r="M39" s="1"/>
      <c r="N39" s="5">
        <f t="shared" si="19"/>
        <v>-0.26077111624177729</v>
      </c>
      <c r="O39" s="13"/>
      <c r="P39" s="1">
        <f>SUM(OSRRefP22_3x_0)</f>
        <v>61401.35</v>
      </c>
      <c r="Q39" s="1"/>
      <c r="R39" s="5">
        <f t="shared" si="20"/>
        <v>0</v>
      </c>
      <c r="S39" s="1"/>
      <c r="T39" s="1">
        <f>SUM(OSRRefT22_3x_0)</f>
        <v>78698.899999999994</v>
      </c>
      <c r="U39" s="1"/>
      <c r="V39" s="5">
        <f t="shared" si="21"/>
        <v>0</v>
      </c>
      <c r="W39" s="1"/>
      <c r="X39" s="1">
        <f t="shared" si="22"/>
        <v>-17297.549999999996</v>
      </c>
      <c r="Y39" s="1"/>
      <c r="Z39" s="5">
        <f t="shared" si="23"/>
        <v>-0.21979405048863448</v>
      </c>
    </row>
    <row r="40" spans="1:26" s="24" customFormat="1" hidden="1" outlineLevel="2" x14ac:dyDescent="0.25">
      <c r="A40" s="27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5817.65</v>
      </c>
      <c r="E40" s="2"/>
      <c r="F40" s="7">
        <f t="shared" si="16"/>
        <v>0</v>
      </c>
      <c r="G40" s="2"/>
      <c r="H40" s="6">
        <v>7547.85</v>
      </c>
      <c r="I40" s="2"/>
      <c r="J40" s="7">
        <f t="shared" si="17"/>
        <v>0</v>
      </c>
      <c r="K40" s="2"/>
      <c r="L40" s="6">
        <f t="shared" si="18"/>
        <v>-1730.2000000000007</v>
      </c>
      <c r="M40" s="2"/>
      <c r="N40" s="7">
        <f t="shared" si="19"/>
        <v>-0.22923084057049367</v>
      </c>
      <c r="O40" s="11"/>
      <c r="P40" s="6">
        <v>61401.35</v>
      </c>
      <c r="Q40" s="2"/>
      <c r="R40" s="7">
        <f t="shared" si="20"/>
        <v>0</v>
      </c>
      <c r="S40" s="2"/>
      <c r="T40" s="6">
        <v>75478.5</v>
      </c>
      <c r="U40" s="2"/>
      <c r="V40" s="7">
        <f t="shared" si="21"/>
        <v>0</v>
      </c>
      <c r="W40" s="2"/>
      <c r="X40" s="6">
        <f t="shared" si="22"/>
        <v>-14077.150000000001</v>
      </c>
      <c r="Y40" s="2"/>
      <c r="Z40" s="7">
        <f t="shared" si="23"/>
        <v>-0.18650542869823858</v>
      </c>
    </row>
    <row r="41" spans="1:26" s="24" customFormat="1" hidden="1" outlineLevel="2" x14ac:dyDescent="0.25">
      <c r="A41" s="27"/>
      <c r="B41" s="11" t="str">
        <f>CONCATENATE("          ", "6324", " - ", "FURNITURE + FIXT DEPRECIATION")</f>
        <v xml:space="preserve">          6324 - FURNITURE + FIXT DEPRECIATION</v>
      </c>
      <c r="C41" s="11"/>
      <c r="D41" s="6"/>
      <c r="E41" s="2"/>
      <c r="F41" s="7">
        <f t="shared" si="16"/>
        <v>0</v>
      </c>
      <c r="G41" s="2"/>
      <c r="H41" s="6">
        <v>322.04000000000002</v>
      </c>
      <c r="I41" s="2"/>
      <c r="J41" s="7">
        <f t="shared" si="17"/>
        <v>0</v>
      </c>
      <c r="K41" s="2"/>
      <c r="L41" s="6">
        <f t="shared" si="18"/>
        <v>-322.04000000000002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3220.4</v>
      </c>
      <c r="U41" s="2"/>
      <c r="V41" s="7">
        <f t="shared" si="21"/>
        <v>0</v>
      </c>
      <c r="W41" s="2"/>
      <c r="X41" s="6">
        <f t="shared" si="22"/>
        <v>-3220.4</v>
      </c>
      <c r="Y41" s="2"/>
      <c r="Z41" s="7">
        <f t="shared" si="23"/>
        <v>-1</v>
      </c>
    </row>
    <row r="42" spans="1:26" s="25" customFormat="1" outlineLevel="1" collapsed="1" x14ac:dyDescent="0.25">
      <c r="A42" s="26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SUM(OSRRefD22_4x_0)</f>
        <v>0</v>
      </c>
      <c r="E42" s="1"/>
      <c r="F42" s="5">
        <f t="shared" ref="F42:F50" si="24">IF(D$12=0,0,D42/D$12)</f>
        <v>0</v>
      </c>
      <c r="G42" s="1"/>
      <c r="H42" s="1">
        <f>SUM(OSRRefH22_4x_0)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0</v>
      </c>
      <c r="M42" s="1"/>
      <c r="N42" s="5">
        <f t="shared" ref="N42:N50" si="27">IF(H42=0,0,L42/H42)</f>
        <v>0</v>
      </c>
      <c r="O42" s="13"/>
      <c r="P42" s="1">
        <f>SUM(OSRRefP22_4x_0)</f>
        <v>0</v>
      </c>
      <c r="Q42" s="1"/>
      <c r="R42" s="5">
        <f t="shared" ref="R42:R50" si="28">IF(P$12=0,0,P42/P$12)</f>
        <v>0</v>
      </c>
      <c r="S42" s="1"/>
      <c r="T42" s="1">
        <f>SUM(OSRRefT22_4x_0)</f>
        <v>486.19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-486.19</v>
      </c>
      <c r="Y42" s="1"/>
      <c r="Z42" s="5">
        <f t="shared" ref="Z42:Z50" si="31">IF(T42=0,0,X42/T42)</f>
        <v>-1</v>
      </c>
    </row>
    <row r="43" spans="1:26" s="24" customFormat="1" hidden="1" outlineLevel="2" x14ac:dyDescent="0.25">
      <c r="A43" s="27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/>
      <c r="Q43" s="2"/>
      <c r="R43" s="7">
        <f t="shared" si="28"/>
        <v>0</v>
      </c>
      <c r="S43" s="2"/>
      <c r="T43" s="6">
        <v>486.19</v>
      </c>
      <c r="U43" s="2"/>
      <c r="V43" s="7">
        <f t="shared" si="29"/>
        <v>0</v>
      </c>
      <c r="W43" s="2"/>
      <c r="X43" s="6">
        <f t="shared" si="30"/>
        <v>-486.19</v>
      </c>
      <c r="Y43" s="2"/>
      <c r="Z43" s="7">
        <f t="shared" si="31"/>
        <v>-1</v>
      </c>
    </row>
    <row r="44" spans="1:26" s="25" customFormat="1" outlineLevel="1" collapsed="1" x14ac:dyDescent="0.25">
      <c r="A44" s="26"/>
      <c r="B44" s="13" t="str">
        <f>CONCATENATE("     ","Insurance                                         ")</f>
        <v xml:space="preserve">     Insurance                                         </v>
      </c>
      <c r="C44" s="13"/>
      <c r="D44" s="1">
        <f>SUM(OSRRefD22_5x_0)</f>
        <v>56.34</v>
      </c>
      <c r="E44" s="1"/>
      <c r="F44" s="5">
        <f t="shared" si="24"/>
        <v>0</v>
      </c>
      <c r="G44" s="1"/>
      <c r="H44" s="1">
        <f>SUM(OSRRefH22_5x_0)</f>
        <v>53.08</v>
      </c>
      <c r="I44" s="1"/>
      <c r="J44" s="5">
        <f t="shared" si="25"/>
        <v>0</v>
      </c>
      <c r="K44" s="1"/>
      <c r="L44" s="1">
        <f t="shared" si="26"/>
        <v>3.2600000000000051</v>
      </c>
      <c r="M44" s="1"/>
      <c r="N44" s="5">
        <f t="shared" si="27"/>
        <v>6.1416729464958651E-2</v>
      </c>
      <c r="O44" s="13"/>
      <c r="P44" s="1">
        <f>SUM(OSRRefP22_5x_0)</f>
        <v>563.4</v>
      </c>
      <c r="Q44" s="1"/>
      <c r="R44" s="5">
        <f t="shared" si="28"/>
        <v>0</v>
      </c>
      <c r="S44" s="1"/>
      <c r="T44" s="1">
        <f>SUM(OSRRefT22_5x_0)</f>
        <v>436.1</v>
      </c>
      <c r="U44" s="1"/>
      <c r="V44" s="5">
        <f t="shared" si="29"/>
        <v>0</v>
      </c>
      <c r="W44" s="1"/>
      <c r="X44" s="1">
        <f t="shared" si="30"/>
        <v>127.29999999999995</v>
      </c>
      <c r="Y44" s="1"/>
      <c r="Z44" s="5">
        <f t="shared" si="31"/>
        <v>0.29190552625544586</v>
      </c>
    </row>
    <row r="45" spans="1:26" s="24" customFormat="1" hidden="1" outlineLevel="2" x14ac:dyDescent="0.25">
      <c r="A45" s="27"/>
      <c r="B45" s="11" t="str">
        <f>CONCATENATE("          ", "6314", " - ", "LIABILITY INSURANCE")</f>
        <v xml:space="preserve">          6314 - LIABILITY INSURANCE</v>
      </c>
      <c r="C45" s="11"/>
      <c r="D45" s="6">
        <v>56.34</v>
      </c>
      <c r="E45" s="2"/>
      <c r="F45" s="7">
        <f t="shared" si="24"/>
        <v>0</v>
      </c>
      <c r="G45" s="2"/>
      <c r="H45" s="6">
        <v>53.08</v>
      </c>
      <c r="I45" s="2"/>
      <c r="J45" s="7">
        <f t="shared" si="25"/>
        <v>0</v>
      </c>
      <c r="K45" s="2"/>
      <c r="L45" s="6">
        <f t="shared" si="26"/>
        <v>3.2600000000000051</v>
      </c>
      <c r="M45" s="2"/>
      <c r="N45" s="7">
        <f t="shared" si="27"/>
        <v>6.1416729464958651E-2</v>
      </c>
      <c r="O45" s="11"/>
      <c r="P45" s="6">
        <v>563.4</v>
      </c>
      <c r="Q45" s="2"/>
      <c r="R45" s="7">
        <f t="shared" si="28"/>
        <v>0</v>
      </c>
      <c r="S45" s="2"/>
      <c r="T45" s="6">
        <v>436.1</v>
      </c>
      <c r="U45" s="2"/>
      <c r="V45" s="7">
        <f t="shared" si="29"/>
        <v>0</v>
      </c>
      <c r="W45" s="2"/>
      <c r="X45" s="6">
        <f t="shared" si="30"/>
        <v>127.29999999999995</v>
      </c>
      <c r="Y45" s="2"/>
      <c r="Z45" s="7">
        <f t="shared" si="31"/>
        <v>0.29190552625544586</v>
      </c>
    </row>
    <row r="46" spans="1:26" s="25" customFormat="1" outlineLevel="1" collapsed="1" x14ac:dyDescent="0.25">
      <c r="A46" s="26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SUM(OSRRefD22_6x_0)</f>
        <v>9497.9500000000007</v>
      </c>
      <c r="E46" s="1"/>
      <c r="F46" s="5">
        <f t="shared" si="24"/>
        <v>0</v>
      </c>
      <c r="G46" s="1"/>
      <c r="H46" s="1">
        <f>SUM(OSRRefH22_6x_0)</f>
        <v>8814.9500000000007</v>
      </c>
      <c r="I46" s="1"/>
      <c r="J46" s="5">
        <f t="shared" si="25"/>
        <v>0</v>
      </c>
      <c r="K46" s="1"/>
      <c r="L46" s="1">
        <f t="shared" si="26"/>
        <v>683</v>
      </c>
      <c r="M46" s="1"/>
      <c r="N46" s="5">
        <f t="shared" si="27"/>
        <v>7.7482005002864451E-2</v>
      </c>
      <c r="O46" s="13"/>
      <c r="P46" s="1">
        <f>SUM(OSRRefP22_6x_0)</f>
        <v>96061.719999999987</v>
      </c>
      <c r="Q46" s="1"/>
      <c r="R46" s="5">
        <f t="shared" si="28"/>
        <v>0</v>
      </c>
      <c r="S46" s="1"/>
      <c r="T46" s="1">
        <f>SUM(OSRRefT22_6x_0)</f>
        <v>90069.81</v>
      </c>
      <c r="U46" s="1"/>
      <c r="V46" s="5">
        <f t="shared" si="29"/>
        <v>0</v>
      </c>
      <c r="W46" s="1"/>
      <c r="X46" s="1">
        <f t="shared" si="30"/>
        <v>5991.9099999999889</v>
      </c>
      <c r="Y46" s="1"/>
      <c r="Z46" s="5">
        <f t="shared" si="31"/>
        <v>6.6525176415937692E-2</v>
      </c>
    </row>
    <row r="47" spans="1:26" s="24" customFormat="1" hidden="1" outlineLevel="2" x14ac:dyDescent="0.25">
      <c r="A47" s="27"/>
      <c r="B47" s="11" t="str">
        <f>CONCATENATE("          ", "6371", " - ", "COMPUTER SOFTWARE MAINTENANCE")</f>
        <v xml:space="preserve">          6371 - COMPUTER SOFTWARE MAINTENANCE</v>
      </c>
      <c r="C47" s="11"/>
      <c r="D47" s="6">
        <v>90.95</v>
      </c>
      <c r="E47" s="2"/>
      <c r="F47" s="7">
        <f t="shared" si="24"/>
        <v>0</v>
      </c>
      <c r="G47" s="2"/>
      <c r="H47" s="6">
        <v>255.95</v>
      </c>
      <c r="I47" s="2"/>
      <c r="J47" s="7">
        <f t="shared" si="25"/>
        <v>0</v>
      </c>
      <c r="K47" s="2"/>
      <c r="L47" s="6">
        <f t="shared" si="26"/>
        <v>-165</v>
      </c>
      <c r="M47" s="2"/>
      <c r="N47" s="7">
        <f t="shared" si="27"/>
        <v>-0.64465715960148473</v>
      </c>
      <c r="O47" s="11"/>
      <c r="P47" s="6">
        <v>1246.25</v>
      </c>
      <c r="Q47" s="2"/>
      <c r="R47" s="7">
        <f t="shared" si="28"/>
        <v>0</v>
      </c>
      <c r="S47" s="2"/>
      <c r="T47" s="6">
        <v>2864.67</v>
      </c>
      <c r="U47" s="2"/>
      <c r="V47" s="7">
        <f t="shared" si="29"/>
        <v>0</v>
      </c>
      <c r="W47" s="2"/>
      <c r="X47" s="6">
        <f t="shared" si="30"/>
        <v>-1618.42</v>
      </c>
      <c r="Y47" s="2"/>
      <c r="Z47" s="7">
        <f t="shared" si="31"/>
        <v>-0.56495861652476553</v>
      </c>
    </row>
    <row r="48" spans="1:26" s="24" customFormat="1" hidden="1" outlineLevel="2" x14ac:dyDescent="0.25">
      <c r="A48" s="27"/>
      <c r="B48" s="11" t="str">
        <f>CONCATENATE("          ", "6372", " - ", "COMPUTER HARDWARE MAINTENANCE")</f>
        <v xml:space="preserve">          6372 - COMPUTER HARDWARE MAINTENANCE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321.92</v>
      </c>
      <c r="U48" s="2"/>
      <c r="V48" s="7">
        <f t="shared" si="29"/>
        <v>0</v>
      </c>
      <c r="W48" s="2"/>
      <c r="X48" s="6">
        <f t="shared" si="30"/>
        <v>-321.92</v>
      </c>
      <c r="Y48" s="2"/>
      <c r="Z48" s="7">
        <f t="shared" si="31"/>
        <v>-1</v>
      </c>
    </row>
    <row r="49" spans="1:26" s="24" customFormat="1" hidden="1" outlineLevel="2" x14ac:dyDescent="0.25">
      <c r="A49" s="27"/>
      <c r="B49" s="11" t="str">
        <f>CONCATENATE("          ", "6373", " - ", "MAINTENANCE CONTRACTS")</f>
        <v xml:space="preserve">          6373 - MAINTENANCE CONTRACTS</v>
      </c>
      <c r="C49" s="11"/>
      <c r="D49" s="6">
        <v>9407</v>
      </c>
      <c r="E49" s="2"/>
      <c r="F49" s="7">
        <f t="shared" si="24"/>
        <v>0</v>
      </c>
      <c r="G49" s="2"/>
      <c r="H49" s="6">
        <v>8559</v>
      </c>
      <c r="I49" s="2"/>
      <c r="J49" s="7">
        <f t="shared" si="25"/>
        <v>0</v>
      </c>
      <c r="K49" s="2"/>
      <c r="L49" s="6">
        <f t="shared" si="26"/>
        <v>848</v>
      </c>
      <c r="M49" s="2"/>
      <c r="N49" s="7">
        <f t="shared" si="27"/>
        <v>9.9076994976048605E-2</v>
      </c>
      <c r="O49" s="11"/>
      <c r="P49" s="6">
        <v>94657.069999999992</v>
      </c>
      <c r="Q49" s="2"/>
      <c r="R49" s="7">
        <f t="shared" si="28"/>
        <v>0</v>
      </c>
      <c r="S49" s="2"/>
      <c r="T49" s="6">
        <v>86084.85</v>
      </c>
      <c r="U49" s="2"/>
      <c r="V49" s="7">
        <f t="shared" si="29"/>
        <v>0</v>
      </c>
      <c r="W49" s="2"/>
      <c r="X49" s="6">
        <f t="shared" si="30"/>
        <v>8572.2199999999866</v>
      </c>
      <c r="Y49" s="2"/>
      <c r="Z49" s="7">
        <f t="shared" si="31"/>
        <v>9.957872959063048E-2</v>
      </c>
    </row>
    <row r="50" spans="1:26" s="24" customFormat="1" hidden="1" outlineLevel="2" x14ac:dyDescent="0.25">
      <c r="A50" s="27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158.4</v>
      </c>
      <c r="Q50" s="2"/>
      <c r="R50" s="7">
        <f t="shared" si="28"/>
        <v>0</v>
      </c>
      <c r="S50" s="2"/>
      <c r="T50" s="6">
        <v>798.37</v>
      </c>
      <c r="U50" s="2"/>
      <c r="V50" s="7">
        <f t="shared" si="29"/>
        <v>0</v>
      </c>
      <c r="W50" s="2"/>
      <c r="X50" s="6">
        <f t="shared" si="30"/>
        <v>-639.97</v>
      </c>
      <c r="Y50" s="2"/>
      <c r="Z50" s="7">
        <f t="shared" si="31"/>
        <v>-0.80159575134336214</v>
      </c>
    </row>
    <row r="51" spans="1:26" s="25" customFormat="1" outlineLevel="1" collapsed="1" x14ac:dyDescent="0.25">
      <c r="A51" s="26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555.46</v>
      </c>
      <c r="E51" s="1"/>
      <c r="F51" s="5">
        <f t="shared" ref="F51:F53" si="32">IF(D$12=0,0,D51/D$12)</f>
        <v>0</v>
      </c>
      <c r="G51" s="1"/>
      <c r="H51" s="1">
        <f>SUM(OSRRefH22_7x_0)</f>
        <v>30739.299999999996</v>
      </c>
      <c r="I51" s="1"/>
      <c r="J51" s="5">
        <f t="shared" ref="J51:J53" si="33">IF(H$12=0,0,H51/H$12)</f>
        <v>0</v>
      </c>
      <c r="K51" s="1"/>
      <c r="L51" s="1">
        <f t="shared" ref="L51:L53" si="34">+D51-H51</f>
        <v>-30183.839999999997</v>
      </c>
      <c r="M51" s="1"/>
      <c r="N51" s="5">
        <f t="shared" ref="N51:N53" si="35">IF(H51=0,0,L51/H51)</f>
        <v>-0.98192997238063329</v>
      </c>
      <c r="O51" s="13"/>
      <c r="P51" s="1">
        <f>SUM(OSRRefP22_7x_0)</f>
        <v>25846.809999999998</v>
      </c>
      <c r="Q51" s="1"/>
      <c r="R51" s="5">
        <f t="shared" ref="R51:R53" si="36">IF(P$12=0,0,P51/P$12)</f>
        <v>0</v>
      </c>
      <c r="S51" s="1"/>
      <c r="T51" s="1">
        <f>SUM(OSRRefT22_7x_0)</f>
        <v>51084.52</v>
      </c>
      <c r="U51" s="1"/>
      <c r="V51" s="5">
        <f t="shared" ref="V51:V53" si="37">IF(T$12=0,0,T51/T$12)</f>
        <v>0</v>
      </c>
      <c r="W51" s="1"/>
      <c r="X51" s="1">
        <f t="shared" ref="X51:X53" si="38">+P51-T51</f>
        <v>-25237.71</v>
      </c>
      <c r="Y51" s="1"/>
      <c r="Z51" s="5">
        <f t="shared" ref="Z51:Z53" si="39">IF(T51=0,0,X51/T51)</f>
        <v>-0.49403831141018845</v>
      </c>
    </row>
    <row r="52" spans="1:26" s="24" customFormat="1" hidden="1" outlineLevel="2" x14ac:dyDescent="0.25">
      <c r="A52" s="27"/>
      <c r="B52" s="11" t="str">
        <f>CONCATENATE("          ", "6234", " - ", "EXPENDABLE SUPPLIES &amp; EQUIPMEN")</f>
        <v xml:space="preserve">          6234 - EXPENDABLE SUPPLIES &amp; EQUIPMEN</v>
      </c>
      <c r="C52" s="11"/>
      <c r="D52" s="6"/>
      <c r="E52" s="2"/>
      <c r="F52" s="7">
        <f t="shared" si="32"/>
        <v>0</v>
      </c>
      <c r="G52" s="2"/>
      <c r="H52" s="6"/>
      <c r="I52" s="2"/>
      <c r="J52" s="7">
        <f t="shared" si="33"/>
        <v>0</v>
      </c>
      <c r="K52" s="2"/>
      <c r="L52" s="6">
        <f t="shared" si="34"/>
        <v>0</v>
      </c>
      <c r="M52" s="2"/>
      <c r="N52" s="7">
        <f t="shared" si="35"/>
        <v>0</v>
      </c>
      <c r="O52" s="11"/>
      <c r="P52" s="6"/>
      <c r="Q52" s="2"/>
      <c r="R52" s="7">
        <f t="shared" si="36"/>
        <v>0</v>
      </c>
      <c r="S52" s="2"/>
      <c r="T52" s="6">
        <v>1245.83</v>
      </c>
      <c r="U52" s="2"/>
      <c r="V52" s="7">
        <f t="shared" si="37"/>
        <v>0</v>
      </c>
      <c r="W52" s="2"/>
      <c r="X52" s="6">
        <f t="shared" si="38"/>
        <v>-1245.83</v>
      </c>
      <c r="Y52" s="2"/>
      <c r="Z52" s="7">
        <f t="shared" si="39"/>
        <v>-1</v>
      </c>
    </row>
    <row r="53" spans="1:26" s="24" customFormat="1" hidden="1" outlineLevel="2" x14ac:dyDescent="0.25">
      <c r="A53" s="27"/>
      <c r="B53" s="11" t="str">
        <f>CONCATENATE("          ", "6241", " - ", "OFFICE EXPENSE")</f>
        <v xml:space="preserve">          6241 - OFFICE EXPENSE</v>
      </c>
      <c r="C53" s="11"/>
      <c r="D53" s="6">
        <v>555.46</v>
      </c>
      <c r="E53" s="2"/>
      <c r="F53" s="7">
        <f t="shared" si="32"/>
        <v>0</v>
      </c>
      <c r="G53" s="2"/>
      <c r="H53" s="6">
        <v>30739.299999999996</v>
      </c>
      <c r="I53" s="2"/>
      <c r="J53" s="7">
        <f t="shared" si="33"/>
        <v>0</v>
      </c>
      <c r="K53" s="2"/>
      <c r="L53" s="6">
        <f t="shared" si="34"/>
        <v>-30183.839999999997</v>
      </c>
      <c r="M53" s="2"/>
      <c r="N53" s="7">
        <f t="shared" si="35"/>
        <v>-0.98192997238063329</v>
      </c>
      <c r="O53" s="11"/>
      <c r="P53" s="6">
        <v>25846.809999999998</v>
      </c>
      <c r="Q53" s="2"/>
      <c r="R53" s="7">
        <f t="shared" si="36"/>
        <v>0</v>
      </c>
      <c r="S53" s="2"/>
      <c r="T53" s="6">
        <v>49838.689999999995</v>
      </c>
      <c r="U53" s="2"/>
      <c r="V53" s="7">
        <f t="shared" si="37"/>
        <v>0</v>
      </c>
      <c r="W53" s="2"/>
      <c r="X53" s="6">
        <f t="shared" si="38"/>
        <v>-23991.879999999997</v>
      </c>
      <c r="Y53" s="2"/>
      <c r="Z53" s="7">
        <f t="shared" si="39"/>
        <v>-0.48139066255553664</v>
      </c>
    </row>
    <row r="54" spans="1:26" s="25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1192.08</v>
      </c>
      <c r="E54" s="1"/>
      <c r="F54" s="5">
        <f t="shared" ref="F54:F56" si="40">IF(D$12=0,0,D54/D$12)</f>
        <v>0</v>
      </c>
      <c r="G54" s="1"/>
      <c r="H54" s="1">
        <f>SUM(OSRRefH22_8x_0)</f>
        <v>1031.71</v>
      </c>
      <c r="I54" s="1"/>
      <c r="J54" s="5">
        <f t="shared" ref="J54:J56" si="41">IF(H$12=0,0,H54/H$12)</f>
        <v>0</v>
      </c>
      <c r="K54" s="1"/>
      <c r="L54" s="1">
        <f t="shared" ref="L54:L56" si="42">+D54-H54</f>
        <v>160.36999999999989</v>
      </c>
      <c r="M54" s="1"/>
      <c r="N54" s="5">
        <f t="shared" ref="N54:N56" si="43">IF(H54=0,0,L54/H54)</f>
        <v>0.15544096693838375</v>
      </c>
      <c r="O54" s="13"/>
      <c r="P54" s="1">
        <f>SUM(OSRRefP22_8x_0)</f>
        <v>12448.789999999999</v>
      </c>
      <c r="Q54" s="1"/>
      <c r="R54" s="5">
        <f t="shared" ref="R54:R56" si="44">IF(P$12=0,0,P54/P$12)</f>
        <v>0</v>
      </c>
      <c r="S54" s="1"/>
      <c r="T54" s="1">
        <f>SUM(OSRRefT22_8x_0)</f>
        <v>10831.53</v>
      </c>
      <c r="U54" s="1"/>
      <c r="V54" s="5">
        <f t="shared" ref="V54:V56" si="45">IF(T$12=0,0,T54/T$12)</f>
        <v>0</v>
      </c>
      <c r="W54" s="1"/>
      <c r="X54" s="1">
        <f t="shared" ref="X54:X56" si="46">+P54-T54</f>
        <v>1617.2599999999984</v>
      </c>
      <c r="Y54" s="1"/>
      <c r="Z54" s="5">
        <f t="shared" ref="Z54:Z56" si="47">IF(T54=0,0,X54/T54)</f>
        <v>0.14931039289924861</v>
      </c>
    </row>
    <row r="55" spans="1:26" s="24" customFormat="1" hidden="1" outlineLevel="2" x14ac:dyDescent="0.25">
      <c r="A55" s="27"/>
      <c r="B55" s="11" t="str">
        <f>CONCATENATE("          ", "6303", " - ", "DATA PHONE LINES")</f>
        <v xml:space="preserve">          6303 - DATA PHONE LINES</v>
      </c>
      <c r="C55" s="11"/>
      <c r="D55" s="6">
        <v>273.95999999999998</v>
      </c>
      <c r="E55" s="2"/>
      <c r="F55" s="7">
        <f t="shared" si="40"/>
        <v>0</v>
      </c>
      <c r="G55" s="2"/>
      <c r="H55" s="6">
        <v>195.53</v>
      </c>
      <c r="I55" s="2"/>
      <c r="J55" s="7">
        <f t="shared" si="41"/>
        <v>0</v>
      </c>
      <c r="K55" s="2"/>
      <c r="L55" s="6">
        <f t="shared" si="42"/>
        <v>78.429999999999978</v>
      </c>
      <c r="M55" s="2"/>
      <c r="N55" s="7">
        <f t="shared" si="43"/>
        <v>0.40111491842683977</v>
      </c>
      <c r="O55" s="11"/>
      <c r="P55" s="6">
        <v>1601.99</v>
      </c>
      <c r="Q55" s="2"/>
      <c r="R55" s="7">
        <f t="shared" si="44"/>
        <v>0</v>
      </c>
      <c r="S55" s="2"/>
      <c r="T55" s="6">
        <v>1727.11</v>
      </c>
      <c r="U55" s="2"/>
      <c r="V55" s="7">
        <f t="shared" si="45"/>
        <v>0</v>
      </c>
      <c r="W55" s="2"/>
      <c r="X55" s="6">
        <f t="shared" si="46"/>
        <v>-125.11999999999989</v>
      </c>
      <c r="Y55" s="2"/>
      <c r="Z55" s="7">
        <f t="shared" si="47"/>
        <v>-7.2444719792022452E-2</v>
      </c>
    </row>
    <row r="56" spans="1:26" s="24" customFormat="1" hidden="1" outlineLevel="2" x14ac:dyDescent="0.25">
      <c r="A56" s="27"/>
      <c r="B56" s="11" t="str">
        <f>CONCATENATE("          ", "6309", " - ", "TELEPHONE")</f>
        <v xml:space="preserve">          6309 - TELEPHONE</v>
      </c>
      <c r="C56" s="11"/>
      <c r="D56" s="6">
        <v>918.12</v>
      </c>
      <c r="E56" s="2"/>
      <c r="F56" s="7">
        <f t="shared" si="40"/>
        <v>0</v>
      </c>
      <c r="G56" s="2"/>
      <c r="H56" s="6">
        <v>836.18</v>
      </c>
      <c r="I56" s="2"/>
      <c r="J56" s="7">
        <f t="shared" si="41"/>
        <v>0</v>
      </c>
      <c r="K56" s="2"/>
      <c r="L56" s="6">
        <f t="shared" si="42"/>
        <v>81.940000000000055</v>
      </c>
      <c r="M56" s="2"/>
      <c r="N56" s="7">
        <f t="shared" si="43"/>
        <v>9.7993255040780769E-2</v>
      </c>
      <c r="O56" s="11"/>
      <c r="P56" s="6">
        <v>10846.8</v>
      </c>
      <c r="Q56" s="2"/>
      <c r="R56" s="7">
        <f t="shared" si="44"/>
        <v>0</v>
      </c>
      <c r="S56" s="2"/>
      <c r="T56" s="6">
        <v>9104.42</v>
      </c>
      <c r="U56" s="2"/>
      <c r="V56" s="7">
        <f t="shared" si="45"/>
        <v>0</v>
      </c>
      <c r="W56" s="2"/>
      <c r="X56" s="6">
        <f t="shared" si="46"/>
        <v>1742.3799999999992</v>
      </c>
      <c r="Y56" s="2"/>
      <c r="Z56" s="7">
        <f t="shared" si="47"/>
        <v>0.19137737494535612</v>
      </c>
    </row>
    <row r="57" spans="1:26" s="25" customFormat="1" outlineLevel="1" collapsed="1" x14ac:dyDescent="0.25">
      <c r="A57" s="26"/>
      <c r="B57" s="13" t="str">
        <f>CONCATENATE("     ","Training                                          ")</f>
        <v xml:space="preserve">     Training                                          </v>
      </c>
      <c r="C57" s="13"/>
      <c r="D57" s="1">
        <f>SUM(OSRRefD22_9x_0)</f>
        <v>26.12</v>
      </c>
      <c r="E57" s="1"/>
      <c r="F57" s="5">
        <f t="shared" ref="F57:F61" si="48">IF(D$12=0,0,D57/D$12)</f>
        <v>0</v>
      </c>
      <c r="G57" s="1"/>
      <c r="H57" s="1">
        <f>SUM(OSRRefH22_9x_0)</f>
        <v>818.16</v>
      </c>
      <c r="I57" s="1"/>
      <c r="J57" s="5">
        <f t="shared" ref="J57:J61" si="49">IF(H$12=0,0,H57/H$12)</f>
        <v>0</v>
      </c>
      <c r="K57" s="1"/>
      <c r="L57" s="1">
        <f t="shared" ref="L57:L61" si="50">+D57-H57</f>
        <v>-792.04</v>
      </c>
      <c r="M57" s="1"/>
      <c r="N57" s="5">
        <f t="shared" ref="N57:N61" si="51">IF(H57=0,0,L57/H57)</f>
        <v>-0.96807470421433461</v>
      </c>
      <c r="O57" s="13"/>
      <c r="P57" s="1">
        <f>SUM(OSRRefP22_9x_0)</f>
        <v>4345.8500000000004</v>
      </c>
      <c r="Q57" s="1"/>
      <c r="R57" s="5">
        <f t="shared" ref="R57:R61" si="52">IF(P$12=0,0,P57/P$12)</f>
        <v>0</v>
      </c>
      <c r="S57" s="1"/>
      <c r="T57" s="1">
        <f>SUM(OSRRefT22_9x_0)</f>
        <v>8328.83</v>
      </c>
      <c r="U57" s="1"/>
      <c r="V57" s="5">
        <f t="shared" ref="V57:V61" si="53">IF(T$12=0,0,T57/T$12)</f>
        <v>0</v>
      </c>
      <c r="W57" s="1"/>
      <c r="X57" s="1">
        <f t="shared" ref="X57:X61" si="54">+P57-T57</f>
        <v>-3982.9799999999996</v>
      </c>
      <c r="Y57" s="1"/>
      <c r="Z57" s="5">
        <f t="shared" ref="Z57:Z61" si="55">IF(T57=0,0,X57/T57)</f>
        <v>-0.47821602794149953</v>
      </c>
    </row>
    <row r="58" spans="1:26" s="24" customFormat="1" hidden="1" outlineLevel="2" x14ac:dyDescent="0.25">
      <c r="A58" s="27"/>
      <c r="B58" s="11" t="str">
        <f>CONCATENATE("          ", "6376", " - ", "TRAINING")</f>
        <v xml:space="preserve">          6376 - TRAINING</v>
      </c>
      <c r="C58" s="11"/>
      <c r="D58" s="6">
        <v>26.12</v>
      </c>
      <c r="E58" s="2"/>
      <c r="F58" s="7">
        <f t="shared" si="48"/>
        <v>0</v>
      </c>
      <c r="G58" s="2"/>
      <c r="H58" s="6">
        <v>818.16</v>
      </c>
      <c r="I58" s="2"/>
      <c r="J58" s="7">
        <f t="shared" si="49"/>
        <v>0</v>
      </c>
      <c r="K58" s="2"/>
      <c r="L58" s="6">
        <f t="shared" si="50"/>
        <v>-792.04</v>
      </c>
      <c r="M58" s="2"/>
      <c r="N58" s="7">
        <f t="shared" si="51"/>
        <v>-0.96807470421433461</v>
      </c>
      <c r="O58" s="11"/>
      <c r="P58" s="6">
        <v>4345.8500000000004</v>
      </c>
      <c r="Q58" s="2"/>
      <c r="R58" s="7">
        <f t="shared" si="52"/>
        <v>0</v>
      </c>
      <c r="S58" s="2"/>
      <c r="T58" s="6">
        <v>8328.83</v>
      </c>
      <c r="U58" s="2"/>
      <c r="V58" s="7">
        <f t="shared" si="53"/>
        <v>0</v>
      </c>
      <c r="W58" s="2"/>
      <c r="X58" s="6">
        <f t="shared" si="54"/>
        <v>-3982.9799999999996</v>
      </c>
      <c r="Y58" s="2"/>
      <c r="Z58" s="7">
        <f t="shared" si="55"/>
        <v>-0.47821602794149953</v>
      </c>
    </row>
    <row r="59" spans="1:26" s="25" customFormat="1" outlineLevel="1" collapsed="1" x14ac:dyDescent="0.25">
      <c r="A59" s="26"/>
      <c r="B59" s="13" t="str">
        <f>CONCATENATE("     ","Travel                                            ")</f>
        <v xml:space="preserve">     Travel                                            </v>
      </c>
      <c r="C59" s="13"/>
      <c r="D59" s="1">
        <f>SUM(OSRRefD22_10x_0)</f>
        <v>0</v>
      </c>
      <c r="E59" s="1"/>
      <c r="F59" s="5">
        <f t="shared" si="48"/>
        <v>0</v>
      </c>
      <c r="G59" s="1"/>
      <c r="H59" s="1">
        <f>SUM(OSRRefH22_10x_0)</f>
        <v>775.71</v>
      </c>
      <c r="I59" s="1"/>
      <c r="J59" s="5">
        <f t="shared" si="49"/>
        <v>0</v>
      </c>
      <c r="K59" s="1"/>
      <c r="L59" s="1">
        <f t="shared" si="50"/>
        <v>-775.71</v>
      </c>
      <c r="M59" s="1"/>
      <c r="N59" s="5">
        <f t="shared" si="51"/>
        <v>-1</v>
      </c>
      <c r="O59" s="13"/>
      <c r="P59" s="1">
        <f>SUM(OSRRefP22_10x_0)</f>
        <v>1383.21</v>
      </c>
      <c r="Q59" s="1"/>
      <c r="R59" s="5">
        <f t="shared" si="52"/>
        <v>0</v>
      </c>
      <c r="S59" s="1"/>
      <c r="T59" s="1">
        <f>SUM(OSRRefT22_10x_0)</f>
        <v>1046.03</v>
      </c>
      <c r="U59" s="1"/>
      <c r="V59" s="5">
        <f t="shared" si="53"/>
        <v>0</v>
      </c>
      <c r="W59" s="1"/>
      <c r="X59" s="1">
        <f t="shared" si="54"/>
        <v>337.18000000000006</v>
      </c>
      <c r="Y59" s="1"/>
      <c r="Z59" s="5">
        <f t="shared" si="55"/>
        <v>0.32234257143676576</v>
      </c>
    </row>
    <row r="60" spans="1:26" s="24" customFormat="1" hidden="1" outlineLevel="2" x14ac:dyDescent="0.25">
      <c r="A60" s="27"/>
      <c r="B60" s="11" t="str">
        <f>CONCATENATE("          ", "6292", " - ", "TRAVEL/CONFERENCE")</f>
        <v xml:space="preserve">          6292 - TRAVEL/CONFERENCE</v>
      </c>
      <c r="C60" s="11"/>
      <c r="D60" s="6"/>
      <c r="E60" s="2"/>
      <c r="F60" s="7">
        <f t="shared" si="48"/>
        <v>0</v>
      </c>
      <c r="G60" s="2"/>
      <c r="H60" s="6">
        <v>775.71</v>
      </c>
      <c r="I60" s="2"/>
      <c r="J60" s="7">
        <f t="shared" si="49"/>
        <v>0</v>
      </c>
      <c r="K60" s="2"/>
      <c r="L60" s="6">
        <f t="shared" si="50"/>
        <v>-775.71</v>
      </c>
      <c r="M60" s="2"/>
      <c r="N60" s="7">
        <f t="shared" si="51"/>
        <v>-1</v>
      </c>
      <c r="O60" s="11"/>
      <c r="P60" s="6">
        <v>1359.31</v>
      </c>
      <c r="Q60" s="2"/>
      <c r="R60" s="7">
        <f t="shared" si="52"/>
        <v>0</v>
      </c>
      <c r="S60" s="2"/>
      <c r="T60" s="6">
        <v>1046.03</v>
      </c>
      <c r="U60" s="2"/>
      <c r="V60" s="7">
        <f t="shared" si="53"/>
        <v>0</v>
      </c>
      <c r="W60" s="2"/>
      <c r="X60" s="6">
        <f t="shared" si="54"/>
        <v>313.27999999999997</v>
      </c>
      <c r="Y60" s="2"/>
      <c r="Z60" s="7">
        <f t="shared" si="55"/>
        <v>0.29949427836677722</v>
      </c>
    </row>
    <row r="61" spans="1:26" s="24" customFormat="1" hidden="1" outlineLevel="2" x14ac:dyDescent="0.25">
      <c r="A61" s="27"/>
      <c r="B61" s="11" t="str">
        <f>CONCATENATE("          ", "6294", " - ", "TRAVEL OPERATIONAL")</f>
        <v xml:space="preserve">          6294 - TRAVEL OPERATIONAL</v>
      </c>
      <c r="C61" s="11"/>
      <c r="D61" s="6"/>
      <c r="E61" s="2"/>
      <c r="F61" s="7">
        <f t="shared" si="48"/>
        <v>0</v>
      </c>
      <c r="G61" s="2"/>
      <c r="H61" s="6"/>
      <c r="I61" s="2"/>
      <c r="J61" s="7">
        <f t="shared" si="49"/>
        <v>0</v>
      </c>
      <c r="K61" s="2"/>
      <c r="L61" s="6">
        <f t="shared" si="50"/>
        <v>0</v>
      </c>
      <c r="M61" s="2"/>
      <c r="N61" s="7">
        <f t="shared" si="51"/>
        <v>0</v>
      </c>
      <c r="O61" s="11"/>
      <c r="P61" s="6">
        <v>23.9</v>
      </c>
      <c r="Q61" s="2"/>
      <c r="R61" s="7">
        <f t="shared" si="52"/>
        <v>0</v>
      </c>
      <c r="S61" s="2"/>
      <c r="T61" s="6"/>
      <c r="U61" s="2"/>
      <c r="V61" s="7">
        <f t="shared" si="53"/>
        <v>0</v>
      </c>
      <c r="W61" s="2"/>
      <c r="X61" s="6">
        <f t="shared" si="54"/>
        <v>23.9</v>
      </c>
      <c r="Y61" s="2"/>
      <c r="Z61" s="7">
        <f t="shared" si="55"/>
        <v>0</v>
      </c>
    </row>
    <row r="62" spans="1:26" s="53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1">
        <f>+D16-D18+D63</f>
        <v>-52286.14</v>
      </c>
      <c r="E65" s="14"/>
      <c r="F65" s="20">
        <f>IF(D$12=0,0,D65/D$12)</f>
        <v>0</v>
      </c>
      <c r="G65" s="14"/>
      <c r="H65" s="21">
        <f>+H16-H18+H63</f>
        <v>-92802.8</v>
      </c>
      <c r="I65" s="14"/>
      <c r="J65" s="20">
        <f>IF(H$12=0,0,H65/H$12)</f>
        <v>0</v>
      </c>
      <c r="K65" s="15"/>
      <c r="L65" s="21">
        <f>+D65-H65</f>
        <v>40516.660000000003</v>
      </c>
      <c r="M65" s="15"/>
      <c r="N65" s="20">
        <f>IF(H65=0,0,L65/H65)</f>
        <v>-0.43658876671824559</v>
      </c>
      <c r="O65" s="29"/>
      <c r="P65" s="21">
        <f>+P16-P18+P63</f>
        <v>-591228.65000000014</v>
      </c>
      <c r="Q65" s="14"/>
      <c r="R65" s="20">
        <f>IF(P$12=0,0,P65/P$12)</f>
        <v>0</v>
      </c>
      <c r="S65" s="14"/>
      <c r="T65" s="21">
        <f>+T16-T18+T63</f>
        <v>-664210.11999999988</v>
      </c>
      <c r="U65" s="14"/>
      <c r="V65" s="20">
        <f>IF(T$12=0,0,T65/T$12)</f>
        <v>0</v>
      </c>
      <c r="W65" s="15"/>
      <c r="X65" s="21">
        <f>+P65-T65</f>
        <v>72981.469999999739</v>
      </c>
      <c r="Y65" s="15"/>
      <c r="Z65" s="20">
        <f>IF(T65=0,0,X65/T65)</f>
        <v>-0.10987708227029085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0">
        <f>+D65-D67</f>
        <v>-52286.14</v>
      </c>
      <c r="E69" s="14"/>
      <c r="F69" s="36">
        <f>IF(D$12=0,0,D69/D$12)</f>
        <v>0</v>
      </c>
      <c r="G69" s="14"/>
      <c r="H69" s="30">
        <f>+H65-H67</f>
        <v>-92802.8</v>
      </c>
      <c r="I69" s="14"/>
      <c r="J69" s="36">
        <f>IF(H$12=0,0,H69/H$12)</f>
        <v>0</v>
      </c>
      <c r="K69" s="15"/>
      <c r="L69" s="30">
        <f>D69-H69</f>
        <v>40516.660000000003</v>
      </c>
      <c r="M69" s="15"/>
      <c r="N69" s="36">
        <f>IF(H69=0,0,L69/H69)</f>
        <v>-0.43658876671824559</v>
      </c>
      <c r="O69" s="29"/>
      <c r="P69" s="30">
        <f>+P65-P67</f>
        <v>-591228.65000000014</v>
      </c>
      <c r="Q69" s="14"/>
      <c r="R69" s="36">
        <f>IF(P$12=0,0,P69/P$12)</f>
        <v>0</v>
      </c>
      <c r="S69" s="14"/>
      <c r="T69" s="30">
        <f>+T65-T67</f>
        <v>-664210.11999999988</v>
      </c>
      <c r="U69" s="14"/>
      <c r="V69" s="36">
        <f>IF(T$12=0,0,T69/T$12)</f>
        <v>0</v>
      </c>
      <c r="W69" s="15"/>
      <c r="X69" s="30">
        <f>P69-T69</f>
        <v>72981.469999999739</v>
      </c>
      <c r="Y69" s="15"/>
      <c r="Z69" s="36">
        <f>IF(T69=0,0,X69/T69)</f>
        <v>-0.10987708227029085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1">
        <f>SUM(D69:D71)</f>
        <v>-52286.14</v>
      </c>
      <c r="E72" s="14"/>
      <c r="F72" s="32">
        <f>IF(D$12=0,0,D72/D$12)</f>
        <v>0</v>
      </c>
      <c r="G72" s="14"/>
      <c r="H72" s="31">
        <f>SUM(H69:H71)</f>
        <v>-92802.8</v>
      </c>
      <c r="I72" s="14"/>
      <c r="J72" s="32">
        <f>IF(H$12=0,0,H72/H$12)</f>
        <v>0</v>
      </c>
      <c r="K72" s="15"/>
      <c r="L72" s="31">
        <f>+D72-H72</f>
        <v>40516.660000000003</v>
      </c>
      <c r="M72" s="15"/>
      <c r="N72" s="32">
        <f>IF(H72=0,0,L72/H72)</f>
        <v>-0.43658876671824559</v>
      </c>
      <c r="O72" s="29"/>
      <c r="P72" s="31">
        <f>SUM(P69:P71)</f>
        <v>-591228.65000000014</v>
      </c>
      <c r="Q72" s="14"/>
      <c r="R72" s="32">
        <f>IF(P$12=0,0,P72/P$12)</f>
        <v>0</v>
      </c>
      <c r="S72" s="14"/>
      <c r="T72" s="31">
        <f>SUM(T69:T71)</f>
        <v>-664210.11999999988</v>
      </c>
      <c r="U72" s="14"/>
      <c r="V72" s="32">
        <f>IF(T$12=0,0,T72/T$12)</f>
        <v>0</v>
      </c>
      <c r="W72" s="15"/>
      <c r="X72" s="31">
        <f>+P72-T72</f>
        <v>72981.469999999739</v>
      </c>
      <c r="Y72" s="15"/>
      <c r="Z72" s="32">
        <f>IF(T72=0,0,X72/T72)</f>
        <v>-0.10987708227029085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4">
        <v>43965.470766203704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59" t="s">
        <v>313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61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","205", " - ", "Maintenance")</f>
        <v>Department 205 - Maintenance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9043.6899999999987</v>
      </c>
      <c r="E18" s="22"/>
      <c r="F18" s="35">
        <f t="shared" ref="F18:F27" si="0">IF(D$12=0,0,D18/D$12)</f>
        <v>0</v>
      </c>
      <c r="G18" s="22"/>
      <c r="H18" s="22">
        <f>SUM(OSRRefH22x_0)</f>
        <v>8222.0199999999986</v>
      </c>
      <c r="I18" s="22"/>
      <c r="J18" s="35">
        <f t="shared" ref="J18:J27" si="1">IF(H$12=0,0,H18/H$12)</f>
        <v>0</v>
      </c>
      <c r="K18" s="4"/>
      <c r="L18" s="22">
        <f t="shared" ref="L18:L27" si="2">+D18-H18</f>
        <v>821.67000000000007</v>
      </c>
      <c r="M18" s="4"/>
      <c r="N18" s="35">
        <f t="shared" ref="N18:N27" si="3">IF(H18=0,0,L18/H18)</f>
        <v>9.993529570592144E-2</v>
      </c>
      <c r="O18" s="10"/>
      <c r="P18" s="22">
        <f>SUM(OSRRefP22x_0)</f>
        <v>80839.579999999987</v>
      </c>
      <c r="Q18" s="22"/>
      <c r="R18" s="35">
        <f t="shared" ref="R18:R27" si="4">IF(P$12=0,0,P18/P$12)</f>
        <v>0</v>
      </c>
      <c r="S18" s="22"/>
      <c r="T18" s="22">
        <f>SUM(OSRRefT22x_0)</f>
        <v>80482.549999999988</v>
      </c>
      <c r="U18" s="22"/>
      <c r="V18" s="35">
        <f t="shared" ref="V18:V27" si="5">IF(T$12=0,0,T18/T$12)</f>
        <v>0</v>
      </c>
      <c r="W18" s="4"/>
      <c r="X18" s="22">
        <f t="shared" ref="X18:X27" si="6">+P18-T18</f>
        <v>357.02999999999884</v>
      </c>
      <c r="Y18" s="4"/>
      <c r="Z18" s="35">
        <f t="shared" ref="Z18:Z27" si="7">IF(T18=0,0,X18/T18)</f>
        <v>4.4361168973895441E-3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2761.96</v>
      </c>
      <c r="E19" s="1"/>
      <c r="F19" s="5">
        <f t="shared" si="0"/>
        <v>0</v>
      </c>
      <c r="G19" s="1"/>
      <c r="H19" s="1">
        <f>SUM(OSRRefH22_0x_0)</f>
        <v>2295.54</v>
      </c>
      <c r="I19" s="1"/>
      <c r="J19" s="5">
        <f t="shared" si="1"/>
        <v>0</v>
      </c>
      <c r="K19" s="1"/>
      <c r="L19" s="1">
        <f t="shared" si="2"/>
        <v>466.42000000000007</v>
      </c>
      <c r="M19" s="1"/>
      <c r="N19" s="5">
        <f t="shared" si="3"/>
        <v>0.20318530716084238</v>
      </c>
      <c r="O19" s="13"/>
      <c r="P19" s="1">
        <f>SUM(OSRRefP22_0x_0)</f>
        <v>26534.47</v>
      </c>
      <c r="Q19" s="1"/>
      <c r="R19" s="5">
        <f t="shared" si="4"/>
        <v>0</v>
      </c>
      <c r="S19" s="1"/>
      <c r="T19" s="1">
        <f>SUM(OSRRefT22_0x_0)</f>
        <v>23174.75</v>
      </c>
      <c r="U19" s="1"/>
      <c r="V19" s="5">
        <f t="shared" si="5"/>
        <v>0</v>
      </c>
      <c r="W19" s="1"/>
      <c r="X19" s="1">
        <f t="shared" si="6"/>
        <v>3359.7200000000012</v>
      </c>
      <c r="Y19" s="1"/>
      <c r="Z19" s="5">
        <f t="shared" si="7"/>
        <v>0.1449733006828553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473.76</v>
      </c>
      <c r="E20" s="2"/>
      <c r="F20" s="7">
        <f t="shared" si="0"/>
        <v>0</v>
      </c>
      <c r="G20" s="2"/>
      <c r="H20" s="6">
        <v>318.62</v>
      </c>
      <c r="I20" s="2"/>
      <c r="J20" s="7">
        <f t="shared" si="1"/>
        <v>0</v>
      </c>
      <c r="K20" s="2"/>
      <c r="L20" s="6">
        <f t="shared" si="2"/>
        <v>155.13999999999999</v>
      </c>
      <c r="M20" s="2"/>
      <c r="N20" s="7">
        <f t="shared" si="3"/>
        <v>0.48691230933400281</v>
      </c>
      <c r="O20" s="11"/>
      <c r="P20" s="6">
        <v>3565.88</v>
      </c>
      <c r="Q20" s="2"/>
      <c r="R20" s="7">
        <f t="shared" si="4"/>
        <v>0</v>
      </c>
      <c r="S20" s="2"/>
      <c r="T20" s="6">
        <v>3250.14</v>
      </c>
      <c r="U20" s="2"/>
      <c r="V20" s="7">
        <f t="shared" si="5"/>
        <v>0</v>
      </c>
      <c r="W20" s="2"/>
      <c r="X20" s="6">
        <f t="shared" si="6"/>
        <v>315.74000000000024</v>
      </c>
      <c r="Y20" s="2"/>
      <c r="Z20" s="7">
        <f t="shared" si="7"/>
        <v>9.7146584454823562E-2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279.52</v>
      </c>
      <c r="E21" s="2"/>
      <c r="F21" s="7">
        <f t="shared" si="0"/>
        <v>0</v>
      </c>
      <c r="G21" s="2"/>
      <c r="H21" s="6">
        <v>182.01</v>
      </c>
      <c r="I21" s="2"/>
      <c r="J21" s="7">
        <f t="shared" si="1"/>
        <v>0</v>
      </c>
      <c r="K21" s="2"/>
      <c r="L21" s="6">
        <f t="shared" si="2"/>
        <v>97.509999999999991</v>
      </c>
      <c r="M21" s="2"/>
      <c r="N21" s="7">
        <f t="shared" si="3"/>
        <v>0.53573979451678477</v>
      </c>
      <c r="O21" s="11"/>
      <c r="P21" s="6">
        <v>2651.97</v>
      </c>
      <c r="Q21" s="2"/>
      <c r="R21" s="7">
        <f t="shared" si="4"/>
        <v>0</v>
      </c>
      <c r="S21" s="2"/>
      <c r="T21" s="6">
        <v>1702.3</v>
      </c>
      <c r="U21" s="2"/>
      <c r="V21" s="7">
        <f t="shared" si="5"/>
        <v>0</v>
      </c>
      <c r="W21" s="2"/>
      <c r="X21" s="6">
        <f t="shared" si="6"/>
        <v>949.66999999999985</v>
      </c>
      <c r="Y21" s="2"/>
      <c r="Z21" s="7">
        <f t="shared" si="7"/>
        <v>0.5578746401926804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695.14</v>
      </c>
      <c r="I22" s="2"/>
      <c r="J22" s="7">
        <f t="shared" si="1"/>
        <v>0</v>
      </c>
      <c r="K22" s="2"/>
      <c r="L22" s="6">
        <f t="shared" si="2"/>
        <v>1.0199999999999818</v>
      </c>
      <c r="M22" s="2"/>
      <c r="N22" s="7">
        <f t="shared" si="3"/>
        <v>1.4673303219495091E-3</v>
      </c>
      <c r="O22" s="11"/>
      <c r="P22" s="6">
        <v>6955.48</v>
      </c>
      <c r="Q22" s="2"/>
      <c r="R22" s="7">
        <f t="shared" si="4"/>
        <v>0</v>
      </c>
      <c r="S22" s="2"/>
      <c r="T22" s="6">
        <v>6524.97</v>
      </c>
      <c r="U22" s="2"/>
      <c r="V22" s="7">
        <f t="shared" si="5"/>
        <v>0</v>
      </c>
      <c r="W22" s="2"/>
      <c r="X22" s="6">
        <f t="shared" si="6"/>
        <v>430.50999999999931</v>
      </c>
      <c r="Y22" s="2"/>
      <c r="Z22" s="7">
        <f t="shared" si="7"/>
        <v>6.5978847412325153E-2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10.74</v>
      </c>
      <c r="E23" s="2"/>
      <c r="F23" s="7">
        <f t="shared" si="0"/>
        <v>0</v>
      </c>
      <c r="G23" s="2"/>
      <c r="H23" s="6">
        <v>10.83</v>
      </c>
      <c r="I23" s="2"/>
      <c r="J23" s="7">
        <f t="shared" si="1"/>
        <v>0</v>
      </c>
      <c r="K23" s="2"/>
      <c r="L23" s="6">
        <f t="shared" si="2"/>
        <v>-8.9999999999999858E-2</v>
      </c>
      <c r="M23" s="2"/>
      <c r="N23" s="7">
        <f t="shared" si="3"/>
        <v>-8.310249307479211E-3</v>
      </c>
      <c r="O23" s="11"/>
      <c r="P23" s="6">
        <v>114.9</v>
      </c>
      <c r="Q23" s="2"/>
      <c r="R23" s="7">
        <f t="shared" si="4"/>
        <v>0</v>
      </c>
      <c r="S23" s="2"/>
      <c r="T23" s="6">
        <v>115.19</v>
      </c>
      <c r="U23" s="2"/>
      <c r="V23" s="7">
        <f t="shared" si="5"/>
        <v>0</v>
      </c>
      <c r="W23" s="2"/>
      <c r="X23" s="6">
        <f t="shared" si="6"/>
        <v>-0.28999999999999204</v>
      </c>
      <c r="Y23" s="2"/>
      <c r="Z23" s="7">
        <f t="shared" si="7"/>
        <v>-2.5175796510113033E-3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398.03</v>
      </c>
      <c r="I24" s="2"/>
      <c r="J24" s="7">
        <f t="shared" si="1"/>
        <v>0</v>
      </c>
      <c r="K24" s="2"/>
      <c r="L24" s="6">
        <f t="shared" si="2"/>
        <v>31.230000000000018</v>
      </c>
      <c r="M24" s="2"/>
      <c r="N24" s="7">
        <f t="shared" si="3"/>
        <v>7.8461422505841316E-2</v>
      </c>
      <c r="O24" s="11"/>
      <c r="P24" s="6">
        <v>4507.22</v>
      </c>
      <c r="Q24" s="2"/>
      <c r="R24" s="7">
        <f t="shared" si="4"/>
        <v>0</v>
      </c>
      <c r="S24" s="2"/>
      <c r="T24" s="6">
        <v>4228.8599999999997</v>
      </c>
      <c r="U24" s="2"/>
      <c r="V24" s="7">
        <f t="shared" si="5"/>
        <v>0</v>
      </c>
      <c r="W24" s="2"/>
      <c r="X24" s="6">
        <f t="shared" si="6"/>
        <v>278.36000000000058</v>
      </c>
      <c r="Y24" s="2"/>
      <c r="Z24" s="7">
        <f t="shared" si="7"/>
        <v>6.5823886342891602E-2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6">
        <v>581.94000000000005</v>
      </c>
      <c r="E25" s="2"/>
      <c r="F25" s="7">
        <f t="shared" si="0"/>
        <v>0</v>
      </c>
      <c r="G25" s="2"/>
      <c r="H25" s="6">
        <v>356.78</v>
      </c>
      <c r="I25" s="2"/>
      <c r="J25" s="7">
        <f t="shared" si="1"/>
        <v>0</v>
      </c>
      <c r="K25" s="2"/>
      <c r="L25" s="6">
        <f t="shared" si="2"/>
        <v>225.16000000000008</v>
      </c>
      <c r="M25" s="2"/>
      <c r="N25" s="7">
        <f t="shared" si="3"/>
        <v>0.6310891866135997</v>
      </c>
      <c r="O25" s="11"/>
      <c r="P25" s="6">
        <v>4582.79</v>
      </c>
      <c r="Q25" s="2"/>
      <c r="R25" s="7">
        <f t="shared" si="4"/>
        <v>0</v>
      </c>
      <c r="S25" s="2"/>
      <c r="T25" s="6">
        <v>3146.73</v>
      </c>
      <c r="U25" s="2"/>
      <c r="V25" s="7">
        <f t="shared" si="5"/>
        <v>0</v>
      </c>
      <c r="W25" s="2"/>
      <c r="X25" s="6">
        <f t="shared" si="6"/>
        <v>1436.06</v>
      </c>
      <c r="Y25" s="2"/>
      <c r="Z25" s="7">
        <f t="shared" si="7"/>
        <v>0.45636581467110299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6">
        <v>290.58</v>
      </c>
      <c r="E26" s="2"/>
      <c r="F26" s="7">
        <f t="shared" si="0"/>
        <v>0</v>
      </c>
      <c r="G26" s="2"/>
      <c r="H26" s="6">
        <v>188.08</v>
      </c>
      <c r="I26" s="2"/>
      <c r="J26" s="7">
        <f t="shared" si="1"/>
        <v>0</v>
      </c>
      <c r="K26" s="2"/>
      <c r="L26" s="6">
        <f t="shared" si="2"/>
        <v>102.49999999999997</v>
      </c>
      <c r="M26" s="2"/>
      <c r="N26" s="7">
        <f t="shared" si="3"/>
        <v>0.54498085920884709</v>
      </c>
      <c r="O26" s="11"/>
      <c r="P26" s="6">
        <v>2975.96</v>
      </c>
      <c r="Q26" s="2"/>
      <c r="R26" s="7">
        <f t="shared" si="4"/>
        <v>0</v>
      </c>
      <c r="S26" s="2"/>
      <c r="T26" s="6">
        <v>2755.99</v>
      </c>
      <c r="U26" s="2"/>
      <c r="V26" s="7">
        <f t="shared" si="5"/>
        <v>0</v>
      </c>
      <c r="W26" s="2"/>
      <c r="X26" s="6">
        <f t="shared" si="6"/>
        <v>219.97000000000025</v>
      </c>
      <c r="Y26" s="2"/>
      <c r="Z26" s="7">
        <f t="shared" si="7"/>
        <v>7.981523880710753E-2</v>
      </c>
    </row>
    <row r="27" spans="1:26" s="24" customFormat="1" hidden="1" outlineLevel="2" x14ac:dyDescent="0.25">
      <c r="A27" s="27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146.05000000000001</v>
      </c>
      <c r="I27" s="2"/>
      <c r="J27" s="7">
        <f t="shared" si="1"/>
        <v>0</v>
      </c>
      <c r="K27" s="2"/>
      <c r="L27" s="6">
        <f t="shared" si="2"/>
        <v>-146.05000000000001</v>
      </c>
      <c r="M27" s="2"/>
      <c r="N27" s="7">
        <f t="shared" si="3"/>
        <v>-1</v>
      </c>
      <c r="O27" s="11"/>
      <c r="P27" s="6">
        <v>1180.27</v>
      </c>
      <c r="Q27" s="2"/>
      <c r="R27" s="7">
        <f t="shared" si="4"/>
        <v>0</v>
      </c>
      <c r="S27" s="2"/>
      <c r="T27" s="6">
        <v>1450.57</v>
      </c>
      <c r="U27" s="2"/>
      <c r="V27" s="7">
        <f t="shared" si="5"/>
        <v>0</v>
      </c>
      <c r="W27" s="2"/>
      <c r="X27" s="6">
        <f t="shared" si="6"/>
        <v>-270.29999999999995</v>
      </c>
      <c r="Y27" s="2"/>
      <c r="Z27" s="7">
        <f t="shared" si="7"/>
        <v>-0.18634054199383687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-840.01</v>
      </c>
      <c r="E28" s="1"/>
      <c r="F28" s="5">
        <f t="shared" ref="F28:F37" si="8">IF(D$12=0,0,D28/D$12)</f>
        <v>0</v>
      </c>
      <c r="G28" s="1"/>
      <c r="H28" s="1">
        <f>SUM(OSRRefH22_1x_0)</f>
        <v>3058.04</v>
      </c>
      <c r="I28" s="1"/>
      <c r="J28" s="5">
        <f t="shared" ref="J28:J37" si="9">IF(H$12=0,0,H28/H$12)</f>
        <v>0</v>
      </c>
      <c r="K28" s="1"/>
      <c r="L28" s="1">
        <f t="shared" ref="L28:L37" si="10">+D28-H28</f>
        <v>-3898.05</v>
      </c>
      <c r="M28" s="1"/>
      <c r="N28" s="5">
        <f t="shared" ref="N28:N37" si="11">IF(H28=0,0,L28/H28)</f>
        <v>-1.2746890164942251</v>
      </c>
      <c r="O28" s="13"/>
      <c r="P28" s="1">
        <f>SUM(OSRRefP22_1x_0)</f>
        <v>32508.69</v>
      </c>
      <c r="Q28" s="1"/>
      <c r="R28" s="5">
        <f t="shared" ref="R28:R37" si="12">IF(P$12=0,0,P28/P$12)</f>
        <v>0</v>
      </c>
      <c r="S28" s="1"/>
      <c r="T28" s="1">
        <f>SUM(OSRRefT22_1x_0)</f>
        <v>39869.100000000006</v>
      </c>
      <c r="U28" s="1"/>
      <c r="V28" s="5">
        <f t="shared" ref="V28:V37" si="13">IF(T$12=0,0,T28/T$12)</f>
        <v>0</v>
      </c>
      <c r="W28" s="1"/>
      <c r="X28" s="1">
        <f t="shared" ref="X28:X37" si="14">+P28-T28</f>
        <v>-7360.4100000000071</v>
      </c>
      <c r="Y28" s="1"/>
      <c r="Z28" s="5">
        <f t="shared" ref="Z28:Z37" si="15">IF(T28=0,0,X28/T28)</f>
        <v>-0.18461440062604889</v>
      </c>
    </row>
    <row r="29" spans="1:26" s="24" customFormat="1" hidden="1" outlineLevel="2" x14ac:dyDescent="0.25">
      <c r="A29" s="27"/>
      <c r="B29" s="11" t="str">
        <f>CONCATENATE("          ", "6002", " - ", "STAFF SALARIES")</f>
        <v xml:space="preserve">          6002 - STAFF SALARIES</v>
      </c>
      <c r="C29" s="11"/>
      <c r="D29" s="6">
        <v>-840.01</v>
      </c>
      <c r="E29" s="2"/>
      <c r="F29" s="7">
        <f t="shared" si="8"/>
        <v>0</v>
      </c>
      <c r="G29" s="2"/>
      <c r="H29" s="6">
        <v>3058.04</v>
      </c>
      <c r="I29" s="2"/>
      <c r="J29" s="7">
        <f t="shared" si="9"/>
        <v>0</v>
      </c>
      <c r="K29" s="2"/>
      <c r="L29" s="6">
        <f t="shared" si="10"/>
        <v>-3898.05</v>
      </c>
      <c r="M29" s="2"/>
      <c r="N29" s="7">
        <f t="shared" si="11"/>
        <v>-1.2746890164942251</v>
      </c>
      <c r="O29" s="11"/>
      <c r="P29" s="6">
        <v>32508.69</v>
      </c>
      <c r="Q29" s="2"/>
      <c r="R29" s="7">
        <f t="shared" si="12"/>
        <v>0</v>
      </c>
      <c r="S29" s="2"/>
      <c r="T29" s="6">
        <v>39869.100000000006</v>
      </c>
      <c r="U29" s="2"/>
      <c r="V29" s="7">
        <f t="shared" si="13"/>
        <v>0</v>
      </c>
      <c r="W29" s="2"/>
      <c r="X29" s="6">
        <f t="shared" si="14"/>
        <v>-7360.4100000000071</v>
      </c>
      <c r="Y29" s="2"/>
      <c r="Z29" s="7">
        <f t="shared" si="15"/>
        <v>-0.18461440062604889</v>
      </c>
    </row>
    <row r="30" spans="1:26" s="25" customFormat="1" outlineLevel="1" collapsed="1" x14ac:dyDescent="0.25">
      <c r="A30" s="26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-277.5</v>
      </c>
      <c r="I30" s="1"/>
      <c r="J30" s="5">
        <f t="shared" si="9"/>
        <v>0</v>
      </c>
      <c r="K30" s="1"/>
      <c r="L30" s="1">
        <f t="shared" si="10"/>
        <v>277.5</v>
      </c>
      <c r="M30" s="1"/>
      <c r="N30" s="5">
        <f t="shared" si="11"/>
        <v>-1</v>
      </c>
      <c r="O30" s="13"/>
      <c r="P30" s="1">
        <f>SUM(OSRRefP22_2x_0)</f>
        <v>-908.94</v>
      </c>
      <c r="Q30" s="1"/>
      <c r="R30" s="5">
        <f t="shared" si="12"/>
        <v>0</v>
      </c>
      <c r="S30" s="1"/>
      <c r="T30" s="1">
        <f>SUM(OSRRefT22_2x_0)</f>
        <v>-3317.4</v>
      </c>
      <c r="U30" s="1"/>
      <c r="V30" s="5">
        <f t="shared" si="13"/>
        <v>0</v>
      </c>
      <c r="W30" s="1"/>
      <c r="X30" s="1">
        <f t="shared" si="14"/>
        <v>2408.46</v>
      </c>
      <c r="Y30" s="1"/>
      <c r="Z30" s="5">
        <f t="shared" si="15"/>
        <v>-0.72600831976849334</v>
      </c>
    </row>
    <row r="31" spans="1:26" s="24" customFormat="1" hidden="1" outlineLevel="2" x14ac:dyDescent="0.25">
      <c r="A31" s="27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>
        <v>-277.5</v>
      </c>
      <c r="I31" s="2"/>
      <c r="J31" s="7">
        <f t="shared" si="9"/>
        <v>0</v>
      </c>
      <c r="K31" s="2"/>
      <c r="L31" s="6">
        <f t="shared" si="10"/>
        <v>277.5</v>
      </c>
      <c r="M31" s="2"/>
      <c r="N31" s="7">
        <f t="shared" si="11"/>
        <v>-1</v>
      </c>
      <c r="O31" s="11"/>
      <c r="P31" s="6">
        <v>-908.94</v>
      </c>
      <c r="Q31" s="2"/>
      <c r="R31" s="7">
        <f t="shared" si="12"/>
        <v>0</v>
      </c>
      <c r="S31" s="2"/>
      <c r="T31" s="6">
        <v>-3317.4</v>
      </c>
      <c r="U31" s="2"/>
      <c r="V31" s="7">
        <f t="shared" si="13"/>
        <v>0</v>
      </c>
      <c r="W31" s="2"/>
      <c r="X31" s="6">
        <f t="shared" si="14"/>
        <v>2408.46</v>
      </c>
      <c r="Y31" s="2"/>
      <c r="Z31" s="7">
        <f t="shared" si="15"/>
        <v>-0.72600831976849334</v>
      </c>
    </row>
    <row r="32" spans="1:26" s="25" customFormat="1" outlineLevel="1" collapsed="1" x14ac:dyDescent="0.25">
      <c r="A32" s="26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3"/>
      <c r="P32" s="1">
        <f>SUM(OSRRefP22_3x_0)</f>
        <v>245.6</v>
      </c>
      <c r="Q32" s="1"/>
      <c r="R32" s="5">
        <f t="shared" si="12"/>
        <v>0</v>
      </c>
      <c r="S32" s="1"/>
      <c r="T32" s="1">
        <f>SUM(OSRRefT22_3x_0)</f>
        <v>190.11</v>
      </c>
      <c r="U32" s="1"/>
      <c r="V32" s="5">
        <f t="shared" si="13"/>
        <v>0</v>
      </c>
      <c r="W32" s="1"/>
      <c r="X32" s="1">
        <f t="shared" si="14"/>
        <v>55.489999999999981</v>
      </c>
      <c r="Y32" s="1"/>
      <c r="Z32" s="5">
        <f t="shared" si="15"/>
        <v>0.29188364631003089</v>
      </c>
    </row>
    <row r="33" spans="1:26" s="24" customFormat="1" hidden="1" outlineLevel="2" x14ac:dyDescent="0.25">
      <c r="A33" s="27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23.14</v>
      </c>
      <c r="I33" s="2"/>
      <c r="J33" s="7">
        <f t="shared" si="9"/>
        <v>0</v>
      </c>
      <c r="K33" s="2"/>
      <c r="L33" s="6">
        <f t="shared" si="10"/>
        <v>1.4199999999999982</v>
      </c>
      <c r="M33" s="2"/>
      <c r="N33" s="7">
        <f t="shared" si="11"/>
        <v>6.1365600691443305E-2</v>
      </c>
      <c r="O33" s="11"/>
      <c r="P33" s="6">
        <v>245.6</v>
      </c>
      <c r="Q33" s="2"/>
      <c r="R33" s="7">
        <f t="shared" si="12"/>
        <v>0</v>
      </c>
      <c r="S33" s="2"/>
      <c r="T33" s="6">
        <v>190.11</v>
      </c>
      <c r="U33" s="2"/>
      <c r="V33" s="7">
        <f t="shared" si="13"/>
        <v>0</v>
      </c>
      <c r="W33" s="2"/>
      <c r="X33" s="6">
        <f t="shared" si="14"/>
        <v>55.489999999999981</v>
      </c>
      <c r="Y33" s="2"/>
      <c r="Z33" s="7">
        <f t="shared" si="15"/>
        <v>0.29188364631003089</v>
      </c>
    </row>
    <row r="34" spans="1:26" s="25" customFormat="1" outlineLevel="1" collapsed="1" x14ac:dyDescent="0.25">
      <c r="A34" s="26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6874.1799999999994</v>
      </c>
      <c r="E34" s="1"/>
      <c r="F34" s="5">
        <f t="shared" si="8"/>
        <v>0</v>
      </c>
      <c r="G34" s="1"/>
      <c r="H34" s="1">
        <f>SUM(OSRRefH22_4x_0)</f>
        <v>2611.0100000000002</v>
      </c>
      <c r="I34" s="1"/>
      <c r="J34" s="5">
        <f t="shared" si="9"/>
        <v>0</v>
      </c>
      <c r="K34" s="1"/>
      <c r="L34" s="1">
        <f t="shared" si="10"/>
        <v>4263.1699999999992</v>
      </c>
      <c r="M34" s="1"/>
      <c r="N34" s="5">
        <f t="shared" si="11"/>
        <v>1.6327666305376076</v>
      </c>
      <c r="O34" s="13"/>
      <c r="P34" s="1">
        <f>SUM(OSRRefP22_4x_0)</f>
        <v>20162.82</v>
      </c>
      <c r="Q34" s="1"/>
      <c r="R34" s="5">
        <f t="shared" si="12"/>
        <v>0</v>
      </c>
      <c r="S34" s="1"/>
      <c r="T34" s="1">
        <f>SUM(OSRRefT22_4x_0)</f>
        <v>16607.609999999997</v>
      </c>
      <c r="U34" s="1"/>
      <c r="V34" s="5">
        <f t="shared" si="13"/>
        <v>0</v>
      </c>
      <c r="W34" s="1"/>
      <c r="X34" s="1">
        <f t="shared" si="14"/>
        <v>3555.2100000000028</v>
      </c>
      <c r="Y34" s="1"/>
      <c r="Z34" s="5">
        <f t="shared" si="15"/>
        <v>0.21407113967632932</v>
      </c>
    </row>
    <row r="35" spans="1:26" s="24" customFormat="1" hidden="1" outlineLevel="2" x14ac:dyDescent="0.25">
      <c r="A35" s="27"/>
      <c r="B35" s="11" t="str">
        <f>CONCATENATE("          ", "6371", " - ", "COMPUTER SOFTWARE MAINTENANCE")</f>
        <v xml:space="preserve">          6371 - COMPUTER SOFTWARE MAINTENANCE</v>
      </c>
      <c r="C35" s="11"/>
      <c r="D35" s="6">
        <v>4968.9799999999996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4968.9799999999996</v>
      </c>
      <c r="M35" s="2"/>
      <c r="N35" s="7">
        <f t="shared" si="11"/>
        <v>0</v>
      </c>
      <c r="O35" s="11"/>
      <c r="P35" s="6">
        <v>4968.9799999999996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4968.9799999999996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"6373", " - ", "MAINTENANCE CONTRACTS")</f>
        <v xml:space="preserve">          6373 - MAINTENANCE CONTRACTS</v>
      </c>
      <c r="C36" s="11"/>
      <c r="D36" s="6">
        <v>1448.13</v>
      </c>
      <c r="E36" s="2"/>
      <c r="F36" s="7">
        <f t="shared" si="8"/>
        <v>0</v>
      </c>
      <c r="G36" s="2"/>
      <c r="H36" s="6">
        <v>1405.95</v>
      </c>
      <c r="I36" s="2"/>
      <c r="J36" s="7">
        <f t="shared" si="9"/>
        <v>0</v>
      </c>
      <c r="K36" s="2"/>
      <c r="L36" s="6">
        <f t="shared" si="10"/>
        <v>42.180000000000064</v>
      </c>
      <c r="M36" s="2"/>
      <c r="N36" s="7">
        <f t="shared" si="11"/>
        <v>3.000106689427082E-2</v>
      </c>
      <c r="O36" s="11"/>
      <c r="P36" s="6">
        <v>12787.91</v>
      </c>
      <c r="Q36" s="2"/>
      <c r="R36" s="7">
        <f t="shared" si="12"/>
        <v>0</v>
      </c>
      <c r="S36" s="2"/>
      <c r="T36" s="6">
        <v>14929.849999999999</v>
      </c>
      <c r="U36" s="2"/>
      <c r="V36" s="7">
        <f t="shared" si="13"/>
        <v>0</v>
      </c>
      <c r="W36" s="2"/>
      <c r="X36" s="6">
        <f t="shared" si="14"/>
        <v>-2141.9399999999987</v>
      </c>
      <c r="Y36" s="2"/>
      <c r="Z36" s="7">
        <f t="shared" si="15"/>
        <v>-0.1434669470892205</v>
      </c>
    </row>
    <row r="37" spans="1:26" s="24" customFormat="1" hidden="1" outlineLevel="2" x14ac:dyDescent="0.25">
      <c r="A37" s="27"/>
      <c r="B37" s="11" t="str">
        <f>CONCATENATE("          ", "6375", " - ", "OUTSIDE REPAIRS &amp; MAINTENANCE")</f>
        <v xml:space="preserve">          6375 - OUTSIDE REPAIRS &amp; MAINTENANCE</v>
      </c>
      <c r="C37" s="11"/>
      <c r="D37" s="6">
        <v>457.07</v>
      </c>
      <c r="E37" s="2"/>
      <c r="F37" s="7">
        <f t="shared" si="8"/>
        <v>0</v>
      </c>
      <c r="G37" s="2"/>
      <c r="H37" s="6">
        <v>1205.06</v>
      </c>
      <c r="I37" s="2"/>
      <c r="J37" s="7">
        <f t="shared" si="9"/>
        <v>0</v>
      </c>
      <c r="K37" s="2"/>
      <c r="L37" s="6">
        <f t="shared" si="10"/>
        <v>-747.99</v>
      </c>
      <c r="M37" s="2"/>
      <c r="N37" s="7">
        <f t="shared" si="11"/>
        <v>-0.62070768260501552</v>
      </c>
      <c r="O37" s="11"/>
      <c r="P37" s="6">
        <v>2405.9299999999998</v>
      </c>
      <c r="Q37" s="2"/>
      <c r="R37" s="7">
        <f t="shared" si="12"/>
        <v>0</v>
      </c>
      <c r="S37" s="2"/>
      <c r="T37" s="6">
        <v>1677.76</v>
      </c>
      <c r="U37" s="2"/>
      <c r="V37" s="7">
        <f t="shared" si="13"/>
        <v>0</v>
      </c>
      <c r="W37" s="2"/>
      <c r="X37" s="6">
        <f t="shared" si="14"/>
        <v>728.16999999999985</v>
      </c>
      <c r="Y37" s="2"/>
      <c r="Z37" s="7">
        <f t="shared" si="15"/>
        <v>0.43401320808697302</v>
      </c>
    </row>
    <row r="38" spans="1:26" s="25" customFormat="1" outlineLevel="1" collapsed="1" x14ac:dyDescent="0.25">
      <c r="A38" s="26"/>
      <c r="B38" s="13" t="str">
        <f>CONCATENATE("     ","Services                                          ")</f>
        <v xml:space="preserve">     Services                                          </v>
      </c>
      <c r="C38" s="13"/>
      <c r="D38" s="1">
        <f>SUM(OSRRefD22_5x_0)</f>
        <v>0</v>
      </c>
      <c r="E38" s="1"/>
      <c r="F38" s="5">
        <f t="shared" ref="F38:F42" si="16">IF(D$12=0,0,D38/D$12)</f>
        <v>0</v>
      </c>
      <c r="G38" s="1"/>
      <c r="H38" s="1">
        <f>SUM(OSRRefH22_5x_0)</f>
        <v>28.32</v>
      </c>
      <c r="I38" s="1"/>
      <c r="J38" s="5">
        <f t="shared" ref="J38:J42" si="17">IF(H$12=0,0,H38/H$12)</f>
        <v>0</v>
      </c>
      <c r="K38" s="1"/>
      <c r="L38" s="1">
        <f t="shared" ref="L38:L42" si="18">+D38-H38</f>
        <v>-28.32</v>
      </c>
      <c r="M38" s="1"/>
      <c r="N38" s="5">
        <f t="shared" ref="N38:N42" si="19">IF(H38=0,0,L38/H38)</f>
        <v>-1</v>
      </c>
      <c r="O38" s="13"/>
      <c r="P38" s="1">
        <f>SUM(OSRRefP22_5x_0)</f>
        <v>83.98</v>
      </c>
      <c r="Q38" s="1"/>
      <c r="R38" s="5">
        <f t="shared" ref="R38:R42" si="20">IF(P$12=0,0,P38/P$12)</f>
        <v>0</v>
      </c>
      <c r="S38" s="1"/>
      <c r="T38" s="1">
        <f>SUM(OSRRefT22_5x_0)</f>
        <v>84.96</v>
      </c>
      <c r="U38" s="1"/>
      <c r="V38" s="5">
        <f t="shared" ref="V38:V42" si="21">IF(T$12=0,0,T38/T$12)</f>
        <v>0</v>
      </c>
      <c r="W38" s="1"/>
      <c r="X38" s="1">
        <f t="shared" ref="X38:X42" si="22">+P38-T38</f>
        <v>-0.97999999999998977</v>
      </c>
      <c r="Y38" s="1"/>
      <c r="Z38" s="5">
        <f t="shared" ref="Z38:Z42" si="23">IF(T38=0,0,X38/T38)</f>
        <v>-1.1534839924670314E-2</v>
      </c>
    </row>
    <row r="39" spans="1:26" s="24" customFormat="1" hidden="1" outlineLevel="2" x14ac:dyDescent="0.25">
      <c r="A39" s="27"/>
      <c r="B39" s="11" t="str">
        <f>CONCATENATE("          ", "6286", " - ", "LAUNDRY EXPENSE")</f>
        <v xml:space="preserve">          6286 - LAUNDRY EXPENSE</v>
      </c>
      <c r="C39" s="11"/>
      <c r="D39" s="6"/>
      <c r="E39" s="2"/>
      <c r="F39" s="7">
        <f t="shared" si="16"/>
        <v>0</v>
      </c>
      <c r="G39" s="2"/>
      <c r="H39" s="6">
        <v>28.32</v>
      </c>
      <c r="I39" s="2"/>
      <c r="J39" s="7">
        <f t="shared" si="17"/>
        <v>0</v>
      </c>
      <c r="K39" s="2"/>
      <c r="L39" s="6">
        <f t="shared" si="18"/>
        <v>-28.32</v>
      </c>
      <c r="M39" s="2"/>
      <c r="N39" s="7">
        <f t="shared" si="19"/>
        <v>-1</v>
      </c>
      <c r="O39" s="11"/>
      <c r="P39" s="6">
        <v>83.98</v>
      </c>
      <c r="Q39" s="2"/>
      <c r="R39" s="7">
        <f t="shared" si="20"/>
        <v>0</v>
      </c>
      <c r="S39" s="2"/>
      <c r="T39" s="6">
        <v>84.96</v>
      </c>
      <c r="U39" s="2"/>
      <c r="V39" s="7">
        <f t="shared" si="21"/>
        <v>0</v>
      </c>
      <c r="W39" s="2"/>
      <c r="X39" s="6">
        <f t="shared" si="22"/>
        <v>-0.97999999999998977</v>
      </c>
      <c r="Y39" s="2"/>
      <c r="Z39" s="7">
        <f t="shared" si="23"/>
        <v>-1.1534839924670314E-2</v>
      </c>
    </row>
    <row r="40" spans="1:26" s="25" customFormat="1" outlineLevel="1" collapsed="1" x14ac:dyDescent="0.25">
      <c r="A40" s="26"/>
      <c r="B40" s="13" t="str">
        <f>CONCATENATE("     ","Supplies                                          ")</f>
        <v xml:space="preserve">     Supplies                                          </v>
      </c>
      <c r="C40" s="13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314.36</v>
      </c>
      <c r="I40" s="1"/>
      <c r="J40" s="5">
        <f t="shared" si="17"/>
        <v>0</v>
      </c>
      <c r="K40" s="1"/>
      <c r="L40" s="1">
        <f t="shared" si="18"/>
        <v>-314.36</v>
      </c>
      <c r="M40" s="1"/>
      <c r="N40" s="5">
        <f t="shared" si="19"/>
        <v>-1</v>
      </c>
      <c r="O40" s="13"/>
      <c r="P40" s="1">
        <f>SUM(OSRRefP22_6x_0)</f>
        <v>1123.9000000000001</v>
      </c>
      <c r="Q40" s="1"/>
      <c r="R40" s="5">
        <f t="shared" si="20"/>
        <v>0</v>
      </c>
      <c r="S40" s="1"/>
      <c r="T40" s="1">
        <f>SUM(OSRRefT22_6x_0)</f>
        <v>3125.63</v>
      </c>
      <c r="U40" s="1"/>
      <c r="V40" s="5">
        <f t="shared" si="21"/>
        <v>0</v>
      </c>
      <c r="W40" s="1"/>
      <c r="X40" s="1">
        <f t="shared" si="22"/>
        <v>-2001.73</v>
      </c>
      <c r="Y40" s="1"/>
      <c r="Z40" s="5">
        <f t="shared" si="23"/>
        <v>-0.64042449042273075</v>
      </c>
    </row>
    <row r="41" spans="1:26" s="24" customFormat="1" hidden="1" outlineLevel="2" x14ac:dyDescent="0.25">
      <c r="A41" s="27"/>
      <c r="B41" s="11" t="str">
        <f>CONCATENATE("          ", "6234", " - ", "EXPENDABLE SUPPLIES &amp; EQUIPMEN")</f>
        <v xml:space="preserve">          6234 - EXPENDABLE SUPPLIES &amp; EQUIPMEN</v>
      </c>
      <c r="C41" s="11"/>
      <c r="D41" s="6"/>
      <c r="E41" s="2"/>
      <c r="F41" s="7">
        <f t="shared" si="16"/>
        <v>0</v>
      </c>
      <c r="G41" s="2"/>
      <c r="H41" s="6">
        <v>314.36</v>
      </c>
      <c r="I41" s="2"/>
      <c r="J41" s="7">
        <f t="shared" si="17"/>
        <v>0</v>
      </c>
      <c r="K41" s="2"/>
      <c r="L41" s="6">
        <f t="shared" si="18"/>
        <v>-314.36</v>
      </c>
      <c r="M41" s="2"/>
      <c r="N41" s="7">
        <f t="shared" si="19"/>
        <v>-1</v>
      </c>
      <c r="O41" s="11"/>
      <c r="P41" s="6">
        <v>1006.59</v>
      </c>
      <c r="Q41" s="2"/>
      <c r="R41" s="7">
        <f t="shared" si="20"/>
        <v>0</v>
      </c>
      <c r="S41" s="2"/>
      <c r="T41" s="6">
        <v>1251.23</v>
      </c>
      <c r="U41" s="2"/>
      <c r="V41" s="7">
        <f t="shared" si="21"/>
        <v>0</v>
      </c>
      <c r="W41" s="2"/>
      <c r="X41" s="6">
        <f t="shared" si="22"/>
        <v>-244.64</v>
      </c>
      <c r="Y41" s="2"/>
      <c r="Z41" s="7">
        <f t="shared" si="23"/>
        <v>-0.19551960870503424</v>
      </c>
    </row>
    <row r="42" spans="1:26" s="24" customFormat="1" hidden="1" outlineLevel="2" x14ac:dyDescent="0.25">
      <c r="A42" s="27"/>
      <c r="B42" s="11" t="str">
        <f>CONCATENATE("          ", "6241", " - ", "OFFICE EXPENSE")</f>
        <v xml:space="preserve">          6241 - OFFICE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117.31</v>
      </c>
      <c r="Q42" s="2"/>
      <c r="R42" s="7">
        <f t="shared" si="20"/>
        <v>0</v>
      </c>
      <c r="S42" s="2"/>
      <c r="T42" s="6">
        <v>1874.4</v>
      </c>
      <c r="U42" s="2"/>
      <c r="V42" s="7">
        <f t="shared" si="21"/>
        <v>0</v>
      </c>
      <c r="W42" s="2"/>
      <c r="X42" s="6">
        <f t="shared" si="22"/>
        <v>-1757.0900000000001</v>
      </c>
      <c r="Y42" s="2"/>
      <c r="Z42" s="7">
        <f t="shared" si="23"/>
        <v>-0.93741463935125913</v>
      </c>
    </row>
    <row r="43" spans="1:26" s="25" customFormat="1" outlineLevel="1" collapsed="1" x14ac:dyDescent="0.25">
      <c r="A43" s="26"/>
      <c r="B43" s="13" t="str">
        <f>CONCATENATE("     ","Telephone/Data Lines                              ")</f>
        <v xml:space="preserve">     Telephone/Data Lines                              </v>
      </c>
      <c r="C43" s="13"/>
      <c r="D43" s="1">
        <f>SUM(OSRRefD22_7x_0)</f>
        <v>223</v>
      </c>
      <c r="E43" s="1"/>
      <c r="F43" s="5">
        <f t="shared" ref="F43:F46" si="24">IF(D$12=0,0,D43/D$12)</f>
        <v>0</v>
      </c>
      <c r="G43" s="1"/>
      <c r="H43" s="1">
        <f>SUM(OSRRefH22_7x_0)</f>
        <v>25.1</v>
      </c>
      <c r="I43" s="1"/>
      <c r="J43" s="5">
        <f t="shared" ref="J43:J46" si="25">IF(H$12=0,0,H43/H$12)</f>
        <v>0</v>
      </c>
      <c r="K43" s="1"/>
      <c r="L43" s="1">
        <f t="shared" ref="L43:L46" si="26">+D43-H43</f>
        <v>197.9</v>
      </c>
      <c r="M43" s="1"/>
      <c r="N43" s="5">
        <f t="shared" ref="N43:N46" si="27">IF(H43=0,0,L43/H43)</f>
        <v>7.8844621513944224</v>
      </c>
      <c r="O43" s="13"/>
      <c r="P43" s="1">
        <f>SUM(OSRRefP22_7x_0)</f>
        <v>832.2</v>
      </c>
      <c r="Q43" s="1"/>
      <c r="R43" s="5">
        <f t="shared" ref="R43:R46" si="28">IF(P$12=0,0,P43/P$12)</f>
        <v>0</v>
      </c>
      <c r="S43" s="1"/>
      <c r="T43" s="1">
        <f>SUM(OSRRefT22_7x_0)</f>
        <v>480.26</v>
      </c>
      <c r="U43" s="1"/>
      <c r="V43" s="5">
        <f t="shared" ref="V43:V46" si="29">IF(T$12=0,0,T43/T$12)</f>
        <v>0</v>
      </c>
      <c r="W43" s="1"/>
      <c r="X43" s="1">
        <f t="shared" ref="X43:X46" si="30">+P43-T43</f>
        <v>351.94000000000005</v>
      </c>
      <c r="Y43" s="1"/>
      <c r="Z43" s="5">
        <f t="shared" ref="Z43:Z46" si="31">IF(T43=0,0,X43/T43)</f>
        <v>0.73281139382834315</v>
      </c>
    </row>
    <row r="44" spans="1:26" s="24" customFormat="1" hidden="1" outlineLevel="2" x14ac:dyDescent="0.25">
      <c r="A44" s="27"/>
      <c r="B44" s="11" t="str">
        <f>CONCATENATE("          ", "6309", " - ", "TELEPHONE")</f>
        <v xml:space="preserve">          6309 - TELEPHONE</v>
      </c>
      <c r="C44" s="11"/>
      <c r="D44" s="6">
        <v>223</v>
      </c>
      <c r="E44" s="2"/>
      <c r="F44" s="7">
        <f t="shared" si="24"/>
        <v>0</v>
      </c>
      <c r="G44" s="2"/>
      <c r="H44" s="6">
        <v>25.1</v>
      </c>
      <c r="I44" s="2"/>
      <c r="J44" s="7">
        <f t="shared" si="25"/>
        <v>0</v>
      </c>
      <c r="K44" s="2"/>
      <c r="L44" s="6">
        <f t="shared" si="26"/>
        <v>197.9</v>
      </c>
      <c r="M44" s="2"/>
      <c r="N44" s="7">
        <f t="shared" si="27"/>
        <v>7.8844621513944224</v>
      </c>
      <c r="O44" s="11"/>
      <c r="P44" s="6">
        <v>832.2</v>
      </c>
      <c r="Q44" s="2"/>
      <c r="R44" s="7">
        <f t="shared" si="28"/>
        <v>0</v>
      </c>
      <c r="S44" s="2"/>
      <c r="T44" s="6">
        <v>480.26</v>
      </c>
      <c r="U44" s="2"/>
      <c r="V44" s="7">
        <f t="shared" si="29"/>
        <v>0</v>
      </c>
      <c r="W44" s="2"/>
      <c r="X44" s="6">
        <f t="shared" si="30"/>
        <v>351.94000000000005</v>
      </c>
      <c r="Y44" s="2"/>
      <c r="Z44" s="7">
        <f t="shared" si="31"/>
        <v>0.73281139382834315</v>
      </c>
    </row>
    <row r="45" spans="1:26" s="25" customFormat="1" outlineLevel="1" collapsed="1" x14ac:dyDescent="0.25">
      <c r="A45" s="26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SUM(OSRRefD22_8x_0)</f>
        <v>0</v>
      </c>
      <c r="E45" s="1"/>
      <c r="F45" s="5">
        <f t="shared" si="24"/>
        <v>0</v>
      </c>
      <c r="G45" s="1"/>
      <c r="H45" s="1">
        <f>SUM(OSRRefH22_8x_0)</f>
        <v>144.01</v>
      </c>
      <c r="I45" s="1"/>
      <c r="J45" s="5">
        <f t="shared" si="25"/>
        <v>0</v>
      </c>
      <c r="K45" s="1"/>
      <c r="L45" s="1">
        <f t="shared" si="26"/>
        <v>-144.01</v>
      </c>
      <c r="M45" s="1"/>
      <c r="N45" s="5">
        <f t="shared" si="27"/>
        <v>-1</v>
      </c>
      <c r="O45" s="13"/>
      <c r="P45" s="1">
        <f>SUM(OSRRefP22_8x_0)</f>
        <v>256.86</v>
      </c>
      <c r="Q45" s="1"/>
      <c r="R45" s="5">
        <f t="shared" si="28"/>
        <v>0</v>
      </c>
      <c r="S45" s="1"/>
      <c r="T45" s="1">
        <f>SUM(OSRRefT22_8x_0)</f>
        <v>267.52999999999997</v>
      </c>
      <c r="U45" s="1"/>
      <c r="V45" s="5">
        <f t="shared" si="29"/>
        <v>0</v>
      </c>
      <c r="W45" s="1"/>
      <c r="X45" s="1">
        <f t="shared" si="30"/>
        <v>-10.669999999999959</v>
      </c>
      <c r="Y45" s="1"/>
      <c r="Z45" s="5">
        <f t="shared" si="31"/>
        <v>-3.988337756513273E-2</v>
      </c>
    </row>
    <row r="46" spans="1:26" s="24" customFormat="1" hidden="1" outlineLevel="2" x14ac:dyDescent="0.25">
      <c r="A46" s="27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24"/>
        <v>0</v>
      </c>
      <c r="G46" s="2"/>
      <c r="H46" s="6">
        <v>144.01</v>
      </c>
      <c r="I46" s="2"/>
      <c r="J46" s="7">
        <f t="shared" si="25"/>
        <v>0</v>
      </c>
      <c r="K46" s="2"/>
      <c r="L46" s="6">
        <f t="shared" si="26"/>
        <v>-144.01</v>
      </c>
      <c r="M46" s="2"/>
      <c r="N46" s="7">
        <f t="shared" si="27"/>
        <v>-1</v>
      </c>
      <c r="O46" s="11"/>
      <c r="P46" s="6">
        <v>256.86</v>
      </c>
      <c r="Q46" s="2"/>
      <c r="R46" s="7">
        <f t="shared" si="28"/>
        <v>0</v>
      </c>
      <c r="S46" s="2"/>
      <c r="T46" s="6">
        <v>267.52999999999997</v>
      </c>
      <c r="U46" s="2"/>
      <c r="V46" s="7">
        <f t="shared" si="29"/>
        <v>0</v>
      </c>
      <c r="W46" s="2"/>
      <c r="X46" s="6">
        <f t="shared" si="30"/>
        <v>-10.669999999999959</v>
      </c>
      <c r="Y46" s="2"/>
      <c r="Z46" s="7">
        <f t="shared" si="31"/>
        <v>-3.988337756513273E-2</v>
      </c>
    </row>
    <row r="47" spans="1:26" s="53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1">
        <f>+D16-D18+D48</f>
        <v>-9043.6899999999987</v>
      </c>
      <c r="E50" s="14"/>
      <c r="F50" s="20">
        <f>IF(D$12=0,0,D50/D$12)</f>
        <v>0</v>
      </c>
      <c r="G50" s="14"/>
      <c r="H50" s="21">
        <f>+H16-H18+H48</f>
        <v>-8222.0199999999986</v>
      </c>
      <c r="I50" s="14"/>
      <c r="J50" s="20">
        <f>IF(H$12=0,0,H50/H$12)</f>
        <v>0</v>
      </c>
      <c r="K50" s="15"/>
      <c r="L50" s="21">
        <f>+D50-H50</f>
        <v>-821.67000000000007</v>
      </c>
      <c r="M50" s="15"/>
      <c r="N50" s="20">
        <f>IF(H50=0,0,L50/H50)</f>
        <v>9.993529570592144E-2</v>
      </c>
      <c r="O50" s="29"/>
      <c r="P50" s="21">
        <f>+P16-P18+P48</f>
        <v>-80839.579999999987</v>
      </c>
      <c r="Q50" s="14"/>
      <c r="R50" s="20">
        <f>IF(P$12=0,0,P50/P$12)</f>
        <v>0</v>
      </c>
      <c r="S50" s="14"/>
      <c r="T50" s="21">
        <f>+T16-T18+T48</f>
        <v>-80482.549999999988</v>
      </c>
      <c r="U50" s="14"/>
      <c r="V50" s="20">
        <f>IF(T$12=0,0,T50/T$12)</f>
        <v>0</v>
      </c>
      <c r="W50" s="15"/>
      <c r="X50" s="21">
        <f>+P50-T50</f>
        <v>-357.02999999999884</v>
      </c>
      <c r="Y50" s="15"/>
      <c r="Z50" s="20">
        <f>IF(T50=0,0,X50/T50)</f>
        <v>4.4361168973895441E-3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0">
        <f>+D50-D52</f>
        <v>-9043.6899999999987</v>
      </c>
      <c r="E54" s="14"/>
      <c r="F54" s="36">
        <f>IF(D$12=0,0,D54/D$12)</f>
        <v>0</v>
      </c>
      <c r="G54" s="14"/>
      <c r="H54" s="30">
        <f>+H50-H52</f>
        <v>-8222.0199999999986</v>
      </c>
      <c r="I54" s="14"/>
      <c r="J54" s="36">
        <f>IF(H$12=0,0,H54/H$12)</f>
        <v>0</v>
      </c>
      <c r="K54" s="15"/>
      <c r="L54" s="30">
        <f>D54-H54</f>
        <v>-821.67000000000007</v>
      </c>
      <c r="M54" s="15"/>
      <c r="N54" s="36">
        <f>IF(H54=0,0,L54/H54)</f>
        <v>9.993529570592144E-2</v>
      </c>
      <c r="O54" s="29"/>
      <c r="P54" s="30">
        <f>+P50-P52</f>
        <v>-80839.579999999987</v>
      </c>
      <c r="Q54" s="14"/>
      <c r="R54" s="36">
        <f>IF(P$12=0,0,P54/P$12)</f>
        <v>0</v>
      </c>
      <c r="S54" s="14"/>
      <c r="T54" s="30">
        <f>+T50-T52</f>
        <v>-80482.549999999988</v>
      </c>
      <c r="U54" s="14"/>
      <c r="V54" s="36">
        <f>IF(T$12=0,0,T54/T$12)</f>
        <v>0</v>
      </c>
      <c r="W54" s="15"/>
      <c r="X54" s="30">
        <f>P54-T54</f>
        <v>-357.02999999999884</v>
      </c>
      <c r="Y54" s="15"/>
      <c r="Z54" s="36">
        <f>IF(T54=0,0,X54/T54)</f>
        <v>4.4361168973895441E-3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1">
        <f>SUM(D54:D56)</f>
        <v>-9043.6899999999987</v>
      </c>
      <c r="E57" s="14"/>
      <c r="F57" s="32">
        <f>IF(D$12=0,0,D57/D$12)</f>
        <v>0</v>
      </c>
      <c r="G57" s="14"/>
      <c r="H57" s="31">
        <f>SUM(H54:H56)</f>
        <v>-8222.0199999999986</v>
      </c>
      <c r="I57" s="14"/>
      <c r="J57" s="32">
        <f>IF(H$12=0,0,H57/H$12)</f>
        <v>0</v>
      </c>
      <c r="K57" s="15"/>
      <c r="L57" s="31">
        <f>+D57-H57</f>
        <v>-821.67000000000007</v>
      </c>
      <c r="M57" s="15"/>
      <c r="N57" s="32">
        <f>IF(H57=0,0,L57/H57)</f>
        <v>9.993529570592144E-2</v>
      </c>
      <c r="O57" s="29"/>
      <c r="P57" s="31">
        <f>SUM(P54:P56)</f>
        <v>-80839.579999999987</v>
      </c>
      <c r="Q57" s="14"/>
      <c r="R57" s="32">
        <f>IF(P$12=0,0,P57/P$12)</f>
        <v>0</v>
      </c>
      <c r="S57" s="14"/>
      <c r="T57" s="31">
        <f>SUM(T54:T56)</f>
        <v>-80482.549999999988</v>
      </c>
      <c r="U57" s="14"/>
      <c r="V57" s="32">
        <f>IF(T$12=0,0,T57/T$12)</f>
        <v>0</v>
      </c>
      <c r="W57" s="15"/>
      <c r="X57" s="31">
        <f>+P57-T57</f>
        <v>-357.02999999999884</v>
      </c>
      <c r="Y57" s="15"/>
      <c r="Z57" s="32">
        <f>IF(T57=0,0,X57/T57)</f>
        <v>4.4361168973895441E-3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4">
        <v>43965.470780555559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59" t="s">
        <v>313</v>
      </c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61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","206", " - ", "Graphics")</f>
        <v>Department 206 - Graphics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12057.48</v>
      </c>
      <c r="E18" s="22"/>
      <c r="F18" s="35">
        <f t="shared" ref="F18:F27" si="0">IF(D$12=0,0,D18/D$12)</f>
        <v>0</v>
      </c>
      <c r="G18" s="22"/>
      <c r="H18" s="22">
        <f>SUM(OSRRefH22x_0)</f>
        <v>-2282.3500000000017</v>
      </c>
      <c r="I18" s="22"/>
      <c r="J18" s="35">
        <f t="shared" ref="J18:J27" si="1">IF(H$12=0,0,H18/H$12)</f>
        <v>0</v>
      </c>
      <c r="K18" s="4"/>
      <c r="L18" s="22">
        <f t="shared" ref="L18:L27" si="2">+D18-H18</f>
        <v>14339.830000000002</v>
      </c>
      <c r="M18" s="4"/>
      <c r="N18" s="35">
        <f t="shared" ref="N18:N27" si="3">IF(H18=0,0,L18/H18)</f>
        <v>-6.2829233027362106</v>
      </c>
      <c r="O18" s="10"/>
      <c r="P18" s="22">
        <f>SUM(OSRRefP22x_0)</f>
        <v>89844.83</v>
      </c>
      <c r="Q18" s="22"/>
      <c r="R18" s="35">
        <f t="shared" ref="R18:R27" si="4">IF(P$12=0,0,P18/P$12)</f>
        <v>0</v>
      </c>
      <c r="S18" s="22"/>
      <c r="T18" s="22">
        <f>SUM(OSRRefT22x_0)</f>
        <v>62313.869999999981</v>
      </c>
      <c r="U18" s="22"/>
      <c r="V18" s="35">
        <f t="shared" ref="V18:V27" si="5">IF(T$12=0,0,T18/T$12)</f>
        <v>0</v>
      </c>
      <c r="W18" s="4"/>
      <c r="X18" s="22">
        <f t="shared" ref="X18:X27" si="6">+P18-T18</f>
        <v>27530.960000000021</v>
      </c>
      <c r="Y18" s="4"/>
      <c r="Z18" s="35">
        <f t="shared" ref="Z18:Z27" si="7">IF(T18=0,0,X18/T18)</f>
        <v>0.44181110882697588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1860.0100000000002</v>
      </c>
      <c r="E19" s="1"/>
      <c r="F19" s="5">
        <f t="shared" si="0"/>
        <v>0</v>
      </c>
      <c r="G19" s="1"/>
      <c r="H19" s="1">
        <f>SUM(OSRRefH22_0x_0)</f>
        <v>-2708.7000000000003</v>
      </c>
      <c r="I19" s="1"/>
      <c r="J19" s="5">
        <f t="shared" si="1"/>
        <v>0</v>
      </c>
      <c r="K19" s="1"/>
      <c r="L19" s="1">
        <f t="shared" si="2"/>
        <v>4568.7100000000009</v>
      </c>
      <c r="M19" s="1"/>
      <c r="N19" s="5">
        <f t="shared" si="3"/>
        <v>-1.6866799571750288</v>
      </c>
      <c r="O19" s="13"/>
      <c r="P19" s="1">
        <f>SUM(OSRRefP22_0x_0)</f>
        <v>18096.740000000002</v>
      </c>
      <c r="Q19" s="1"/>
      <c r="R19" s="5">
        <f t="shared" si="4"/>
        <v>0</v>
      </c>
      <c r="S19" s="1"/>
      <c r="T19" s="1">
        <f>SUM(OSRRefT22_0x_0)</f>
        <v>54054.590000000004</v>
      </c>
      <c r="U19" s="1"/>
      <c r="V19" s="5">
        <f t="shared" si="5"/>
        <v>0</v>
      </c>
      <c r="W19" s="1"/>
      <c r="X19" s="1">
        <f t="shared" si="6"/>
        <v>-35957.850000000006</v>
      </c>
      <c r="Y19" s="1"/>
      <c r="Z19" s="5">
        <f t="shared" si="7"/>
        <v>-0.66521362940686446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515.97</v>
      </c>
      <c r="E20" s="2"/>
      <c r="F20" s="7">
        <f t="shared" si="0"/>
        <v>0</v>
      </c>
      <c r="G20" s="2"/>
      <c r="H20" s="6">
        <v>1893.16</v>
      </c>
      <c r="I20" s="2"/>
      <c r="J20" s="7">
        <f t="shared" si="1"/>
        <v>0</v>
      </c>
      <c r="K20" s="2"/>
      <c r="L20" s="6">
        <f t="shared" si="2"/>
        <v>-1377.19</v>
      </c>
      <c r="M20" s="2"/>
      <c r="N20" s="7">
        <f t="shared" si="3"/>
        <v>-0.72745568256248816</v>
      </c>
      <c r="O20" s="11"/>
      <c r="P20" s="6">
        <v>4713.43</v>
      </c>
      <c r="Q20" s="2"/>
      <c r="R20" s="7">
        <f t="shared" si="4"/>
        <v>0</v>
      </c>
      <c r="S20" s="2"/>
      <c r="T20" s="6">
        <v>11280.19</v>
      </c>
      <c r="U20" s="2"/>
      <c r="V20" s="7">
        <f t="shared" si="5"/>
        <v>0</v>
      </c>
      <c r="W20" s="2"/>
      <c r="X20" s="6">
        <f t="shared" si="6"/>
        <v>-6566.76</v>
      </c>
      <c r="Y20" s="2"/>
      <c r="Z20" s="7">
        <f t="shared" si="7"/>
        <v>-0.58214976875389512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19.190000000000001</v>
      </c>
      <c r="E21" s="2"/>
      <c r="F21" s="7">
        <f t="shared" si="0"/>
        <v>0</v>
      </c>
      <c r="G21" s="2"/>
      <c r="H21" s="6">
        <v>93.47</v>
      </c>
      <c r="I21" s="2"/>
      <c r="J21" s="7">
        <f t="shared" si="1"/>
        <v>0</v>
      </c>
      <c r="K21" s="2"/>
      <c r="L21" s="6">
        <f t="shared" si="2"/>
        <v>-74.28</v>
      </c>
      <c r="M21" s="2"/>
      <c r="N21" s="7">
        <f t="shared" si="3"/>
        <v>-0.79469348454049427</v>
      </c>
      <c r="O21" s="11"/>
      <c r="P21" s="6">
        <v>245.17</v>
      </c>
      <c r="Q21" s="2"/>
      <c r="R21" s="7">
        <f t="shared" si="4"/>
        <v>0</v>
      </c>
      <c r="S21" s="2"/>
      <c r="T21" s="6">
        <v>554.36</v>
      </c>
      <c r="U21" s="2"/>
      <c r="V21" s="7">
        <f t="shared" si="5"/>
        <v>0</v>
      </c>
      <c r="W21" s="2"/>
      <c r="X21" s="6">
        <f t="shared" si="6"/>
        <v>-309.19000000000005</v>
      </c>
      <c r="Y21" s="2"/>
      <c r="Z21" s="7">
        <f t="shared" si="7"/>
        <v>-0.55774226134641758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2638.76</v>
      </c>
      <c r="I22" s="2"/>
      <c r="J22" s="7">
        <f t="shared" si="1"/>
        <v>0</v>
      </c>
      <c r="K22" s="2"/>
      <c r="L22" s="6">
        <f t="shared" si="2"/>
        <v>-1937.8900000000003</v>
      </c>
      <c r="M22" s="2"/>
      <c r="N22" s="7">
        <f t="shared" si="3"/>
        <v>-0.73439418514756938</v>
      </c>
      <c r="O22" s="11"/>
      <c r="P22" s="6">
        <v>7008.94</v>
      </c>
      <c r="Q22" s="2"/>
      <c r="R22" s="7">
        <f t="shared" si="4"/>
        <v>0</v>
      </c>
      <c r="S22" s="2"/>
      <c r="T22" s="6">
        <v>29312.99</v>
      </c>
      <c r="U22" s="2"/>
      <c r="V22" s="7">
        <f t="shared" si="5"/>
        <v>0</v>
      </c>
      <c r="W22" s="2"/>
      <c r="X22" s="6">
        <f t="shared" si="6"/>
        <v>-22304.050000000003</v>
      </c>
      <c r="Y22" s="2"/>
      <c r="Z22" s="7">
        <f t="shared" si="7"/>
        <v>-0.76089303752363724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14.68</v>
      </c>
      <c r="E23" s="2"/>
      <c r="F23" s="7">
        <f t="shared" si="0"/>
        <v>0</v>
      </c>
      <c r="G23" s="2"/>
      <c r="H23" s="6">
        <v>78.39</v>
      </c>
      <c r="I23" s="2"/>
      <c r="J23" s="7">
        <f t="shared" si="1"/>
        <v>0</v>
      </c>
      <c r="K23" s="2"/>
      <c r="L23" s="6">
        <f t="shared" si="2"/>
        <v>-63.71</v>
      </c>
      <c r="M23" s="2"/>
      <c r="N23" s="7">
        <f t="shared" si="3"/>
        <v>-0.81273121571629037</v>
      </c>
      <c r="O23" s="11"/>
      <c r="P23" s="6">
        <v>263.66000000000003</v>
      </c>
      <c r="Q23" s="2"/>
      <c r="R23" s="7">
        <f t="shared" si="4"/>
        <v>0</v>
      </c>
      <c r="S23" s="2"/>
      <c r="T23" s="6">
        <v>514.04</v>
      </c>
      <c r="U23" s="2"/>
      <c r="V23" s="7">
        <f t="shared" si="5"/>
        <v>0</v>
      </c>
      <c r="W23" s="2"/>
      <c r="X23" s="6">
        <f t="shared" si="6"/>
        <v>-250.37999999999994</v>
      </c>
      <c r="Y23" s="2"/>
      <c r="Z23" s="7">
        <f t="shared" si="7"/>
        <v>-0.48708271729826463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1374.66</v>
      </c>
      <c r="I24" s="2"/>
      <c r="J24" s="7">
        <f t="shared" si="1"/>
        <v>0</v>
      </c>
      <c r="K24" s="2"/>
      <c r="L24" s="6">
        <f t="shared" si="2"/>
        <v>-1374.66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6000.81</v>
      </c>
      <c r="U24" s="2"/>
      <c r="V24" s="7">
        <f t="shared" si="5"/>
        <v>0</v>
      </c>
      <c r="W24" s="2"/>
      <c r="X24" s="6">
        <f t="shared" si="6"/>
        <v>-6000.81</v>
      </c>
      <c r="Y24" s="2"/>
      <c r="Z24" s="7">
        <f t="shared" si="7"/>
        <v>-1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6">
        <v>277.2</v>
      </c>
      <c r="E25" s="2"/>
      <c r="F25" s="7">
        <f t="shared" si="0"/>
        <v>0</v>
      </c>
      <c r="G25" s="2"/>
      <c r="H25" s="6">
        <v>777.78</v>
      </c>
      <c r="I25" s="2"/>
      <c r="J25" s="7">
        <f t="shared" si="1"/>
        <v>0</v>
      </c>
      <c r="K25" s="2"/>
      <c r="L25" s="6">
        <f t="shared" si="2"/>
        <v>-500.58</v>
      </c>
      <c r="M25" s="2"/>
      <c r="N25" s="7">
        <f t="shared" si="3"/>
        <v>-0.64360101828280492</v>
      </c>
      <c r="O25" s="11"/>
      <c r="P25" s="6">
        <v>2032.8</v>
      </c>
      <c r="Q25" s="2"/>
      <c r="R25" s="7">
        <f t="shared" si="4"/>
        <v>0</v>
      </c>
      <c r="S25" s="2"/>
      <c r="T25" s="6">
        <v>8486.3700000000008</v>
      </c>
      <c r="U25" s="2"/>
      <c r="V25" s="7">
        <f t="shared" si="5"/>
        <v>0</v>
      </c>
      <c r="W25" s="2"/>
      <c r="X25" s="6">
        <f t="shared" si="6"/>
        <v>-6453.5700000000006</v>
      </c>
      <c r="Y25" s="2"/>
      <c r="Z25" s="7">
        <f t="shared" si="7"/>
        <v>-0.76046295412526199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6">
        <v>332.1</v>
      </c>
      <c r="E26" s="2"/>
      <c r="F26" s="7">
        <f t="shared" si="0"/>
        <v>0</v>
      </c>
      <c r="G26" s="2"/>
      <c r="H26" s="6">
        <v>-9797.9500000000007</v>
      </c>
      <c r="I26" s="2"/>
      <c r="J26" s="7">
        <f t="shared" si="1"/>
        <v>0</v>
      </c>
      <c r="K26" s="2"/>
      <c r="L26" s="6">
        <f t="shared" si="2"/>
        <v>10130.050000000001</v>
      </c>
      <c r="M26" s="2"/>
      <c r="N26" s="7">
        <f t="shared" si="3"/>
        <v>-1.033894845350303</v>
      </c>
      <c r="O26" s="11"/>
      <c r="P26" s="6">
        <v>2435.4</v>
      </c>
      <c r="Q26" s="2"/>
      <c r="R26" s="7">
        <f t="shared" si="4"/>
        <v>0</v>
      </c>
      <c r="S26" s="2"/>
      <c r="T26" s="6">
        <v>-4784.47</v>
      </c>
      <c r="U26" s="2"/>
      <c r="V26" s="7">
        <f t="shared" si="5"/>
        <v>0</v>
      </c>
      <c r="W26" s="2"/>
      <c r="X26" s="6">
        <f t="shared" si="6"/>
        <v>7219.8700000000008</v>
      </c>
      <c r="Y26" s="2"/>
      <c r="Z26" s="7">
        <f t="shared" si="7"/>
        <v>-1.5090218979322685</v>
      </c>
    </row>
    <row r="27" spans="1:26" s="24" customFormat="1" hidden="1" outlineLevel="2" x14ac:dyDescent="0.25">
      <c r="A27" s="27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233.03</v>
      </c>
      <c r="I27" s="2"/>
      <c r="J27" s="7">
        <f t="shared" si="1"/>
        <v>0</v>
      </c>
      <c r="K27" s="2"/>
      <c r="L27" s="6">
        <f t="shared" si="2"/>
        <v>-233.03</v>
      </c>
      <c r="M27" s="2"/>
      <c r="N27" s="7">
        <f t="shared" si="3"/>
        <v>-1</v>
      </c>
      <c r="O27" s="11"/>
      <c r="P27" s="6">
        <v>1397.34</v>
      </c>
      <c r="Q27" s="2"/>
      <c r="R27" s="7">
        <f t="shared" si="4"/>
        <v>0</v>
      </c>
      <c r="S27" s="2"/>
      <c r="T27" s="6">
        <v>2690.3</v>
      </c>
      <c r="U27" s="2"/>
      <c r="V27" s="7">
        <f t="shared" si="5"/>
        <v>0</v>
      </c>
      <c r="W27" s="2"/>
      <c r="X27" s="6">
        <f t="shared" si="6"/>
        <v>-1292.9600000000003</v>
      </c>
      <c r="Y27" s="2"/>
      <c r="Z27" s="7">
        <f t="shared" si="7"/>
        <v>-0.48060067650447913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7576.8</v>
      </c>
      <c r="E28" s="1"/>
      <c r="F28" s="5">
        <f t="shared" ref="F28:F34" si="8">IF(D$12=0,0,D28/D$12)</f>
        <v>0</v>
      </c>
      <c r="G28" s="1"/>
      <c r="H28" s="1">
        <f>SUM(OSRRefH22_1x_0)</f>
        <v>14537.779999999999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-6960.9799999999987</v>
      </c>
      <c r="M28" s="1"/>
      <c r="N28" s="5">
        <f t="shared" ref="N28:N34" si="11">IF(H28=0,0,L28/H28)</f>
        <v>-0.47882001240904726</v>
      </c>
      <c r="O28" s="13"/>
      <c r="P28" s="1">
        <f>SUM(OSRRefP22_1x_0)</f>
        <v>106700.26</v>
      </c>
      <c r="Q28" s="1"/>
      <c r="R28" s="5">
        <f t="shared" ref="R28:R34" si="12">IF(P$12=0,0,P28/P$12)</f>
        <v>0</v>
      </c>
      <c r="S28" s="1"/>
      <c r="T28" s="1">
        <f>SUM(OSRRefT22_1x_0)</f>
        <v>162519.84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-55819.58</v>
      </c>
      <c r="Y28" s="1"/>
      <c r="Z28" s="5">
        <f t="shared" ref="Z28:Z34" si="15">IF(T28=0,0,X28/T28)</f>
        <v>-0.34346317348085009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4401.04</v>
      </c>
      <c r="I29" s="2"/>
      <c r="J29" s="7">
        <f t="shared" si="9"/>
        <v>0</v>
      </c>
      <c r="K29" s="2"/>
      <c r="L29" s="6">
        <f t="shared" si="10"/>
        <v>-4401.04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65342.400000000001</v>
      </c>
      <c r="U29" s="2"/>
      <c r="V29" s="7">
        <f t="shared" si="13"/>
        <v>0</v>
      </c>
      <c r="W29" s="2"/>
      <c r="X29" s="6">
        <f t="shared" si="14"/>
        <v>-65342.400000000001</v>
      </c>
      <c r="Y29" s="2"/>
      <c r="Z29" s="7">
        <f t="shared" si="15"/>
        <v>-1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170.3</v>
      </c>
      <c r="I30" s="2"/>
      <c r="J30" s="7">
        <f t="shared" si="9"/>
        <v>0</v>
      </c>
      <c r="K30" s="2"/>
      <c r="L30" s="6">
        <f t="shared" si="10"/>
        <v>-170.3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-168.26</v>
      </c>
      <c r="U30" s="2"/>
      <c r="V30" s="7">
        <f t="shared" si="13"/>
        <v>0</v>
      </c>
      <c r="W30" s="2"/>
      <c r="X30" s="6">
        <f t="shared" si="14"/>
        <v>168.26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"6004", " - ", "STAFF HOURLY")</f>
        <v xml:space="preserve">          6004 - STAFF HOURLY</v>
      </c>
      <c r="C31" s="11"/>
      <c r="D31" s="6">
        <v>7155</v>
      </c>
      <c r="E31" s="2"/>
      <c r="F31" s="7">
        <f t="shared" si="8"/>
        <v>0</v>
      </c>
      <c r="G31" s="2"/>
      <c r="H31" s="6">
        <v>4050.99</v>
      </c>
      <c r="I31" s="2"/>
      <c r="J31" s="7">
        <f t="shared" si="9"/>
        <v>0</v>
      </c>
      <c r="K31" s="2"/>
      <c r="L31" s="6">
        <f t="shared" si="10"/>
        <v>3104.01</v>
      </c>
      <c r="M31" s="2"/>
      <c r="N31" s="7">
        <f t="shared" si="11"/>
        <v>0.76623492035280272</v>
      </c>
      <c r="O31" s="11"/>
      <c r="P31" s="6">
        <v>52684.5</v>
      </c>
      <c r="Q31" s="2"/>
      <c r="R31" s="7">
        <f t="shared" si="12"/>
        <v>0</v>
      </c>
      <c r="S31" s="2"/>
      <c r="T31" s="6">
        <v>38099.699999999997</v>
      </c>
      <c r="U31" s="2"/>
      <c r="V31" s="7">
        <f t="shared" si="13"/>
        <v>0</v>
      </c>
      <c r="W31" s="2"/>
      <c r="X31" s="6">
        <f t="shared" si="14"/>
        <v>14584.800000000003</v>
      </c>
      <c r="Y31" s="2"/>
      <c r="Z31" s="7">
        <f t="shared" si="15"/>
        <v>0.38280616382806176</v>
      </c>
    </row>
    <row r="32" spans="1:26" s="24" customFormat="1" hidden="1" outlineLevel="2" x14ac:dyDescent="0.25">
      <c r="A32" s="27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8"/>
        <v>0</v>
      </c>
      <c r="G32" s="2"/>
      <c r="H32" s="6">
        <v>1239.81</v>
      </c>
      <c r="I32" s="2"/>
      <c r="J32" s="7">
        <f t="shared" si="9"/>
        <v>0</v>
      </c>
      <c r="K32" s="2"/>
      <c r="L32" s="6">
        <f t="shared" si="10"/>
        <v>-1239.81</v>
      </c>
      <c r="M32" s="2"/>
      <c r="N32" s="7">
        <f t="shared" si="11"/>
        <v>-1</v>
      </c>
      <c r="O32" s="11"/>
      <c r="P32" s="6">
        <v>2361.4299999999998</v>
      </c>
      <c r="Q32" s="2"/>
      <c r="R32" s="7">
        <f t="shared" si="12"/>
        <v>0</v>
      </c>
      <c r="S32" s="2"/>
      <c r="T32" s="6">
        <v>4025.99</v>
      </c>
      <c r="U32" s="2"/>
      <c r="V32" s="7">
        <f t="shared" si="13"/>
        <v>0</v>
      </c>
      <c r="W32" s="2"/>
      <c r="X32" s="6">
        <f t="shared" si="14"/>
        <v>-1664.56</v>
      </c>
      <c r="Y32" s="2"/>
      <c r="Z32" s="7">
        <f t="shared" si="15"/>
        <v>-0.41345358532932275</v>
      </c>
    </row>
    <row r="33" spans="1:26" s="24" customFormat="1" hidden="1" outlineLevel="2" x14ac:dyDescent="0.25">
      <c r="A33" s="27"/>
      <c r="B33" s="11" t="str">
        <f>CONCATENATE("          ", "6007", " - ", "STUDENT HOURLY")</f>
        <v xml:space="preserve">          6007 - STUDENT HOURLY</v>
      </c>
      <c r="C33" s="11"/>
      <c r="D33" s="6">
        <v>-1323</v>
      </c>
      <c r="E33" s="2"/>
      <c r="F33" s="7">
        <f t="shared" si="8"/>
        <v>0</v>
      </c>
      <c r="G33" s="2"/>
      <c r="H33" s="6">
        <v>4675.6400000000003</v>
      </c>
      <c r="I33" s="2"/>
      <c r="J33" s="7">
        <f t="shared" si="9"/>
        <v>0</v>
      </c>
      <c r="K33" s="2"/>
      <c r="L33" s="6">
        <f t="shared" si="10"/>
        <v>-5998.64</v>
      </c>
      <c r="M33" s="2"/>
      <c r="N33" s="7">
        <f t="shared" si="11"/>
        <v>-1.2829559161954298</v>
      </c>
      <c r="O33" s="11"/>
      <c r="P33" s="6">
        <v>41753.5</v>
      </c>
      <c r="Q33" s="2"/>
      <c r="R33" s="7">
        <f t="shared" si="12"/>
        <v>0</v>
      </c>
      <c r="S33" s="2"/>
      <c r="T33" s="6">
        <v>55220.009999999995</v>
      </c>
      <c r="U33" s="2"/>
      <c r="V33" s="7">
        <f t="shared" si="13"/>
        <v>0</v>
      </c>
      <c r="W33" s="2"/>
      <c r="X33" s="6">
        <f t="shared" si="14"/>
        <v>-13466.509999999995</v>
      </c>
      <c r="Y33" s="2"/>
      <c r="Z33" s="7">
        <f t="shared" si="15"/>
        <v>-0.24387011157730679</v>
      </c>
    </row>
    <row r="34" spans="1:26" s="24" customFormat="1" hidden="1" outlineLevel="2" x14ac:dyDescent="0.25">
      <c r="A34" s="27"/>
      <c r="B34" s="11" t="str">
        <f>CONCATENATE("          ", "6008", " - ", "STUDENT HOURLY-FICA EXEMPT")</f>
        <v xml:space="preserve">          6008 - STUDENT HOURLY-FICA EXEMPT</v>
      </c>
      <c r="C34" s="11"/>
      <c r="D34" s="6">
        <v>1744.8</v>
      </c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1744.8</v>
      </c>
      <c r="M34" s="2"/>
      <c r="N34" s="7">
        <f t="shared" si="11"/>
        <v>0</v>
      </c>
      <c r="O34" s="11"/>
      <c r="P34" s="6">
        <v>9900.83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9900.83</v>
      </c>
      <c r="Y34" s="2"/>
      <c r="Z34" s="7">
        <f t="shared" si="15"/>
        <v>0</v>
      </c>
    </row>
    <row r="35" spans="1:26" s="25" customFormat="1" outlineLevel="1" collapsed="1" x14ac:dyDescent="0.25">
      <c r="A35" s="26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1962.21</v>
      </c>
      <c r="E35" s="1"/>
      <c r="F35" s="5">
        <f t="shared" ref="F35:F45" si="16">IF(D$12=0,0,D35/D$12)</f>
        <v>0</v>
      </c>
      <c r="G35" s="1"/>
      <c r="H35" s="1">
        <f>SUM(OSRRefH22_2x_0)</f>
        <v>-14574.57</v>
      </c>
      <c r="I35" s="1"/>
      <c r="J35" s="5">
        <f t="shared" ref="J35:J45" si="17">IF(H$12=0,0,H35/H$12)</f>
        <v>0</v>
      </c>
      <c r="K35" s="1"/>
      <c r="L35" s="1">
        <f t="shared" ref="L35:L45" si="18">+D35-H35</f>
        <v>16536.78</v>
      </c>
      <c r="M35" s="1"/>
      <c r="N35" s="5">
        <f t="shared" ref="N35:N45" si="19">IF(H35=0,0,L35/H35)</f>
        <v>-1.1346324454169145</v>
      </c>
      <c r="O35" s="13"/>
      <c r="P35" s="1">
        <f>SUM(OSRRefP22_2x_0)</f>
        <v>-46063.199999999997</v>
      </c>
      <c r="Q35" s="1"/>
      <c r="R35" s="5">
        <f t="shared" ref="R35:R45" si="20">IF(P$12=0,0,P35/P$12)</f>
        <v>0</v>
      </c>
      <c r="S35" s="1"/>
      <c r="T35" s="1">
        <f>SUM(OSRRefT22_2x_0)</f>
        <v>-160731.82</v>
      </c>
      <c r="U35" s="1"/>
      <c r="V35" s="5">
        <f t="shared" ref="V35:V45" si="21">IF(T$12=0,0,T35/T$12)</f>
        <v>0</v>
      </c>
      <c r="W35" s="1"/>
      <c r="X35" s="1">
        <f t="shared" ref="X35:X45" si="22">+P35-T35</f>
        <v>114668.62000000001</v>
      </c>
      <c r="Y35" s="1"/>
      <c r="Z35" s="5">
        <f t="shared" ref="Z35:Z45" si="23">IF(T35=0,0,X35/T35)</f>
        <v>-0.71341580030637375</v>
      </c>
    </row>
    <row r="36" spans="1:26" s="24" customFormat="1" hidden="1" outlineLevel="2" x14ac:dyDescent="0.25">
      <c r="A36" s="27"/>
      <c r="B36" s="11" t="str">
        <f>CONCATENATE("          ", "6362", " - ", "ADVERTISING EXPENSE")</f>
        <v xml:space="preserve">          6362 - ADVERTISING EXPENSE</v>
      </c>
      <c r="C36" s="11"/>
      <c r="D36" s="6">
        <v>1962.21</v>
      </c>
      <c r="E36" s="2"/>
      <c r="F36" s="7">
        <f t="shared" si="16"/>
        <v>0</v>
      </c>
      <c r="G36" s="2"/>
      <c r="H36" s="6">
        <v>-14574.57</v>
      </c>
      <c r="I36" s="2"/>
      <c r="J36" s="7">
        <f t="shared" si="17"/>
        <v>0</v>
      </c>
      <c r="K36" s="2"/>
      <c r="L36" s="6">
        <f t="shared" si="18"/>
        <v>16536.78</v>
      </c>
      <c r="M36" s="2"/>
      <c r="N36" s="7">
        <f t="shared" si="19"/>
        <v>-1.1346324454169145</v>
      </c>
      <c r="O36" s="11"/>
      <c r="P36" s="6">
        <v>-46063.199999999997</v>
      </c>
      <c r="Q36" s="2"/>
      <c r="R36" s="7">
        <f t="shared" si="20"/>
        <v>0</v>
      </c>
      <c r="S36" s="2"/>
      <c r="T36" s="6">
        <v>-160731.82</v>
      </c>
      <c r="U36" s="2"/>
      <c r="V36" s="7">
        <f t="shared" si="21"/>
        <v>0</v>
      </c>
      <c r="W36" s="2"/>
      <c r="X36" s="6">
        <f t="shared" si="22"/>
        <v>114668.62000000001</v>
      </c>
      <c r="Y36" s="2"/>
      <c r="Z36" s="7">
        <f t="shared" si="23"/>
        <v>-0.71341580030637375</v>
      </c>
    </row>
    <row r="37" spans="1:26" s="25" customFormat="1" outlineLevel="1" collapsed="1" x14ac:dyDescent="0.25">
      <c r="A37" s="26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271.31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-24.370000000000005</v>
      </c>
      <c r="M37" s="1"/>
      <c r="N37" s="5">
        <f t="shared" si="19"/>
        <v>-8.2420183982683998E-2</v>
      </c>
      <c r="O37" s="13"/>
      <c r="P37" s="1">
        <f>SUM(OSRRefP22_3x_0)</f>
        <v>2932.34</v>
      </c>
      <c r="Q37" s="1"/>
      <c r="R37" s="5">
        <f t="shared" si="20"/>
        <v>0</v>
      </c>
      <c r="S37" s="1"/>
      <c r="T37" s="1">
        <f>SUM(OSRRefT22_3x_0)</f>
        <v>2956.8</v>
      </c>
      <c r="U37" s="1"/>
      <c r="V37" s="5">
        <f t="shared" si="21"/>
        <v>0</v>
      </c>
      <c r="W37" s="1"/>
      <c r="X37" s="1">
        <f t="shared" si="22"/>
        <v>-24.460000000000036</v>
      </c>
      <c r="Y37" s="1"/>
      <c r="Z37" s="5">
        <f t="shared" si="23"/>
        <v>-8.2724567099567211E-3</v>
      </c>
    </row>
    <row r="38" spans="1:26" s="24" customFormat="1" hidden="1" outlineLevel="2" x14ac:dyDescent="0.25">
      <c r="A38" s="27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271.31</v>
      </c>
      <c r="E38" s="2"/>
      <c r="F38" s="7">
        <f t="shared" si="16"/>
        <v>0</v>
      </c>
      <c r="G38" s="2"/>
      <c r="H38" s="6">
        <v>295.68</v>
      </c>
      <c r="I38" s="2"/>
      <c r="J38" s="7">
        <f t="shared" si="17"/>
        <v>0</v>
      </c>
      <c r="K38" s="2"/>
      <c r="L38" s="6">
        <f t="shared" si="18"/>
        <v>-24.370000000000005</v>
      </c>
      <c r="M38" s="2"/>
      <c r="N38" s="7">
        <f t="shared" si="19"/>
        <v>-8.2420183982683998E-2</v>
      </c>
      <c r="O38" s="11"/>
      <c r="P38" s="6">
        <v>2932.34</v>
      </c>
      <c r="Q38" s="2"/>
      <c r="R38" s="7">
        <f t="shared" si="20"/>
        <v>0</v>
      </c>
      <c r="S38" s="2"/>
      <c r="T38" s="6">
        <v>2956.8</v>
      </c>
      <c r="U38" s="2"/>
      <c r="V38" s="7">
        <f t="shared" si="21"/>
        <v>0</v>
      </c>
      <c r="W38" s="2"/>
      <c r="X38" s="6">
        <f t="shared" si="22"/>
        <v>-24.460000000000036</v>
      </c>
      <c r="Y38" s="2"/>
      <c r="Z38" s="7">
        <f t="shared" si="23"/>
        <v>-8.2724567099567211E-3</v>
      </c>
    </row>
    <row r="39" spans="1:26" s="25" customFormat="1" outlineLevel="1" collapsed="1" x14ac:dyDescent="0.25">
      <c r="A39" s="26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-36.369999999999997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-36.369999999999997</v>
      </c>
      <c r="M39" s="1"/>
      <c r="N39" s="5">
        <f t="shared" si="19"/>
        <v>0</v>
      </c>
      <c r="O39" s="13"/>
      <c r="P39" s="1">
        <f>SUM(OSRRefP22_4x_0)</f>
        <v>30.15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30.15</v>
      </c>
      <c r="Y39" s="1"/>
      <c r="Z39" s="5">
        <f t="shared" si="23"/>
        <v>0</v>
      </c>
    </row>
    <row r="40" spans="1:26" s="24" customFormat="1" hidden="1" outlineLevel="2" x14ac:dyDescent="0.25">
      <c r="A40" s="27"/>
      <c r="B40" s="11" t="str">
        <f>CONCATENATE("          ", "6277", " - ", "EMPLOYEE APPRECIATION")</f>
        <v xml:space="preserve">          6277 - EMPLOYEE APPRECIATION</v>
      </c>
      <c r="C40" s="11"/>
      <c r="D40" s="6">
        <v>-36.369999999999997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-36.369999999999997</v>
      </c>
      <c r="M40" s="2"/>
      <c r="N40" s="7">
        <f t="shared" si="19"/>
        <v>0</v>
      </c>
      <c r="O40" s="11"/>
      <c r="P40" s="6">
        <v>30.15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30.15</v>
      </c>
      <c r="Y40" s="2"/>
      <c r="Z40" s="7">
        <f t="shared" si="23"/>
        <v>0</v>
      </c>
    </row>
    <row r="41" spans="1:26" s="25" customFormat="1" outlineLevel="1" collapsed="1" x14ac:dyDescent="0.25">
      <c r="A41" s="26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SUM(OSRRefP22_5x_0)</f>
        <v>1373.22</v>
      </c>
      <c r="Q41" s="1"/>
      <c r="R41" s="5">
        <f t="shared" si="20"/>
        <v>0</v>
      </c>
      <c r="S41" s="1"/>
      <c r="T41" s="1">
        <f>SUM(OSRRefT22_5x_0)</f>
        <v>0</v>
      </c>
      <c r="U41" s="1"/>
      <c r="V41" s="5">
        <f t="shared" si="21"/>
        <v>0</v>
      </c>
      <c r="W41" s="1"/>
      <c r="X41" s="1">
        <f t="shared" si="22"/>
        <v>1373.22</v>
      </c>
      <c r="Y41" s="1"/>
      <c r="Z41" s="5">
        <f t="shared" si="23"/>
        <v>0</v>
      </c>
    </row>
    <row r="42" spans="1:26" s="24" customFormat="1" hidden="1" outlineLevel="2" x14ac:dyDescent="0.25">
      <c r="A42" s="27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1373.22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1373.22</v>
      </c>
      <c r="Y42" s="2"/>
      <c r="Z42" s="7">
        <f t="shared" si="23"/>
        <v>0</v>
      </c>
    </row>
    <row r="43" spans="1:26" s="25" customFormat="1" outlineLevel="1" collapsed="1" x14ac:dyDescent="0.25">
      <c r="A43" s="26"/>
      <c r="B43" s="13" t="str">
        <f>CONCATENATE("     ","Supplies                                          ")</f>
        <v xml:space="preserve">     Supplies                                          </v>
      </c>
      <c r="C43" s="13"/>
      <c r="D43" s="1">
        <f>SUM(OSRRefD22_6x_0)</f>
        <v>387.52</v>
      </c>
      <c r="E43" s="1"/>
      <c r="F43" s="5">
        <f t="shared" si="16"/>
        <v>0</v>
      </c>
      <c r="G43" s="1"/>
      <c r="H43" s="1">
        <f>SUM(OSRRefH22_6x_0)</f>
        <v>0</v>
      </c>
      <c r="I43" s="1"/>
      <c r="J43" s="5">
        <f t="shared" si="17"/>
        <v>0</v>
      </c>
      <c r="K43" s="1"/>
      <c r="L43" s="1">
        <f t="shared" si="18"/>
        <v>387.52</v>
      </c>
      <c r="M43" s="1"/>
      <c r="N43" s="5">
        <f t="shared" si="19"/>
        <v>0</v>
      </c>
      <c r="O43" s="13"/>
      <c r="P43" s="1">
        <f>SUM(OSRRefP22_6x_0)</f>
        <v>2193.56</v>
      </c>
      <c r="Q43" s="1"/>
      <c r="R43" s="5">
        <f t="shared" si="20"/>
        <v>0</v>
      </c>
      <c r="S43" s="1"/>
      <c r="T43" s="1">
        <f>SUM(OSRRefT22_6x_0)</f>
        <v>684.2</v>
      </c>
      <c r="U43" s="1"/>
      <c r="V43" s="5">
        <f t="shared" si="21"/>
        <v>0</v>
      </c>
      <c r="W43" s="1"/>
      <c r="X43" s="1">
        <f t="shared" si="22"/>
        <v>1509.36</v>
      </c>
      <c r="Y43" s="1"/>
      <c r="Z43" s="5">
        <f t="shared" si="23"/>
        <v>2.2060216311020167</v>
      </c>
    </row>
    <row r="44" spans="1:26" s="24" customFormat="1" hidden="1" outlineLevel="2" x14ac:dyDescent="0.25">
      <c r="A44" s="27"/>
      <c r="B44" s="11" t="str">
        <f>CONCATENATE("          ", "6241", " - ", "OFFICE EXPENSE")</f>
        <v xml:space="preserve">          6241 - OFFICE EXPENSE</v>
      </c>
      <c r="C44" s="11"/>
      <c r="D44" s="6">
        <v>387.52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387.52</v>
      </c>
      <c r="M44" s="2"/>
      <c r="N44" s="7">
        <f t="shared" si="19"/>
        <v>0</v>
      </c>
      <c r="O44" s="11"/>
      <c r="P44" s="6">
        <v>1847.14</v>
      </c>
      <c r="Q44" s="2"/>
      <c r="R44" s="7">
        <f t="shared" si="20"/>
        <v>0</v>
      </c>
      <c r="S44" s="2"/>
      <c r="T44" s="6">
        <v>684.2</v>
      </c>
      <c r="U44" s="2"/>
      <c r="V44" s="7">
        <f t="shared" si="21"/>
        <v>0</v>
      </c>
      <c r="W44" s="2"/>
      <c r="X44" s="6">
        <f t="shared" si="22"/>
        <v>1162.94</v>
      </c>
      <c r="Y44" s="2"/>
      <c r="Z44" s="7">
        <f t="shared" si="23"/>
        <v>1.6997076878105817</v>
      </c>
    </row>
    <row r="45" spans="1:26" s="24" customFormat="1" hidden="1" outlineLevel="2" x14ac:dyDescent="0.25">
      <c r="A45" s="27"/>
      <c r="B45" s="11" t="str">
        <f>CONCATENATE("          ", "6245", " - ", "PRINTING")</f>
        <v xml:space="preserve">          6245 - PRINTING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>
        <v>346.42</v>
      </c>
      <c r="Q45" s="2"/>
      <c r="R45" s="7">
        <f t="shared" si="20"/>
        <v>0</v>
      </c>
      <c r="S45" s="2"/>
      <c r="T45" s="6"/>
      <c r="U45" s="2"/>
      <c r="V45" s="7">
        <f t="shared" si="21"/>
        <v>0</v>
      </c>
      <c r="W45" s="2"/>
      <c r="X45" s="6">
        <f t="shared" si="22"/>
        <v>346.42</v>
      </c>
      <c r="Y45" s="2"/>
      <c r="Z45" s="7">
        <f t="shared" si="23"/>
        <v>0</v>
      </c>
    </row>
    <row r="46" spans="1:26" s="25" customFormat="1" outlineLevel="1" collapsed="1" x14ac:dyDescent="0.25">
      <c r="A46" s="26"/>
      <c r="B46" s="13" t="str">
        <f>CONCATENATE("     ","Telephone/Data Lines                              ")</f>
        <v xml:space="preserve">     Telephone/Data Lines                              </v>
      </c>
      <c r="C46" s="13"/>
      <c r="D46" s="1">
        <f>SUM(OSRRefD22_7x_0)</f>
        <v>36</v>
      </c>
      <c r="E46" s="1"/>
      <c r="F46" s="5">
        <f t="shared" ref="F46:F49" si="24">IF(D$12=0,0,D46/D$12)</f>
        <v>0</v>
      </c>
      <c r="G46" s="1"/>
      <c r="H46" s="1">
        <f>SUM(OSRRefH22_7x_0)</f>
        <v>124.85</v>
      </c>
      <c r="I46" s="1"/>
      <c r="J46" s="5">
        <f t="shared" ref="J46:J49" si="25">IF(H$12=0,0,H46/H$12)</f>
        <v>0</v>
      </c>
      <c r="K46" s="1"/>
      <c r="L46" s="1">
        <f t="shared" ref="L46:L49" si="26">+D46-H46</f>
        <v>-88.85</v>
      </c>
      <c r="M46" s="1"/>
      <c r="N46" s="5">
        <f t="shared" ref="N46:N49" si="27">IF(H46=0,0,L46/H46)</f>
        <v>-0.71165398478173802</v>
      </c>
      <c r="O46" s="13"/>
      <c r="P46" s="1">
        <f>SUM(OSRRefP22_7x_0)</f>
        <v>660.38</v>
      </c>
      <c r="Q46" s="1"/>
      <c r="R46" s="5">
        <f t="shared" ref="R46:R49" si="28">IF(P$12=0,0,P46/P$12)</f>
        <v>0</v>
      </c>
      <c r="S46" s="1"/>
      <c r="T46" s="1">
        <f>SUM(OSRRefT22_7x_0)</f>
        <v>1376.17</v>
      </c>
      <c r="U46" s="1"/>
      <c r="V46" s="5">
        <f t="shared" ref="V46:V49" si="29">IF(T$12=0,0,T46/T$12)</f>
        <v>0</v>
      </c>
      <c r="W46" s="1"/>
      <c r="X46" s="1">
        <f t="shared" ref="X46:X49" si="30">+P46-T46</f>
        <v>-715.79000000000008</v>
      </c>
      <c r="Y46" s="1"/>
      <c r="Z46" s="5">
        <f t="shared" ref="Z46:Z49" si="31">IF(T46=0,0,X46/T46)</f>
        <v>-0.5201319604409339</v>
      </c>
    </row>
    <row r="47" spans="1:26" s="24" customFormat="1" hidden="1" outlineLevel="2" x14ac:dyDescent="0.25">
      <c r="A47" s="27"/>
      <c r="B47" s="11" t="str">
        <f>CONCATENATE("          ", "6309", " - ", "TELEPHONE")</f>
        <v xml:space="preserve">          6309 - TELEPHONE</v>
      </c>
      <c r="C47" s="11"/>
      <c r="D47" s="6">
        <v>36</v>
      </c>
      <c r="E47" s="2"/>
      <c r="F47" s="7">
        <f t="shared" si="24"/>
        <v>0</v>
      </c>
      <c r="G47" s="2"/>
      <c r="H47" s="6">
        <v>124.85</v>
      </c>
      <c r="I47" s="2"/>
      <c r="J47" s="7">
        <f t="shared" si="25"/>
        <v>0</v>
      </c>
      <c r="K47" s="2"/>
      <c r="L47" s="6">
        <f t="shared" si="26"/>
        <v>-88.85</v>
      </c>
      <c r="M47" s="2"/>
      <c r="N47" s="7">
        <f t="shared" si="27"/>
        <v>-0.71165398478173802</v>
      </c>
      <c r="O47" s="11"/>
      <c r="P47" s="6">
        <v>660.38</v>
      </c>
      <c r="Q47" s="2"/>
      <c r="R47" s="7">
        <f t="shared" si="28"/>
        <v>0</v>
      </c>
      <c r="S47" s="2"/>
      <c r="T47" s="6">
        <v>1376.17</v>
      </c>
      <c r="U47" s="2"/>
      <c r="V47" s="7">
        <f t="shared" si="29"/>
        <v>0</v>
      </c>
      <c r="W47" s="2"/>
      <c r="X47" s="6">
        <f t="shared" si="30"/>
        <v>-715.79000000000008</v>
      </c>
      <c r="Y47" s="2"/>
      <c r="Z47" s="7">
        <f t="shared" si="31"/>
        <v>-0.5201319604409339</v>
      </c>
    </row>
    <row r="48" spans="1:26" s="25" customFormat="1" outlineLevel="1" collapsed="1" x14ac:dyDescent="0.25">
      <c r="A48" s="26"/>
      <c r="B48" s="13" t="str">
        <f>CONCATENATE("     ","Travel                                            ")</f>
        <v xml:space="preserve">     Travel                                            </v>
      </c>
      <c r="C48" s="13"/>
      <c r="D48" s="1">
        <f>SUM(OSRRefD22_8x_0)</f>
        <v>0</v>
      </c>
      <c r="E48" s="1"/>
      <c r="F48" s="5">
        <f t="shared" si="24"/>
        <v>0</v>
      </c>
      <c r="G48" s="1"/>
      <c r="H48" s="1">
        <f>SUM(OSRRefH22_8x_0)</f>
        <v>42.61</v>
      </c>
      <c r="I48" s="1"/>
      <c r="J48" s="5">
        <f t="shared" si="25"/>
        <v>0</v>
      </c>
      <c r="K48" s="1"/>
      <c r="L48" s="1">
        <f t="shared" si="26"/>
        <v>-42.61</v>
      </c>
      <c r="M48" s="1"/>
      <c r="N48" s="5">
        <f t="shared" si="27"/>
        <v>-1</v>
      </c>
      <c r="O48" s="13"/>
      <c r="P48" s="1">
        <f>SUM(OSRRefP22_8x_0)</f>
        <v>3921.38</v>
      </c>
      <c r="Q48" s="1"/>
      <c r="R48" s="5">
        <f t="shared" si="28"/>
        <v>0</v>
      </c>
      <c r="S48" s="1"/>
      <c r="T48" s="1">
        <f>SUM(OSRRefT22_8x_0)</f>
        <v>1454.09</v>
      </c>
      <c r="U48" s="1"/>
      <c r="V48" s="5">
        <f t="shared" si="29"/>
        <v>0</v>
      </c>
      <c r="W48" s="1"/>
      <c r="X48" s="1">
        <f t="shared" si="30"/>
        <v>2467.29</v>
      </c>
      <c r="Y48" s="1"/>
      <c r="Z48" s="5">
        <f t="shared" si="31"/>
        <v>1.6967931833655414</v>
      </c>
    </row>
    <row r="49" spans="1:26" s="24" customFormat="1" hidden="1" outlineLevel="2" x14ac:dyDescent="0.25">
      <c r="A49" s="27"/>
      <c r="B49" s="11" t="str">
        <f>CONCATENATE("          ", "6292", " - ", "TRAVEL/CONFERENCE")</f>
        <v xml:space="preserve">          6292 - TRAVEL/CONFERENCE</v>
      </c>
      <c r="C49" s="11"/>
      <c r="D49" s="6"/>
      <c r="E49" s="2"/>
      <c r="F49" s="7">
        <f t="shared" si="24"/>
        <v>0</v>
      </c>
      <c r="G49" s="2"/>
      <c r="H49" s="6">
        <v>42.61</v>
      </c>
      <c r="I49" s="2"/>
      <c r="J49" s="7">
        <f t="shared" si="25"/>
        <v>0</v>
      </c>
      <c r="K49" s="2"/>
      <c r="L49" s="6">
        <f t="shared" si="26"/>
        <v>-42.61</v>
      </c>
      <c r="M49" s="2"/>
      <c r="N49" s="7">
        <f t="shared" si="27"/>
        <v>-1</v>
      </c>
      <c r="O49" s="11"/>
      <c r="P49" s="6">
        <v>3921.38</v>
      </c>
      <c r="Q49" s="2"/>
      <c r="R49" s="7">
        <f t="shared" si="28"/>
        <v>0</v>
      </c>
      <c r="S49" s="2"/>
      <c r="T49" s="6">
        <v>1454.09</v>
      </c>
      <c r="U49" s="2"/>
      <c r="V49" s="7">
        <f t="shared" si="29"/>
        <v>0</v>
      </c>
      <c r="W49" s="2"/>
      <c r="X49" s="6">
        <f t="shared" si="30"/>
        <v>2467.29</v>
      </c>
      <c r="Y49" s="2"/>
      <c r="Z49" s="7">
        <f t="shared" si="31"/>
        <v>1.6967931833655414</v>
      </c>
    </row>
    <row r="50" spans="1:26" s="53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9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3</v>
      </c>
      <c r="C53" s="28"/>
      <c r="D53" s="21">
        <f>+D16-D18+D51</f>
        <v>-12057.48</v>
      </c>
      <c r="E53" s="14"/>
      <c r="F53" s="20">
        <f>IF(D$12=0,0,D53/D$12)</f>
        <v>0</v>
      </c>
      <c r="G53" s="14"/>
      <c r="H53" s="21">
        <f>+H16-H18+H51</f>
        <v>2282.3500000000017</v>
      </c>
      <c r="I53" s="14"/>
      <c r="J53" s="20">
        <f>IF(H$12=0,0,H53/H$12)</f>
        <v>0</v>
      </c>
      <c r="K53" s="15"/>
      <c r="L53" s="21">
        <f>+D53-H53</f>
        <v>-14339.830000000002</v>
      </c>
      <c r="M53" s="15"/>
      <c r="N53" s="20">
        <f>IF(H53=0,0,L53/H53)</f>
        <v>-6.2829233027362106</v>
      </c>
      <c r="O53" s="29"/>
      <c r="P53" s="21">
        <f>+P16-P18+P51</f>
        <v>-89844.83</v>
      </c>
      <c r="Q53" s="14"/>
      <c r="R53" s="20">
        <f>IF(P$12=0,0,P53/P$12)</f>
        <v>0</v>
      </c>
      <c r="S53" s="14"/>
      <c r="T53" s="21">
        <f>+T16-T18+T51</f>
        <v>-62313.869999999981</v>
      </c>
      <c r="U53" s="14"/>
      <c r="V53" s="20">
        <f>IF(T$12=0,0,T53/T$12)</f>
        <v>0</v>
      </c>
      <c r="W53" s="15"/>
      <c r="X53" s="21">
        <f>+P53-T53</f>
        <v>-27530.960000000021</v>
      </c>
      <c r="Y53" s="15"/>
      <c r="Z53" s="20">
        <f>IF(T53=0,0,X53/T53)</f>
        <v>0.44181110882697588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1"/>
      <c r="B55" s="10" t="s">
        <v>13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4</v>
      </c>
      <c r="C57" s="28"/>
      <c r="D57" s="30">
        <f>+D53-D55</f>
        <v>-12057.48</v>
      </c>
      <c r="E57" s="14"/>
      <c r="F57" s="36">
        <f>IF(D$12=0,0,D57/D$12)</f>
        <v>0</v>
      </c>
      <c r="G57" s="14"/>
      <c r="H57" s="30">
        <f>+H53-H55</f>
        <v>2282.3500000000017</v>
      </c>
      <c r="I57" s="14"/>
      <c r="J57" s="36">
        <f>IF(H$12=0,0,H57/H$12)</f>
        <v>0</v>
      </c>
      <c r="K57" s="15"/>
      <c r="L57" s="30">
        <f>D57-H57</f>
        <v>-14339.830000000002</v>
      </c>
      <c r="M57" s="15"/>
      <c r="N57" s="36">
        <f>IF(H57=0,0,L57/H57)</f>
        <v>-6.2829233027362106</v>
      </c>
      <c r="O57" s="29"/>
      <c r="P57" s="30">
        <f>+P53-P55</f>
        <v>-89844.83</v>
      </c>
      <c r="Q57" s="14"/>
      <c r="R57" s="36">
        <f>IF(P$12=0,0,P57/P$12)</f>
        <v>0</v>
      </c>
      <c r="S57" s="14"/>
      <c r="T57" s="30">
        <f>+T53-T55</f>
        <v>-62313.869999999981</v>
      </c>
      <c r="U57" s="14"/>
      <c r="V57" s="36">
        <f>IF(T$12=0,0,T57/T$12)</f>
        <v>0</v>
      </c>
      <c r="W57" s="15"/>
      <c r="X57" s="30">
        <f>P57-T57</f>
        <v>-27530.960000000021</v>
      </c>
      <c r="Y57" s="15"/>
      <c r="Z57" s="36">
        <f>IF(T57=0,0,X57/T57)</f>
        <v>0.44181110882697588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8" t="s">
        <v>5</v>
      </c>
      <c r="C60" s="28"/>
      <c r="D60" s="31">
        <f>SUM(D57:D59)</f>
        <v>-12057.48</v>
      </c>
      <c r="E60" s="14"/>
      <c r="F60" s="32">
        <f>IF(D$12=0,0,D60/D$12)</f>
        <v>0</v>
      </c>
      <c r="G60" s="14"/>
      <c r="H60" s="31">
        <f>SUM(H57:H59)</f>
        <v>2282.3500000000017</v>
      </c>
      <c r="I60" s="14"/>
      <c r="J60" s="32">
        <f>IF(H$12=0,0,H60/H$12)</f>
        <v>0</v>
      </c>
      <c r="K60" s="15"/>
      <c r="L60" s="31">
        <f>+D60-H60</f>
        <v>-14339.830000000002</v>
      </c>
      <c r="M60" s="15"/>
      <c r="N60" s="32">
        <f>IF(H60=0,0,L60/H60)</f>
        <v>-6.2829233027362106</v>
      </c>
      <c r="O60" s="29"/>
      <c r="P60" s="31">
        <f>SUM(P57:P59)</f>
        <v>-89844.83</v>
      </c>
      <c r="Q60" s="14"/>
      <c r="R60" s="32">
        <f>IF(P$12=0,0,P60/P$12)</f>
        <v>0</v>
      </c>
      <c r="S60" s="14"/>
      <c r="T60" s="31">
        <f>SUM(T57:T59)</f>
        <v>-62313.869999999981</v>
      </c>
      <c r="U60" s="14"/>
      <c r="V60" s="32">
        <f>IF(T$12=0,0,T60/T$12)</f>
        <v>0</v>
      </c>
      <c r="W60" s="15"/>
      <c r="X60" s="31">
        <f>+P60-T60</f>
        <v>-27530.960000000021</v>
      </c>
      <c r="Y60" s="15"/>
      <c r="Z60" s="32">
        <f>IF(T60=0,0,X60/T60)</f>
        <v>0.44181110882697588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54">
        <v>43965.470797106478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59" t="s">
        <v>313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61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4:24" x14ac:dyDescent="0.25"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164881.85999999999</v>
      </c>
      <c r="E12" s="4"/>
      <c r="F12" s="12"/>
      <c r="G12" s="4"/>
      <c r="H12" s="4">
        <f>SUM(OSRRefH13x_0)</f>
        <v>930605.36999999988</v>
      </c>
      <c r="I12" s="4"/>
      <c r="J12" s="12"/>
      <c r="K12" s="4"/>
      <c r="L12" s="4">
        <f t="shared" ref="L12:L117" si="0">+D12-H12</f>
        <v>-765723.50999999989</v>
      </c>
      <c r="M12" s="4"/>
      <c r="N12" s="12">
        <f t="shared" ref="N12:N117" si="1">IF(H12=0,0,L12/H12)</f>
        <v>-0.82282300821023635</v>
      </c>
      <c r="O12" s="10"/>
      <c r="P12" s="4">
        <f>SUM(OSRRefP13x_0)</f>
        <v>11127705.469999999</v>
      </c>
      <c r="Q12" s="4"/>
      <c r="R12" s="12"/>
      <c r="S12" s="4"/>
      <c r="T12" s="4">
        <f>SUM(OSRRefT13x_0)</f>
        <v>13211686.710000008</v>
      </c>
      <c r="U12" s="4"/>
      <c r="V12" s="12"/>
      <c r="W12" s="4"/>
      <c r="X12" s="4">
        <f t="shared" ref="X12:X117" si="2">+P12-T12</f>
        <v>-2083981.2400000095</v>
      </c>
      <c r="Y12" s="4"/>
      <c r="Z12" s="12">
        <f t="shared" ref="Z12:Z117" si="3">IF(T12=0,0,X12/T12)</f>
        <v>-0.15773771250741445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--1084.45</f>
        <v>1084.45</v>
      </c>
      <c r="E14" s="2"/>
      <c r="F14" s="19"/>
      <c r="G14" s="2"/>
      <c r="H14" s="2">
        <f>--5639.51</f>
        <v>5639.51</v>
      </c>
      <c r="I14" s="2"/>
      <c r="J14" s="19"/>
      <c r="K14" s="2"/>
      <c r="L14" s="2">
        <f t="shared" si="0"/>
        <v>-4555.0600000000004</v>
      </c>
      <c r="M14" s="2"/>
      <c r="N14" s="19">
        <f t="shared" si="1"/>
        <v>-0.80770492471863697</v>
      </c>
      <c r="O14" s="11"/>
      <c r="P14" s="2">
        <f>--2397977.73</f>
        <v>2397977.73</v>
      </c>
      <c r="Q14" s="2"/>
      <c r="R14" s="19"/>
      <c r="S14" s="2"/>
      <c r="T14" s="2">
        <f>--3061354.17</f>
        <v>3061354.17</v>
      </c>
      <c r="U14" s="2"/>
      <c r="V14" s="19"/>
      <c r="W14" s="2"/>
      <c r="X14" s="2">
        <f t="shared" si="2"/>
        <v>-663376.43999999994</v>
      </c>
      <c r="Y14" s="2"/>
      <c r="Z14" s="19">
        <f t="shared" si="3"/>
        <v>-0.21669379077429646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--602.5</f>
        <v>602.5</v>
      </c>
      <c r="E15" s="2"/>
      <c r="F15" s="19"/>
      <c r="G15" s="2"/>
      <c r="H15" s="2">
        <f>--2522.75</f>
        <v>2522.75</v>
      </c>
      <c r="I15" s="2"/>
      <c r="J15" s="19"/>
      <c r="K15" s="2"/>
      <c r="L15" s="2">
        <f t="shared" si="0"/>
        <v>-1920.25</v>
      </c>
      <c r="M15" s="2"/>
      <c r="N15" s="19">
        <f t="shared" si="1"/>
        <v>-0.76117332276285798</v>
      </c>
      <c r="O15" s="11"/>
      <c r="P15" s="2">
        <f>--1244917.19</f>
        <v>1244917.19</v>
      </c>
      <c r="Q15" s="2"/>
      <c r="R15" s="19"/>
      <c r="S15" s="2"/>
      <c r="T15" s="2">
        <f>--1363656.39</f>
        <v>1363656.39</v>
      </c>
      <c r="U15" s="2"/>
      <c r="V15" s="19"/>
      <c r="W15" s="2"/>
      <c r="X15" s="2">
        <f t="shared" si="2"/>
        <v>-118739.19999999995</v>
      </c>
      <c r="Y15" s="2"/>
      <c r="Z15" s="19">
        <f t="shared" si="3"/>
        <v>-8.7074134562593122E-2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 t="shared" ref="H16:H18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18547.239999999998</v>
      </c>
      <c r="Y16" s="2"/>
      <c r="Z16" s="19">
        <f t="shared" si="3"/>
        <v>1.2244301921420153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--18.36</f>
        <v>18.36</v>
      </c>
      <c r="E19" s="2"/>
      <c r="F19" s="19"/>
      <c r="G19" s="2"/>
      <c r="H19" s="2">
        <f>--2215.06</f>
        <v>2215.06</v>
      </c>
      <c r="I19" s="2"/>
      <c r="J19" s="19"/>
      <c r="K19" s="2"/>
      <c r="L19" s="2">
        <f t="shared" si="0"/>
        <v>-2196.6999999999998</v>
      </c>
      <c r="M19" s="2"/>
      <c r="N19" s="19">
        <f t="shared" si="1"/>
        <v>-0.99171128547307963</v>
      </c>
      <c r="O19" s="11"/>
      <c r="P19" s="2">
        <f>--2713.36</f>
        <v>2713.36</v>
      </c>
      <c r="Q19" s="2"/>
      <c r="R19" s="19"/>
      <c r="S19" s="2"/>
      <c r="T19" s="2">
        <f>--6340.42</f>
        <v>6340.42</v>
      </c>
      <c r="U19" s="2"/>
      <c r="V19" s="19"/>
      <c r="W19" s="2"/>
      <c r="X19" s="2">
        <f t="shared" si="2"/>
        <v>-3627.06</v>
      </c>
      <c r="Y19" s="2"/>
      <c r="Z19" s="19">
        <f t="shared" si="3"/>
        <v>-0.57205358635547798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0</f>
        <v>0</v>
      </c>
      <c r="E20" s="2"/>
      <c r="F20" s="19"/>
      <c r="G20" s="2"/>
      <c r="H20" s="2">
        <f>--151.13</f>
        <v>151.13</v>
      </c>
      <c r="I20" s="2"/>
      <c r="J20" s="19"/>
      <c r="K20" s="2"/>
      <c r="L20" s="2">
        <f t="shared" si="0"/>
        <v>-151.13</v>
      </c>
      <c r="M20" s="2"/>
      <c r="N20" s="19">
        <f t="shared" si="1"/>
        <v>-1</v>
      </c>
      <c r="O20" s="11"/>
      <c r="P20" s="2">
        <f>--1219.18</f>
        <v>1219.18</v>
      </c>
      <c r="Q20" s="2"/>
      <c r="R20" s="19"/>
      <c r="S20" s="2"/>
      <c r="T20" s="2">
        <f>--2032.27</f>
        <v>2032.27</v>
      </c>
      <c r="U20" s="2"/>
      <c r="V20" s="19"/>
      <c r="W20" s="2"/>
      <c r="X20" s="2">
        <f t="shared" si="2"/>
        <v>-813.08999999999992</v>
      </c>
      <c r="Y20" s="2"/>
      <c r="Z20" s="19">
        <f t="shared" si="3"/>
        <v>-0.40008955502959742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--64.95</f>
        <v>64.95</v>
      </c>
      <c r="E21" s="2"/>
      <c r="F21" s="19"/>
      <c r="G21" s="2"/>
      <c r="H21" s="2">
        <f>--20.89</f>
        <v>20.89</v>
      </c>
      <c r="I21" s="2"/>
      <c r="J21" s="19"/>
      <c r="K21" s="2"/>
      <c r="L21" s="2">
        <f t="shared" si="0"/>
        <v>44.06</v>
      </c>
      <c r="M21" s="2"/>
      <c r="N21" s="19">
        <f t="shared" si="1"/>
        <v>2.1091431306845383</v>
      </c>
      <c r="O21" s="11"/>
      <c r="P21" s="2">
        <f>--347.52</f>
        <v>347.52</v>
      </c>
      <c r="Q21" s="2"/>
      <c r="R21" s="19"/>
      <c r="S21" s="2"/>
      <c r="T21" s="2">
        <f>--717.61</f>
        <v>717.61</v>
      </c>
      <c r="U21" s="2"/>
      <c r="V21" s="19"/>
      <c r="W21" s="2"/>
      <c r="X21" s="2">
        <f t="shared" si="2"/>
        <v>-370.09000000000003</v>
      </c>
      <c r="Y21" s="2"/>
      <c r="Z21" s="19">
        <f t="shared" si="3"/>
        <v>-0.5157258120706234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ref="D22:D24" si="6">0</f>
        <v>0</v>
      </c>
      <c r="E22" s="2"/>
      <c r="F22" s="19"/>
      <c r="G22" s="2"/>
      <c r="H22" s="2">
        <f>--243.29</f>
        <v>243.29</v>
      </c>
      <c r="I22" s="2"/>
      <c r="J22" s="19"/>
      <c r="K22" s="2"/>
      <c r="L22" s="2">
        <f t="shared" si="0"/>
        <v>-243.29</v>
      </c>
      <c r="M22" s="2"/>
      <c r="N22" s="19">
        <f t="shared" si="1"/>
        <v>-1</v>
      </c>
      <c r="O22" s="11"/>
      <c r="P22" s="2">
        <f>--4154.31</f>
        <v>4154.3100000000004</v>
      </c>
      <c r="Q22" s="2"/>
      <c r="R22" s="19"/>
      <c r="S22" s="2"/>
      <c r="T22" s="2">
        <f>--6075.08</f>
        <v>6075.08</v>
      </c>
      <c r="U22" s="2"/>
      <c r="V22" s="19"/>
      <c r="W22" s="2"/>
      <c r="X22" s="2">
        <f t="shared" si="2"/>
        <v>-1920.7699999999995</v>
      </c>
      <c r="Y22" s="2"/>
      <c r="Z22" s="19">
        <f t="shared" si="3"/>
        <v>-0.31617196810576975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6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6"/>
        <v>0</v>
      </c>
      <c r="E24" s="2"/>
      <c r="F24" s="19"/>
      <c r="G24" s="2"/>
      <c r="H24" s="2">
        <f>--3109.67</f>
        <v>3109.67</v>
      </c>
      <c r="I24" s="2"/>
      <c r="J24" s="19"/>
      <c r="K24" s="2"/>
      <c r="L24" s="2">
        <f t="shared" si="0"/>
        <v>-3109.67</v>
      </c>
      <c r="M24" s="2"/>
      <c r="N24" s="19">
        <f t="shared" si="1"/>
        <v>-1</v>
      </c>
      <c r="O24" s="11"/>
      <c r="P24" s="2">
        <f>--54702.86</f>
        <v>54702.86</v>
      </c>
      <c r="Q24" s="2"/>
      <c r="R24" s="19"/>
      <c r="S24" s="2"/>
      <c r="T24" s="2">
        <f>--56618.67</f>
        <v>56618.67</v>
      </c>
      <c r="U24" s="2"/>
      <c r="V24" s="19"/>
      <c r="W24" s="2"/>
      <c r="X24" s="2">
        <f t="shared" si="2"/>
        <v>-1915.8099999999977</v>
      </c>
      <c r="Y24" s="2"/>
      <c r="Z24" s="19">
        <f t="shared" si="3"/>
        <v>-3.3837071764490363E-2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--81.65</f>
        <v>81.650000000000006</v>
      </c>
      <c r="E25" s="2"/>
      <c r="F25" s="19"/>
      <c r="G25" s="2"/>
      <c r="H25" s="2">
        <f>--6211.4</f>
        <v>6211.4</v>
      </c>
      <c r="I25" s="2"/>
      <c r="J25" s="19"/>
      <c r="K25" s="2"/>
      <c r="L25" s="2">
        <f t="shared" si="0"/>
        <v>-6129.75</v>
      </c>
      <c r="M25" s="2"/>
      <c r="N25" s="19">
        <f t="shared" si="1"/>
        <v>-0.98685481533953701</v>
      </c>
      <c r="O25" s="11"/>
      <c r="P25" s="2">
        <f>--79949.71</f>
        <v>79949.710000000006</v>
      </c>
      <c r="Q25" s="2"/>
      <c r="R25" s="19"/>
      <c r="S25" s="2"/>
      <c r="T25" s="2">
        <f>--74938.78</f>
        <v>74938.78</v>
      </c>
      <c r="U25" s="2"/>
      <c r="V25" s="19"/>
      <c r="W25" s="2"/>
      <c r="X25" s="2">
        <f t="shared" si="2"/>
        <v>5010.9300000000076</v>
      </c>
      <c r="Y25" s="2"/>
      <c r="Z25" s="19">
        <f t="shared" si="3"/>
        <v>6.6866981287926064E-2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--1399.98</f>
        <v>1399.98</v>
      </c>
      <c r="E26" s="2"/>
      <c r="F26" s="19"/>
      <c r="G26" s="2"/>
      <c r="H26" s="2">
        <f>--14945.52</f>
        <v>14945.52</v>
      </c>
      <c r="I26" s="2"/>
      <c r="J26" s="19"/>
      <c r="K26" s="2"/>
      <c r="L26" s="2">
        <f t="shared" si="0"/>
        <v>-13545.54</v>
      </c>
      <c r="M26" s="2"/>
      <c r="N26" s="19">
        <f t="shared" si="1"/>
        <v>-0.90632778250606205</v>
      </c>
      <c r="O26" s="11"/>
      <c r="P26" s="2">
        <f>--271246.56</f>
        <v>271246.56</v>
      </c>
      <c r="Q26" s="2"/>
      <c r="R26" s="19"/>
      <c r="S26" s="2"/>
      <c r="T26" s="2">
        <f>--276703.99</f>
        <v>276703.99</v>
      </c>
      <c r="U26" s="2"/>
      <c r="V26" s="19"/>
      <c r="W26" s="2"/>
      <c r="X26" s="2">
        <f t="shared" si="2"/>
        <v>-5457.429999999993</v>
      </c>
      <c r="Y26" s="2"/>
      <c r="Z26" s="19">
        <f t="shared" si="3"/>
        <v>-1.9722989899784219E-2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--168.82</f>
        <v>168.82</v>
      </c>
      <c r="E27" s="2"/>
      <c r="F27" s="19"/>
      <c r="G27" s="2"/>
      <c r="H27" s="2">
        <f>--29042.56</f>
        <v>29042.560000000001</v>
      </c>
      <c r="I27" s="2"/>
      <c r="J27" s="19"/>
      <c r="K27" s="2"/>
      <c r="L27" s="2">
        <f t="shared" si="0"/>
        <v>-28873.74</v>
      </c>
      <c r="M27" s="2"/>
      <c r="N27" s="19">
        <f t="shared" si="1"/>
        <v>-0.99418715154586923</v>
      </c>
      <c r="O27" s="11"/>
      <c r="P27" s="2">
        <f>--292765.87</f>
        <v>292765.87</v>
      </c>
      <c r="Q27" s="2"/>
      <c r="R27" s="19"/>
      <c r="S27" s="2"/>
      <c r="T27" s="2">
        <f>--334048.12</f>
        <v>334048.12</v>
      </c>
      <c r="U27" s="2"/>
      <c r="V27" s="19"/>
      <c r="W27" s="2"/>
      <c r="X27" s="2">
        <f t="shared" si="2"/>
        <v>-41282.25</v>
      </c>
      <c r="Y27" s="2"/>
      <c r="Z27" s="19">
        <f t="shared" si="3"/>
        <v>-0.12358174624661861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0</f>
        <v>0</v>
      </c>
      <c r="E28" s="2"/>
      <c r="F28" s="19"/>
      <c r="G28" s="2"/>
      <c r="H28" s="2">
        <f>--91.57</f>
        <v>91.57</v>
      </c>
      <c r="I28" s="2"/>
      <c r="J28" s="19"/>
      <c r="K28" s="2"/>
      <c r="L28" s="2">
        <f t="shared" si="0"/>
        <v>-91.57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--658.7</f>
        <v>658.7</v>
      </c>
      <c r="U28" s="2"/>
      <c r="V28" s="19"/>
      <c r="W28" s="2"/>
      <c r="X28" s="2">
        <f t="shared" si="2"/>
        <v>-172.36000000000007</v>
      </c>
      <c r="Y28" s="2"/>
      <c r="Z28" s="19">
        <f t="shared" si="3"/>
        <v>-0.26166691969029915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--1.35</f>
        <v>1.35</v>
      </c>
      <c r="E29" s="2"/>
      <c r="F29" s="19"/>
      <c r="G29" s="2"/>
      <c r="H29" s="2">
        <f>--35395.97</f>
        <v>35395.97</v>
      </c>
      <c r="I29" s="2"/>
      <c r="J29" s="19"/>
      <c r="K29" s="2"/>
      <c r="L29" s="2">
        <f t="shared" si="0"/>
        <v>-35394.620000000003</v>
      </c>
      <c r="M29" s="2"/>
      <c r="N29" s="19">
        <f t="shared" si="1"/>
        <v>-0.99996186006486054</v>
      </c>
      <c r="O29" s="11"/>
      <c r="P29" s="2">
        <f>--277654.52</f>
        <v>277654.52</v>
      </c>
      <c r="Q29" s="2"/>
      <c r="R29" s="19"/>
      <c r="S29" s="2"/>
      <c r="T29" s="2">
        <f>--341826.43</f>
        <v>341826.43</v>
      </c>
      <c r="U29" s="2"/>
      <c r="V29" s="19"/>
      <c r="W29" s="2"/>
      <c r="X29" s="2">
        <f t="shared" si="2"/>
        <v>-64171.909999999974</v>
      </c>
      <c r="Y29" s="2"/>
      <c r="Z29" s="19">
        <f t="shared" si="3"/>
        <v>-0.18773244070097206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0</f>
        <v>0</v>
      </c>
      <c r="E30" s="2"/>
      <c r="F30" s="19"/>
      <c r="G30" s="2"/>
      <c r="H30" s="2">
        <f>--38.96</f>
        <v>38.96</v>
      </c>
      <c r="I30" s="2"/>
      <c r="J30" s="19"/>
      <c r="K30" s="2"/>
      <c r="L30" s="2">
        <f t="shared" si="0"/>
        <v>-38.96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--264.05</f>
        <v>264.05</v>
      </c>
      <c r="U30" s="2"/>
      <c r="V30" s="19"/>
      <c r="W30" s="2"/>
      <c r="X30" s="2">
        <f t="shared" si="2"/>
        <v>-58.52000000000001</v>
      </c>
      <c r="Y30" s="2"/>
      <c r="Z30" s="19">
        <f t="shared" si="3"/>
        <v>-0.22162469229312634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--3.4</f>
        <v>3.4</v>
      </c>
      <c r="E31" s="2"/>
      <c r="F31" s="19"/>
      <c r="G31" s="2"/>
      <c r="H31" s="2">
        <f>--1565.32</f>
        <v>1565.32</v>
      </c>
      <c r="I31" s="2"/>
      <c r="J31" s="19"/>
      <c r="K31" s="2"/>
      <c r="L31" s="2">
        <f t="shared" si="0"/>
        <v>-1561.9199999999998</v>
      </c>
      <c r="M31" s="2"/>
      <c r="N31" s="19">
        <f t="shared" si="1"/>
        <v>-0.9978279201696777</v>
      </c>
      <c r="O31" s="11"/>
      <c r="P31" s="2">
        <f>--10925.46</f>
        <v>10925.46</v>
      </c>
      <c r="Q31" s="2"/>
      <c r="R31" s="19"/>
      <c r="S31" s="2"/>
      <c r="T31" s="2">
        <f>--10714.45</f>
        <v>10714.45</v>
      </c>
      <c r="U31" s="2"/>
      <c r="V31" s="19"/>
      <c r="W31" s="2"/>
      <c r="X31" s="2">
        <f t="shared" si="2"/>
        <v>211.0099999999984</v>
      </c>
      <c r="Y31" s="2"/>
      <c r="Z31" s="19">
        <f t="shared" si="3"/>
        <v>1.9693964692541231E-2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ref="D32:D33" si="7">0</f>
        <v>0</v>
      </c>
      <c r="E32" s="2"/>
      <c r="F32" s="19"/>
      <c r="G32" s="2"/>
      <c r="H32" s="2">
        <f>--218.46</f>
        <v>218.46</v>
      </c>
      <c r="I32" s="2"/>
      <c r="J32" s="19"/>
      <c r="K32" s="2"/>
      <c r="L32" s="2">
        <f t="shared" si="0"/>
        <v>-218.46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--2566.74</f>
        <v>2566.7399999999998</v>
      </c>
      <c r="U32" s="2"/>
      <c r="V32" s="19"/>
      <c r="W32" s="2"/>
      <c r="X32" s="2">
        <f t="shared" si="2"/>
        <v>-584.89999999999986</v>
      </c>
      <c r="Y32" s="2"/>
      <c r="Z32" s="19">
        <f t="shared" si="3"/>
        <v>-0.22787660612294192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--128.18</f>
        <v>128.18</v>
      </c>
      <c r="I33" s="2"/>
      <c r="J33" s="19"/>
      <c r="K33" s="2"/>
      <c r="L33" s="2">
        <f t="shared" si="0"/>
        <v>-128.18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--805.99</f>
        <v>805.99</v>
      </c>
      <c r="U33" s="2"/>
      <c r="V33" s="19"/>
      <c r="W33" s="2"/>
      <c r="X33" s="2">
        <f t="shared" si="2"/>
        <v>-292.48</v>
      </c>
      <c r="Y33" s="2"/>
      <c r="Z33" s="19">
        <f t="shared" si="3"/>
        <v>-0.36288291418007668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--67974.91</f>
        <v>67974.91</v>
      </c>
      <c r="E34" s="2"/>
      <c r="F34" s="19"/>
      <c r="G34" s="2"/>
      <c r="H34" s="2">
        <f>--278547.01</f>
        <v>278547.01</v>
      </c>
      <c r="I34" s="2"/>
      <c r="J34" s="19"/>
      <c r="K34" s="2"/>
      <c r="L34" s="2">
        <f t="shared" si="0"/>
        <v>-210572.1</v>
      </c>
      <c r="M34" s="2"/>
      <c r="N34" s="19">
        <f t="shared" si="1"/>
        <v>-0.75596611142944958</v>
      </c>
      <c r="O34" s="11"/>
      <c r="P34" s="2">
        <f>--1844103.4</f>
        <v>1844103.4</v>
      </c>
      <c r="Q34" s="2"/>
      <c r="R34" s="19"/>
      <c r="S34" s="2"/>
      <c r="T34" s="2">
        <f>--2128410.88</f>
        <v>2128410.88</v>
      </c>
      <c r="U34" s="2"/>
      <c r="V34" s="19"/>
      <c r="W34" s="2"/>
      <c r="X34" s="2">
        <f t="shared" si="2"/>
        <v>-284307.48</v>
      </c>
      <c r="Y34" s="2"/>
      <c r="Z34" s="19">
        <f t="shared" si="3"/>
        <v>-0.13357734762190276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--14115.57</f>
        <v>14115.57</v>
      </c>
      <c r="E35" s="2"/>
      <c r="F35" s="19"/>
      <c r="G35" s="2"/>
      <c r="H35" s="2">
        <f>--56719.49</f>
        <v>56719.49</v>
      </c>
      <c r="I35" s="2"/>
      <c r="J35" s="19"/>
      <c r="K35" s="2"/>
      <c r="L35" s="2">
        <f t="shared" si="0"/>
        <v>-42603.92</v>
      </c>
      <c r="M35" s="2"/>
      <c r="N35" s="19">
        <f t="shared" si="1"/>
        <v>-0.75113369319787604</v>
      </c>
      <c r="O35" s="11"/>
      <c r="P35" s="2">
        <f>--481133.29</f>
        <v>481133.29</v>
      </c>
      <c r="Q35" s="2"/>
      <c r="R35" s="19"/>
      <c r="S35" s="2"/>
      <c r="T35" s="2">
        <f>--663634.74</f>
        <v>663634.74</v>
      </c>
      <c r="U35" s="2"/>
      <c r="V35" s="19"/>
      <c r="W35" s="2"/>
      <c r="X35" s="2">
        <f t="shared" si="2"/>
        <v>-182501.45</v>
      </c>
      <c r="Y35" s="2"/>
      <c r="Z35" s="19">
        <f t="shared" si="3"/>
        <v>-0.27500285774671773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--1721.77</f>
        <v>1721.77</v>
      </c>
      <c r="E36" s="2"/>
      <c r="F36" s="19"/>
      <c r="G36" s="2"/>
      <c r="H36" s="2">
        <f>--41231.61</f>
        <v>41231.61</v>
      </c>
      <c r="I36" s="2"/>
      <c r="J36" s="19"/>
      <c r="K36" s="2"/>
      <c r="L36" s="2">
        <f t="shared" si="0"/>
        <v>-39509.840000000004</v>
      </c>
      <c r="M36" s="2"/>
      <c r="N36" s="19">
        <f t="shared" si="1"/>
        <v>-0.95824150451558898</v>
      </c>
      <c r="O36" s="11"/>
      <c r="P36" s="2">
        <f>--279302.18</f>
        <v>279302.18</v>
      </c>
      <c r="Q36" s="2"/>
      <c r="R36" s="19"/>
      <c r="S36" s="2"/>
      <c r="T36" s="2">
        <f>--285480.12</f>
        <v>285480.12</v>
      </c>
      <c r="U36" s="2"/>
      <c r="V36" s="19"/>
      <c r="W36" s="2"/>
      <c r="X36" s="2">
        <f t="shared" si="2"/>
        <v>-6177.9400000000023</v>
      </c>
      <c r="Y36" s="2"/>
      <c r="Z36" s="19">
        <f t="shared" si="3"/>
        <v>-2.1640526142415809E-2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--651</f>
        <v>651</v>
      </c>
      <c r="E37" s="2"/>
      <c r="F37" s="19"/>
      <c r="G37" s="2"/>
      <c r="H37" s="2">
        <f>--486.07</f>
        <v>486.07</v>
      </c>
      <c r="I37" s="2"/>
      <c r="J37" s="19"/>
      <c r="K37" s="2"/>
      <c r="L37" s="2">
        <f t="shared" si="0"/>
        <v>164.93</v>
      </c>
      <c r="M37" s="2"/>
      <c r="N37" s="19">
        <f t="shared" si="1"/>
        <v>0.33931326763634867</v>
      </c>
      <c r="O37" s="11"/>
      <c r="P37" s="2">
        <f>--77219.23</f>
        <v>77219.23</v>
      </c>
      <c r="Q37" s="2"/>
      <c r="R37" s="19"/>
      <c r="S37" s="2"/>
      <c r="T37" s="2">
        <f>--3553.38</f>
        <v>3553.38</v>
      </c>
      <c r="U37" s="2"/>
      <c r="V37" s="19"/>
      <c r="W37" s="2"/>
      <c r="X37" s="2">
        <f t="shared" si="2"/>
        <v>73665.849999999991</v>
      </c>
      <c r="Y37" s="2"/>
      <c r="Z37" s="19">
        <f t="shared" si="3"/>
        <v>20.731205218693184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--673.79</f>
        <v>673.79</v>
      </c>
      <c r="E38" s="2"/>
      <c r="F38" s="19"/>
      <c r="G38" s="2"/>
      <c r="H38" s="2">
        <f>--4813.14</f>
        <v>4813.1400000000003</v>
      </c>
      <c r="I38" s="2"/>
      <c r="J38" s="19"/>
      <c r="K38" s="2"/>
      <c r="L38" s="2">
        <f t="shared" si="0"/>
        <v>-4139.3500000000004</v>
      </c>
      <c r="M38" s="2"/>
      <c r="N38" s="19">
        <f t="shared" si="1"/>
        <v>-0.86001030512305898</v>
      </c>
      <c r="O38" s="11"/>
      <c r="P38" s="2">
        <f>--67340.52</f>
        <v>67340.52</v>
      </c>
      <c r="Q38" s="2"/>
      <c r="R38" s="19"/>
      <c r="S38" s="2"/>
      <c r="T38" s="2">
        <f>--80200.37</f>
        <v>80200.37</v>
      </c>
      <c r="U38" s="2"/>
      <c r="V38" s="19"/>
      <c r="W38" s="2"/>
      <c r="X38" s="2">
        <f t="shared" si="2"/>
        <v>-12859.849999999991</v>
      </c>
      <c r="Y38" s="2"/>
      <c r="Z38" s="19">
        <f t="shared" si="3"/>
        <v>-0.1603465171045968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--8913.15</f>
        <v>8913.15</v>
      </c>
      <c r="E39" s="2"/>
      <c r="F39" s="19"/>
      <c r="G39" s="2"/>
      <c r="H39" s="2">
        <f>--37220.65</f>
        <v>37220.65</v>
      </c>
      <c r="I39" s="2"/>
      <c r="J39" s="19"/>
      <c r="K39" s="2"/>
      <c r="L39" s="2">
        <f t="shared" si="0"/>
        <v>-28307.5</v>
      </c>
      <c r="M39" s="2"/>
      <c r="N39" s="19">
        <f t="shared" si="1"/>
        <v>-0.76053212396881831</v>
      </c>
      <c r="O39" s="11"/>
      <c r="P39" s="2">
        <f>--83313.97</f>
        <v>83313.97</v>
      </c>
      <c r="Q39" s="2"/>
      <c r="R39" s="19"/>
      <c r="S39" s="2"/>
      <c r="T39" s="2">
        <f>--132369.49</f>
        <v>132369.49</v>
      </c>
      <c r="U39" s="2"/>
      <c r="V39" s="19"/>
      <c r="W39" s="2"/>
      <c r="X39" s="2">
        <f t="shared" si="2"/>
        <v>-49055.51999999999</v>
      </c>
      <c r="Y39" s="2"/>
      <c r="Z39" s="19">
        <f t="shared" si="3"/>
        <v>-0.3705953690688088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6" si="8">0</f>
        <v>0</v>
      </c>
      <c r="E40" s="2"/>
      <c r="F40" s="19"/>
      <c r="G40" s="2"/>
      <c r="H40" s="2">
        <f>--676</f>
        <v>676</v>
      </c>
      <c r="I40" s="2"/>
      <c r="J40" s="19"/>
      <c r="K40" s="2"/>
      <c r="L40" s="2">
        <f t="shared" si="0"/>
        <v>-676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--4608.66</f>
        <v>4608.66</v>
      </c>
      <c r="U40" s="2"/>
      <c r="V40" s="19"/>
      <c r="W40" s="2"/>
      <c r="X40" s="2">
        <f t="shared" si="2"/>
        <v>-1932.52</v>
      </c>
      <c r="Y40" s="2"/>
      <c r="Z40" s="19">
        <f t="shared" si="3"/>
        <v>-0.41932362118272992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8"/>
        <v>0</v>
      </c>
      <c r="E41" s="2"/>
      <c r="F41" s="19"/>
      <c r="G41" s="2"/>
      <c r="H41" s="2">
        <f>--23761.75</f>
        <v>23761.75</v>
      </c>
      <c r="I41" s="2"/>
      <c r="J41" s="19"/>
      <c r="K41" s="2"/>
      <c r="L41" s="2">
        <f t="shared" si="0"/>
        <v>-23761.75</v>
      </c>
      <c r="M41" s="2"/>
      <c r="N41" s="19">
        <f t="shared" si="1"/>
        <v>-1</v>
      </c>
      <c r="O41" s="11"/>
      <c r="P41" s="2">
        <f>--149404.53</f>
        <v>149404.53</v>
      </c>
      <c r="Q41" s="2"/>
      <c r="R41" s="19"/>
      <c r="S41" s="2"/>
      <c r="T41" s="2">
        <f>--214233.5</f>
        <v>214233.5</v>
      </c>
      <c r="U41" s="2"/>
      <c r="V41" s="19"/>
      <c r="W41" s="2"/>
      <c r="X41" s="2">
        <f t="shared" si="2"/>
        <v>-64828.97</v>
      </c>
      <c r="Y41" s="2"/>
      <c r="Z41" s="19">
        <f t="shared" si="3"/>
        <v>-0.30260892904237668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8"/>
        <v>0</v>
      </c>
      <c r="E42" s="2"/>
      <c r="F42" s="19"/>
      <c r="G42" s="2"/>
      <c r="H42" s="2">
        <f>--287.73</f>
        <v>287.73</v>
      </c>
      <c r="I42" s="2"/>
      <c r="J42" s="19"/>
      <c r="K42" s="2"/>
      <c r="L42" s="2">
        <f t="shared" si="0"/>
        <v>-287.73</v>
      </c>
      <c r="M42" s="2"/>
      <c r="N42" s="19">
        <f t="shared" si="1"/>
        <v>-1</v>
      </c>
      <c r="O42" s="11"/>
      <c r="P42" s="2">
        <f>--3174.93</f>
        <v>3174.93</v>
      </c>
      <c r="Q42" s="2"/>
      <c r="R42" s="19"/>
      <c r="S42" s="2"/>
      <c r="T42" s="2">
        <f>--4214.69</f>
        <v>4214.6899999999996</v>
      </c>
      <c r="U42" s="2"/>
      <c r="V42" s="19"/>
      <c r="W42" s="2"/>
      <c r="X42" s="2">
        <f t="shared" si="2"/>
        <v>-1039.7599999999998</v>
      </c>
      <c r="Y42" s="2"/>
      <c r="Z42" s="19">
        <f t="shared" si="3"/>
        <v>-0.24669904548139954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8"/>
        <v>0</v>
      </c>
      <c r="E43" s="2"/>
      <c r="F43" s="19"/>
      <c r="G43" s="2"/>
      <c r="H43" s="2">
        <f>--164</f>
        <v>164</v>
      </c>
      <c r="I43" s="2"/>
      <c r="J43" s="19"/>
      <c r="K43" s="2"/>
      <c r="L43" s="2">
        <f t="shared" si="0"/>
        <v>-164</v>
      </c>
      <c r="M43" s="2"/>
      <c r="N43" s="19">
        <f t="shared" si="1"/>
        <v>-1</v>
      </c>
      <c r="O43" s="11"/>
      <c r="P43" s="2">
        <f>--363.94</f>
        <v>363.94</v>
      </c>
      <c r="Q43" s="2"/>
      <c r="R43" s="19"/>
      <c r="S43" s="2"/>
      <c r="T43" s="2">
        <f>--1505</f>
        <v>1505</v>
      </c>
      <c r="U43" s="2"/>
      <c r="V43" s="19"/>
      <c r="W43" s="2"/>
      <c r="X43" s="2">
        <f t="shared" si="2"/>
        <v>-1141.06</v>
      </c>
      <c r="Y43" s="2"/>
      <c r="Z43" s="19">
        <f t="shared" si="3"/>
        <v>-0.75817940199335543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8"/>
        <v>0</v>
      </c>
      <c r="E44" s="2"/>
      <c r="F44" s="19"/>
      <c r="G44" s="2"/>
      <c r="H44" s="2">
        <f>--119.9</f>
        <v>119.9</v>
      </c>
      <c r="I44" s="2"/>
      <c r="J44" s="19"/>
      <c r="K44" s="2"/>
      <c r="L44" s="2">
        <f t="shared" si="0"/>
        <v>-119.9</v>
      </c>
      <c r="M44" s="2"/>
      <c r="N44" s="19">
        <f t="shared" si="1"/>
        <v>-1</v>
      </c>
      <c r="O44" s="11"/>
      <c r="P44" s="2">
        <f>--914.33</f>
        <v>914.33</v>
      </c>
      <c r="Q44" s="2"/>
      <c r="R44" s="19"/>
      <c r="S44" s="2"/>
      <c r="T44" s="2">
        <f>--1283.94</f>
        <v>1283.94</v>
      </c>
      <c r="U44" s="2"/>
      <c r="V44" s="19"/>
      <c r="W44" s="2"/>
      <c r="X44" s="2">
        <f t="shared" si="2"/>
        <v>-369.61</v>
      </c>
      <c r="Y44" s="2"/>
      <c r="Z44" s="19">
        <f t="shared" si="3"/>
        <v>-0.28787170740065737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8"/>
        <v>0</v>
      </c>
      <c r="E45" s="2"/>
      <c r="F45" s="19"/>
      <c r="G45" s="2"/>
      <c r="H45" s="2">
        <f>--202.9</f>
        <v>202.9</v>
      </c>
      <c r="I45" s="2"/>
      <c r="J45" s="19"/>
      <c r="K45" s="2"/>
      <c r="L45" s="2">
        <f t="shared" si="0"/>
        <v>-202.9</v>
      </c>
      <c r="M45" s="2"/>
      <c r="N45" s="19">
        <f t="shared" si="1"/>
        <v>-1</v>
      </c>
      <c r="O45" s="11"/>
      <c r="P45" s="2">
        <f>--813.74</f>
        <v>813.74</v>
      </c>
      <c r="Q45" s="2"/>
      <c r="R45" s="19"/>
      <c r="S45" s="2"/>
      <c r="T45" s="2">
        <f>--2085.13</f>
        <v>2085.13</v>
      </c>
      <c r="U45" s="2"/>
      <c r="V45" s="19"/>
      <c r="W45" s="2"/>
      <c r="X45" s="2">
        <f t="shared" si="2"/>
        <v>-1271.3900000000001</v>
      </c>
      <c r="Y45" s="2"/>
      <c r="Z45" s="19">
        <f t="shared" si="3"/>
        <v>-0.60974135905195359</v>
      </c>
    </row>
    <row r="46" spans="1:26" s="24" customFormat="1" hidden="1" outlineLevel="1" x14ac:dyDescent="0.25">
      <c r="A46" s="44"/>
      <c r="B46" s="11" t="str">
        <f>CONCATENATE("          ", "4091", " - ", "TAXABLE SALES-GRAD ANNOUNCEMEN")</f>
        <v xml:space="preserve">          4091 - TAXABLE SALES-GRAD ANNOUNCEMEN</v>
      </c>
      <c r="C46" s="11"/>
      <c r="D46" s="2">
        <f t="shared" si="8"/>
        <v>0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0</f>
        <v>0</v>
      </c>
      <c r="Q46" s="2"/>
      <c r="R46" s="19"/>
      <c r="S46" s="2"/>
      <c r="T46" s="2">
        <f>--471.6</f>
        <v>471.6</v>
      </c>
      <c r="U46" s="2"/>
      <c r="V46" s="19"/>
      <c r="W46" s="2"/>
      <c r="X46" s="2">
        <f t="shared" si="2"/>
        <v>-471.6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"4092", " - ", "TAXABLE SALES-GRAD MERCH")</f>
        <v xml:space="preserve">          4092 - TAXABLE SALES-GRAD MERCH</v>
      </c>
      <c r="C47" s="11"/>
      <c r="D47" s="2">
        <f>--3214.15</f>
        <v>3214.15</v>
      </c>
      <c r="E47" s="2"/>
      <c r="F47" s="19"/>
      <c r="G47" s="2"/>
      <c r="H47" s="2">
        <f>--39254.68</f>
        <v>39254.68</v>
      </c>
      <c r="I47" s="2"/>
      <c r="J47" s="19"/>
      <c r="K47" s="2"/>
      <c r="L47" s="2">
        <f t="shared" si="0"/>
        <v>-36040.53</v>
      </c>
      <c r="M47" s="2"/>
      <c r="N47" s="19">
        <f t="shared" si="1"/>
        <v>-0.91812059097157328</v>
      </c>
      <c r="O47" s="11"/>
      <c r="P47" s="2">
        <f>--21826.42</f>
        <v>21826.42</v>
      </c>
      <c r="Q47" s="2"/>
      <c r="R47" s="19"/>
      <c r="S47" s="2"/>
      <c r="T47" s="2">
        <f>--123023.99</f>
        <v>123023.99</v>
      </c>
      <c r="U47" s="2"/>
      <c r="V47" s="19"/>
      <c r="W47" s="2"/>
      <c r="X47" s="2">
        <f t="shared" si="2"/>
        <v>-101197.57</v>
      </c>
      <c r="Y47" s="2"/>
      <c r="Z47" s="19">
        <f t="shared" si="3"/>
        <v>-0.8225840342196673</v>
      </c>
    </row>
    <row r="48" spans="1:26" s="24" customFormat="1" hidden="1" outlineLevel="1" x14ac:dyDescent="0.25">
      <c r="A48" s="44"/>
      <c r="B48" s="11" t="str">
        <f>CONCATENATE("          ", "4095", " - ", "TAXABLE SALES-CUSTOMER SERVICE")</f>
        <v xml:space="preserve">          4095 - TAXABLE SALES-CUSTOMER SERVICE</v>
      </c>
      <c r="C48" s="11"/>
      <c r="D48" s="2">
        <f>0</f>
        <v>0</v>
      </c>
      <c r="E48" s="2"/>
      <c r="F48" s="19"/>
      <c r="G48" s="2"/>
      <c r="H48" s="2">
        <f>--114.84</f>
        <v>114.84</v>
      </c>
      <c r="I48" s="2"/>
      <c r="J48" s="19"/>
      <c r="K48" s="2"/>
      <c r="L48" s="2">
        <f t="shared" si="0"/>
        <v>-114.84</v>
      </c>
      <c r="M48" s="2"/>
      <c r="N48" s="19">
        <f t="shared" si="1"/>
        <v>-1</v>
      </c>
      <c r="O48" s="11"/>
      <c r="P48" s="2">
        <f>--309.26</f>
        <v>309.26</v>
      </c>
      <c r="Q48" s="2"/>
      <c r="R48" s="19"/>
      <c r="S48" s="2"/>
      <c r="T48" s="2">
        <f>--2045.04</f>
        <v>2045.04</v>
      </c>
      <c r="U48" s="2"/>
      <c r="V48" s="19"/>
      <c r="W48" s="2"/>
      <c r="X48" s="2">
        <f t="shared" si="2"/>
        <v>-1735.78</v>
      </c>
      <c r="Y48" s="2"/>
      <c r="Z48" s="19">
        <f t="shared" si="3"/>
        <v>-0.84877557407190085</v>
      </c>
    </row>
    <row r="49" spans="1:26" s="24" customFormat="1" hidden="1" outlineLevel="1" x14ac:dyDescent="0.25">
      <c r="A49" s="44"/>
      <c r="B49" s="11" t="str">
        <f>CONCATENATE("          ", "4100", " - ", "NON-TAXABLE SALES")</f>
        <v xml:space="preserve">          4100 - NON-TAXABLE SALES</v>
      </c>
      <c r="C49" s="11"/>
      <c r="D49" s="2">
        <f>--27923.82</f>
        <v>27923.82</v>
      </c>
      <c r="E49" s="2"/>
      <c r="F49" s="19"/>
      <c r="G49" s="2"/>
      <c r="H49" s="2">
        <f>--776.32</f>
        <v>776.32</v>
      </c>
      <c r="I49" s="2"/>
      <c r="J49" s="19"/>
      <c r="K49" s="2"/>
      <c r="L49" s="2">
        <f t="shared" si="0"/>
        <v>27147.5</v>
      </c>
      <c r="M49" s="2"/>
      <c r="N49" s="19">
        <f t="shared" si="1"/>
        <v>34.969471352019781</v>
      </c>
      <c r="O49" s="11"/>
      <c r="P49" s="2">
        <f>--602236.47</f>
        <v>602236.47</v>
      </c>
      <c r="Q49" s="2"/>
      <c r="R49" s="19"/>
      <c r="S49" s="2"/>
      <c r="T49" s="2">
        <f>--779409.89</f>
        <v>779409.89</v>
      </c>
      <c r="U49" s="2"/>
      <c r="V49" s="19"/>
      <c r="W49" s="2"/>
      <c r="X49" s="2">
        <f t="shared" si="2"/>
        <v>-177173.42000000004</v>
      </c>
      <c r="Y49" s="2"/>
      <c r="Z49" s="19">
        <f t="shared" si="3"/>
        <v>-0.22731738751736913</v>
      </c>
    </row>
    <row r="50" spans="1:26" s="24" customFormat="1" hidden="1" outlineLevel="1" x14ac:dyDescent="0.25">
      <c r="A50" s="44"/>
      <c r="B50" s="11" t="str">
        <f>CONCATENATE("          ", "4101", " - ", "NON-TAXABLE SALES-NEW TEXT")</f>
        <v xml:space="preserve">          4101 - NON-TAXABLE SALES-NEW TEXT</v>
      </c>
      <c r="C50" s="11"/>
      <c r="D50" s="2">
        <f>--1972.02</f>
        <v>1972.02</v>
      </c>
      <c r="E50" s="2"/>
      <c r="F50" s="19"/>
      <c r="G50" s="2"/>
      <c r="H50" s="2">
        <f>--5697.7</f>
        <v>5697.7</v>
      </c>
      <c r="I50" s="2"/>
      <c r="J50" s="19"/>
      <c r="K50" s="2"/>
      <c r="L50" s="2">
        <f t="shared" si="0"/>
        <v>-3725.68</v>
      </c>
      <c r="M50" s="2"/>
      <c r="N50" s="19">
        <f t="shared" si="1"/>
        <v>-0.65389192130157781</v>
      </c>
      <c r="O50" s="11"/>
      <c r="P50" s="2">
        <f>--144163.44</f>
        <v>144163.44</v>
      </c>
      <c r="Q50" s="2"/>
      <c r="R50" s="19"/>
      <c r="S50" s="2"/>
      <c r="T50" s="2">
        <f>--266114.47</f>
        <v>266114.46999999997</v>
      </c>
      <c r="U50" s="2"/>
      <c r="V50" s="19"/>
      <c r="W50" s="2"/>
      <c r="X50" s="2">
        <f t="shared" si="2"/>
        <v>-121951.02999999997</v>
      </c>
      <c r="Y50" s="2"/>
      <c r="Z50" s="19">
        <f t="shared" si="3"/>
        <v>-0.45826530966166545</v>
      </c>
    </row>
    <row r="51" spans="1:26" s="24" customFormat="1" hidden="1" outlineLevel="1" x14ac:dyDescent="0.25">
      <c r="A51" s="44"/>
      <c r="B51" s="11" t="str">
        <f>CONCATENATE("          ", "4102", " - ", "NON-TAXABLE SALES-USED TEXT")</f>
        <v xml:space="preserve">          4102 - NON-TAXABLE SALES-USED TEXT</v>
      </c>
      <c r="C51" s="11"/>
      <c r="D51" s="2">
        <f>--804.2</f>
        <v>804.2</v>
      </c>
      <c r="E51" s="2"/>
      <c r="F51" s="19"/>
      <c r="G51" s="2"/>
      <c r="H51" s="2">
        <f>--6881.14</f>
        <v>6881.14</v>
      </c>
      <c r="I51" s="2"/>
      <c r="J51" s="19"/>
      <c r="K51" s="2"/>
      <c r="L51" s="2">
        <f t="shared" si="0"/>
        <v>-6076.9400000000005</v>
      </c>
      <c r="M51" s="2"/>
      <c r="N51" s="19">
        <f t="shared" si="1"/>
        <v>-0.88312983023161862</v>
      </c>
      <c r="O51" s="11"/>
      <c r="P51" s="2">
        <f>--69659.9</f>
        <v>69659.899999999994</v>
      </c>
      <c r="Q51" s="2"/>
      <c r="R51" s="19"/>
      <c r="S51" s="2"/>
      <c r="T51" s="2">
        <f>--92597.47</f>
        <v>92597.47</v>
      </c>
      <c r="U51" s="2"/>
      <c r="V51" s="19"/>
      <c r="W51" s="2"/>
      <c r="X51" s="2">
        <f t="shared" si="2"/>
        <v>-22937.570000000007</v>
      </c>
      <c r="Y51" s="2"/>
      <c r="Z51" s="19">
        <f t="shared" si="3"/>
        <v>-0.24771270748542057</v>
      </c>
    </row>
    <row r="52" spans="1:26" s="24" customFormat="1" hidden="1" outlineLevel="1" x14ac:dyDescent="0.25">
      <c r="A52" s="44"/>
      <c r="B52" s="11" t="str">
        <f>CONCATENATE("          ", "4103", " - ", "NON-TAXABLE SALES-RENTAL TEXT")</f>
        <v xml:space="preserve">          4103 - NON-TAXABLE SALES-RENTAL TEXT</v>
      </c>
      <c r="C52" s="11"/>
      <c r="D52" s="2">
        <f>0</f>
        <v>0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--664.97</f>
        <v>664.97</v>
      </c>
      <c r="Q52" s="2"/>
      <c r="R52" s="19"/>
      <c r="S52" s="2"/>
      <c r="T52" s="2">
        <f>--509.85</f>
        <v>509.85</v>
      </c>
      <c r="U52" s="2"/>
      <c r="V52" s="19"/>
      <c r="W52" s="2"/>
      <c r="X52" s="2">
        <f t="shared" si="2"/>
        <v>155.12</v>
      </c>
      <c r="Y52" s="2"/>
      <c r="Z52" s="19">
        <f t="shared" si="3"/>
        <v>0.30424634696479358</v>
      </c>
    </row>
    <row r="53" spans="1:26" s="24" customFormat="1" hidden="1" outlineLevel="1" x14ac:dyDescent="0.25">
      <c r="A53" s="44"/>
      <c r="B53" s="11" t="str">
        <f>CONCATENATE("          ", "4104", " - ", "NON-TAXABLE SALES-DIGITAL TEXT")</f>
        <v xml:space="preserve">          4104 - NON-TAXABLE SALES-DIGITAL TEXT</v>
      </c>
      <c r="C53" s="11"/>
      <c r="D53" s="2">
        <f>--2502.44</f>
        <v>2502.44</v>
      </c>
      <c r="E53" s="2"/>
      <c r="F53" s="19"/>
      <c r="G53" s="2"/>
      <c r="H53" s="2">
        <f>--2347.02</f>
        <v>2347.02</v>
      </c>
      <c r="I53" s="2"/>
      <c r="J53" s="19"/>
      <c r="K53" s="2"/>
      <c r="L53" s="2">
        <f t="shared" si="0"/>
        <v>155.42000000000007</v>
      </c>
      <c r="M53" s="2"/>
      <c r="N53" s="19">
        <f t="shared" si="1"/>
        <v>6.6220142989833947E-2</v>
      </c>
      <c r="O53" s="11"/>
      <c r="P53" s="2">
        <f>--526854.09</f>
        <v>526854.09</v>
      </c>
      <c r="Q53" s="2"/>
      <c r="R53" s="19"/>
      <c r="S53" s="2"/>
      <c r="T53" s="2">
        <f>--528735.29</f>
        <v>528735.29</v>
      </c>
      <c r="U53" s="2"/>
      <c r="V53" s="19"/>
      <c r="W53" s="2"/>
      <c r="X53" s="2">
        <f t="shared" si="2"/>
        <v>-1881.2000000000698</v>
      </c>
      <c r="Y53" s="2"/>
      <c r="Z53" s="19">
        <f t="shared" si="3"/>
        <v>-3.5579240417261911E-3</v>
      </c>
    </row>
    <row r="54" spans="1:26" s="24" customFormat="1" hidden="1" outlineLevel="1" x14ac:dyDescent="0.25">
      <c r="A54" s="44"/>
      <c r="B54" s="11" t="str">
        <f>CONCATENATE("          ", "4111", " - ", "NON-TAXABLE SALES-NO VALUE TEX")</f>
        <v xml:space="preserve">          4111 - NON-TAXABLE SALES-NO VALUE TEX</v>
      </c>
      <c r="C54" s="11"/>
      <c r="D54" s="2">
        <f>--593.67</f>
        <v>593.66999999999996</v>
      </c>
      <c r="E54" s="2"/>
      <c r="F54" s="19"/>
      <c r="G54" s="2"/>
      <c r="H54" s="2">
        <f>--2525.72</f>
        <v>2525.7199999999998</v>
      </c>
      <c r="I54" s="2"/>
      <c r="J54" s="19"/>
      <c r="K54" s="2"/>
      <c r="L54" s="2">
        <f t="shared" si="0"/>
        <v>-1932.0499999999997</v>
      </c>
      <c r="M54" s="2"/>
      <c r="N54" s="19">
        <f t="shared" si="1"/>
        <v>-0.76495019242037909</v>
      </c>
      <c r="O54" s="11"/>
      <c r="P54" s="2">
        <f>--15323</f>
        <v>15323</v>
      </c>
      <c r="Q54" s="2"/>
      <c r="R54" s="19"/>
      <c r="S54" s="2"/>
      <c r="T54" s="2">
        <f>--19614.24</f>
        <v>19614.240000000002</v>
      </c>
      <c r="U54" s="2"/>
      <c r="V54" s="19"/>
      <c r="W54" s="2"/>
      <c r="X54" s="2">
        <f t="shared" si="2"/>
        <v>-4291.2400000000016</v>
      </c>
      <c r="Y54" s="2"/>
      <c r="Z54" s="19">
        <f t="shared" si="3"/>
        <v>-0.2187818646044915</v>
      </c>
    </row>
    <row r="55" spans="1:26" s="24" customFormat="1" hidden="1" outlineLevel="1" x14ac:dyDescent="0.25">
      <c r="A55" s="44"/>
      <c r="B55" s="11" t="str">
        <f>CONCATENATE("          ", "4113", " - ", "NON-TAXABLE SALES-TRADE BOOKS")</f>
        <v xml:space="preserve">          4113 - NON-TAXABLE SALES-TRADE BOOKS</v>
      </c>
      <c r="C55" s="11"/>
      <c r="D55" s="2">
        <f>--2440</f>
        <v>2440</v>
      </c>
      <c r="E55" s="2"/>
      <c r="F55" s="19"/>
      <c r="G55" s="2"/>
      <c r="H55" s="2">
        <f>--378</f>
        <v>378</v>
      </c>
      <c r="I55" s="2"/>
      <c r="J55" s="19"/>
      <c r="K55" s="2"/>
      <c r="L55" s="2">
        <f t="shared" si="0"/>
        <v>2062</v>
      </c>
      <c r="M55" s="2"/>
      <c r="N55" s="19">
        <f t="shared" si="1"/>
        <v>5.4550264550264549</v>
      </c>
      <c r="O55" s="11"/>
      <c r="P55" s="2">
        <f>--8241.92</f>
        <v>8241.92</v>
      </c>
      <c r="Q55" s="2"/>
      <c r="R55" s="19"/>
      <c r="S55" s="2"/>
      <c r="T55" s="2">
        <f>--3773</f>
        <v>3773</v>
      </c>
      <c r="U55" s="2"/>
      <c r="V55" s="19"/>
      <c r="W55" s="2"/>
      <c r="X55" s="2">
        <f t="shared" si="2"/>
        <v>4468.92</v>
      </c>
      <c r="Y55" s="2"/>
      <c r="Z55" s="19">
        <f t="shared" si="3"/>
        <v>1.1844473893453487</v>
      </c>
    </row>
    <row r="56" spans="1:26" s="24" customFormat="1" hidden="1" outlineLevel="1" x14ac:dyDescent="0.2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--7.02</f>
        <v>7.02</v>
      </c>
      <c r="E56" s="2"/>
      <c r="F56" s="19"/>
      <c r="G56" s="2"/>
      <c r="H56" s="2">
        <f t="shared" ref="H56:H57" si="9">0</f>
        <v>0</v>
      </c>
      <c r="I56" s="2"/>
      <c r="J56" s="19"/>
      <c r="K56" s="2"/>
      <c r="L56" s="2">
        <f t="shared" si="0"/>
        <v>7.02</v>
      </c>
      <c r="M56" s="2"/>
      <c r="N56" s="19">
        <f t="shared" si="1"/>
        <v>0</v>
      </c>
      <c r="O56" s="11"/>
      <c r="P56" s="2">
        <f>--75.94</f>
        <v>75.94</v>
      </c>
      <c r="Q56" s="2"/>
      <c r="R56" s="19"/>
      <c r="S56" s="2"/>
      <c r="T56" s="2">
        <f>--266.48</f>
        <v>266.48</v>
      </c>
      <c r="U56" s="2"/>
      <c r="V56" s="19"/>
      <c r="W56" s="2"/>
      <c r="X56" s="2">
        <f t="shared" si="2"/>
        <v>-190.54000000000002</v>
      </c>
      <c r="Y56" s="2"/>
      <c r="Z56" s="19">
        <f t="shared" si="3"/>
        <v>-0.71502551786250379</v>
      </c>
    </row>
    <row r="57" spans="1:26" s="24" customFormat="1" hidden="1" outlineLevel="1" x14ac:dyDescent="0.2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>0</f>
        <v>0</v>
      </c>
      <c r="E57" s="2"/>
      <c r="F57" s="19"/>
      <c r="G57" s="2"/>
      <c r="H57" s="2">
        <f t="shared" si="9"/>
        <v>0</v>
      </c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--267.61</f>
        <v>267.61</v>
      </c>
      <c r="Q57" s="2"/>
      <c r="R57" s="19"/>
      <c r="S57" s="2"/>
      <c r="T57" s="2">
        <f>--305.19</f>
        <v>305.19</v>
      </c>
      <c r="U57" s="2"/>
      <c r="V57" s="19"/>
      <c r="W57" s="2"/>
      <c r="X57" s="2">
        <f t="shared" si="2"/>
        <v>-37.579999999999984</v>
      </c>
      <c r="Y57" s="2"/>
      <c r="Z57" s="19">
        <f t="shared" si="3"/>
        <v>-0.123136406828533</v>
      </c>
    </row>
    <row r="58" spans="1:26" s="24" customFormat="1" hidden="1" outlineLevel="1" x14ac:dyDescent="0.2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--5.57</f>
        <v>5.57</v>
      </c>
      <c r="E58" s="2"/>
      <c r="F58" s="19"/>
      <c r="G58" s="2"/>
      <c r="H58" s="2">
        <f>--100.47</f>
        <v>100.47</v>
      </c>
      <c r="I58" s="2"/>
      <c r="J58" s="19"/>
      <c r="K58" s="2"/>
      <c r="L58" s="2">
        <f t="shared" si="0"/>
        <v>-94.9</v>
      </c>
      <c r="M58" s="2"/>
      <c r="N58" s="19">
        <f t="shared" si="1"/>
        <v>-0.94456056534288846</v>
      </c>
      <c r="O58" s="11"/>
      <c r="P58" s="2">
        <f>--3022.86</f>
        <v>3022.86</v>
      </c>
      <c r="Q58" s="2"/>
      <c r="R58" s="19"/>
      <c r="S58" s="2"/>
      <c r="T58" s="2">
        <f>--3659.14</f>
        <v>3659.14</v>
      </c>
      <c r="U58" s="2"/>
      <c r="V58" s="19"/>
      <c r="W58" s="2"/>
      <c r="X58" s="2">
        <f t="shared" si="2"/>
        <v>-636.27999999999975</v>
      </c>
      <c r="Y58" s="2"/>
      <c r="Z58" s="19">
        <f t="shared" si="3"/>
        <v>-0.17388785343004087</v>
      </c>
    </row>
    <row r="59" spans="1:26" s="24" customFormat="1" hidden="1" outlineLevel="1" x14ac:dyDescent="0.2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--1430.65</f>
        <v>1430.65</v>
      </c>
      <c r="E59" s="2"/>
      <c r="F59" s="19"/>
      <c r="G59" s="2"/>
      <c r="H59" s="2">
        <f>--4.99</f>
        <v>4.99</v>
      </c>
      <c r="I59" s="2"/>
      <c r="J59" s="19"/>
      <c r="K59" s="2"/>
      <c r="L59" s="2">
        <f t="shared" si="0"/>
        <v>1425.66</v>
      </c>
      <c r="M59" s="2"/>
      <c r="N59" s="19">
        <f t="shared" si="1"/>
        <v>285.70340681362728</v>
      </c>
      <c r="O59" s="11"/>
      <c r="P59" s="2">
        <f>--6146.87</f>
        <v>6146.87</v>
      </c>
      <c r="Q59" s="2"/>
      <c r="R59" s="19"/>
      <c r="S59" s="2"/>
      <c r="T59" s="2">
        <f>--12330.36</f>
        <v>12330.36</v>
      </c>
      <c r="U59" s="2"/>
      <c r="V59" s="19"/>
      <c r="W59" s="2"/>
      <c r="X59" s="2">
        <f t="shared" si="2"/>
        <v>-6183.4900000000007</v>
      </c>
      <c r="Y59" s="2"/>
      <c r="Z59" s="19">
        <f t="shared" si="3"/>
        <v>-0.50148495258857007</v>
      </c>
    </row>
    <row r="60" spans="1:26" s="24" customFormat="1" hidden="1" outlineLevel="1" x14ac:dyDescent="0.2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0</f>
        <v>0</v>
      </c>
      <c r="E60" s="2"/>
      <c r="F60" s="19"/>
      <c r="G60" s="2"/>
      <c r="H60" s="2">
        <f>--7.45</f>
        <v>7.45</v>
      </c>
      <c r="I60" s="2"/>
      <c r="J60" s="19"/>
      <c r="K60" s="2"/>
      <c r="L60" s="2">
        <f t="shared" si="0"/>
        <v>-7.45</v>
      </c>
      <c r="M60" s="2"/>
      <c r="N60" s="19">
        <f t="shared" si="1"/>
        <v>-1</v>
      </c>
      <c r="O60" s="11"/>
      <c r="P60" s="2">
        <f>--730.62</f>
        <v>730.62</v>
      </c>
      <c r="Q60" s="2"/>
      <c r="R60" s="19"/>
      <c r="S60" s="2"/>
      <c r="T60" s="2">
        <f>--852.82</f>
        <v>852.82</v>
      </c>
      <c r="U60" s="2"/>
      <c r="V60" s="19"/>
      <c r="W60" s="2"/>
      <c r="X60" s="2">
        <f t="shared" si="2"/>
        <v>-122.20000000000005</v>
      </c>
      <c r="Y60" s="2"/>
      <c r="Z60" s="19">
        <f t="shared" si="3"/>
        <v>-0.14328932248305626</v>
      </c>
    </row>
    <row r="61" spans="1:26" s="24" customFormat="1" hidden="1" outlineLevel="1" x14ac:dyDescent="0.2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--3.97</f>
        <v>3.97</v>
      </c>
      <c r="E61" s="2"/>
      <c r="F61" s="19"/>
      <c r="G61" s="2"/>
      <c r="H61" s="2">
        <f>--9031.87</f>
        <v>9031.8700000000008</v>
      </c>
      <c r="I61" s="2"/>
      <c r="J61" s="19"/>
      <c r="K61" s="2"/>
      <c r="L61" s="2">
        <f t="shared" si="0"/>
        <v>-9027.9000000000015</v>
      </c>
      <c r="M61" s="2"/>
      <c r="N61" s="19">
        <f t="shared" si="1"/>
        <v>-0.99956044540056499</v>
      </c>
      <c r="O61" s="11"/>
      <c r="P61" s="2">
        <f>--57887.54</f>
        <v>57887.54</v>
      </c>
      <c r="Q61" s="2"/>
      <c r="R61" s="19"/>
      <c r="S61" s="2"/>
      <c r="T61" s="2">
        <f>--71045.88</f>
        <v>71045.88</v>
      </c>
      <c r="U61" s="2"/>
      <c r="V61" s="19"/>
      <c r="W61" s="2"/>
      <c r="X61" s="2">
        <f t="shared" si="2"/>
        <v>-13158.340000000004</v>
      </c>
      <c r="Y61" s="2"/>
      <c r="Z61" s="19">
        <f t="shared" si="3"/>
        <v>-0.18520905082743719</v>
      </c>
    </row>
    <row r="62" spans="1:26" s="24" customFormat="1" hidden="1" outlineLevel="1" x14ac:dyDescent="0.2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--0.05</f>
        <v>0.05</v>
      </c>
      <c r="E62" s="2"/>
      <c r="F62" s="19"/>
      <c r="G62" s="2"/>
      <c r="H62" s="2">
        <f>--154985.37</f>
        <v>154985.37</v>
      </c>
      <c r="I62" s="2"/>
      <c r="J62" s="19"/>
      <c r="K62" s="2"/>
      <c r="L62" s="2">
        <f t="shared" si="0"/>
        <v>-154985.32</v>
      </c>
      <c r="M62" s="2"/>
      <c r="N62" s="19">
        <f t="shared" si="1"/>
        <v>-0.99999967738890461</v>
      </c>
      <c r="O62" s="11"/>
      <c r="P62" s="2">
        <f>--1109977.78</f>
        <v>1109977.78</v>
      </c>
      <c r="Q62" s="2"/>
      <c r="R62" s="19"/>
      <c r="S62" s="2"/>
      <c r="T62" s="2">
        <f>--1236537.04</f>
        <v>1236537.04</v>
      </c>
      <c r="U62" s="2"/>
      <c r="V62" s="19"/>
      <c r="W62" s="2"/>
      <c r="X62" s="2">
        <f t="shared" si="2"/>
        <v>-126559.26000000001</v>
      </c>
      <c r="Y62" s="2"/>
      <c r="Z62" s="19">
        <f t="shared" si="3"/>
        <v>-0.10234975249912449</v>
      </c>
    </row>
    <row r="63" spans="1:26" s="24" customFormat="1" hidden="1" outlineLevel="1" x14ac:dyDescent="0.2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--4.17</f>
        <v>4.17</v>
      </c>
      <c r="E63" s="2"/>
      <c r="F63" s="19"/>
      <c r="G63" s="2"/>
      <c r="H63" s="2">
        <f>--2570.67</f>
        <v>2570.67</v>
      </c>
      <c r="I63" s="2"/>
      <c r="J63" s="19"/>
      <c r="K63" s="2"/>
      <c r="L63" s="2">
        <f t="shared" si="0"/>
        <v>-2566.5</v>
      </c>
      <c r="M63" s="2"/>
      <c r="N63" s="19">
        <f t="shared" si="1"/>
        <v>-0.99837785480049945</v>
      </c>
      <c r="O63" s="11"/>
      <c r="P63" s="2">
        <f>--18090.05</f>
        <v>18090.05</v>
      </c>
      <c r="Q63" s="2"/>
      <c r="R63" s="19"/>
      <c r="S63" s="2"/>
      <c r="T63" s="2">
        <f>--19959.46</f>
        <v>19959.46</v>
      </c>
      <c r="U63" s="2"/>
      <c r="V63" s="19"/>
      <c r="W63" s="2"/>
      <c r="X63" s="2">
        <f t="shared" si="2"/>
        <v>-1869.4099999999999</v>
      </c>
      <c r="Y63" s="2"/>
      <c r="Z63" s="19">
        <f t="shared" si="3"/>
        <v>-9.3660349528494252E-2</v>
      </c>
    </row>
    <row r="64" spans="1:26" s="24" customFormat="1" hidden="1" outlineLevel="1" x14ac:dyDescent="0.2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>--35.86</f>
        <v>35.86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35.86</v>
      </c>
      <c r="M64" s="2"/>
      <c r="N64" s="19">
        <f t="shared" si="1"/>
        <v>0</v>
      </c>
      <c r="O64" s="11"/>
      <c r="P64" s="2">
        <f>--73.09</f>
        <v>73.09</v>
      </c>
      <c r="Q64" s="2"/>
      <c r="R64" s="19"/>
      <c r="S64" s="2"/>
      <c r="T64" s="2">
        <f>--165.3</f>
        <v>165.3</v>
      </c>
      <c r="U64" s="2"/>
      <c r="V64" s="19"/>
      <c r="W64" s="2"/>
      <c r="X64" s="2">
        <f t="shared" si="2"/>
        <v>-92.210000000000008</v>
      </c>
      <c r="Y64" s="2"/>
      <c r="Z64" s="19">
        <f t="shared" si="3"/>
        <v>-0.55783424077434973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0</f>
        <v>0</v>
      </c>
      <c r="E65" s="2"/>
      <c r="F65" s="19"/>
      <c r="G65" s="2"/>
      <c r="H65" s="2">
        <f>--34.82</f>
        <v>34.82</v>
      </c>
      <c r="I65" s="2"/>
      <c r="J65" s="19"/>
      <c r="K65" s="2"/>
      <c r="L65" s="2">
        <f t="shared" si="0"/>
        <v>-34.82</v>
      </c>
      <c r="M65" s="2"/>
      <c r="N65" s="19">
        <f t="shared" si="1"/>
        <v>-1</v>
      </c>
      <c r="O65" s="11"/>
      <c r="P65" s="2">
        <f>--161.4</f>
        <v>161.4</v>
      </c>
      <c r="Q65" s="2"/>
      <c r="R65" s="19"/>
      <c r="S65" s="2"/>
      <c r="T65" s="2">
        <f>--370.53</f>
        <v>370.53</v>
      </c>
      <c r="U65" s="2"/>
      <c r="V65" s="19"/>
      <c r="W65" s="2"/>
      <c r="X65" s="2">
        <f t="shared" si="2"/>
        <v>-209.12999999999997</v>
      </c>
      <c r="Y65" s="2"/>
      <c r="Z65" s="19">
        <f t="shared" si="3"/>
        <v>-0.56440774026394624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--4.65</f>
        <v>4.6500000000000004</v>
      </c>
      <c r="E66" s="2"/>
      <c r="F66" s="19"/>
      <c r="G66" s="2"/>
      <c r="H66" s="2">
        <f>--1463.31</f>
        <v>1463.31</v>
      </c>
      <c r="I66" s="2"/>
      <c r="J66" s="19"/>
      <c r="K66" s="2"/>
      <c r="L66" s="2">
        <f t="shared" si="0"/>
        <v>-1458.6599999999999</v>
      </c>
      <c r="M66" s="2"/>
      <c r="N66" s="19">
        <f t="shared" si="1"/>
        <v>-0.99682227279250457</v>
      </c>
      <c r="O66" s="11"/>
      <c r="P66" s="2">
        <f>--10092.5</f>
        <v>10092.5</v>
      </c>
      <c r="Q66" s="2"/>
      <c r="R66" s="19"/>
      <c r="S66" s="2"/>
      <c r="T66" s="2">
        <f>--11822.53</f>
        <v>11822.53</v>
      </c>
      <c r="U66" s="2"/>
      <c r="V66" s="19"/>
      <c r="W66" s="2"/>
      <c r="X66" s="2">
        <f t="shared" si="2"/>
        <v>-1730.0300000000007</v>
      </c>
      <c r="Y66" s="2"/>
      <c r="Z66" s="19">
        <f t="shared" si="3"/>
        <v>-0.14633331444284772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--30875.73</f>
        <v>30875.73</v>
      </c>
      <c r="E67" s="2"/>
      <c r="F67" s="19"/>
      <c r="G67" s="2"/>
      <c r="H67" s="2">
        <f>--11589.38</f>
        <v>11589.38</v>
      </c>
      <c r="I67" s="2"/>
      <c r="J67" s="19"/>
      <c r="K67" s="2"/>
      <c r="L67" s="2">
        <f t="shared" si="0"/>
        <v>19286.349999999999</v>
      </c>
      <c r="M67" s="2"/>
      <c r="N67" s="19">
        <f t="shared" si="1"/>
        <v>1.6641399281065941</v>
      </c>
      <c r="O67" s="11"/>
      <c r="P67" s="2">
        <f>--78924.71</f>
        <v>78924.710000000006</v>
      </c>
      <c r="Q67" s="2"/>
      <c r="R67" s="19"/>
      <c r="S67" s="2"/>
      <c r="T67" s="2">
        <f>--47255.77</f>
        <v>47255.77</v>
      </c>
      <c r="U67" s="2"/>
      <c r="V67" s="19"/>
      <c r="W67" s="2"/>
      <c r="X67" s="2">
        <f t="shared" si="2"/>
        <v>31668.94000000001</v>
      </c>
      <c r="Y67" s="2"/>
      <c r="Z67" s="19">
        <f t="shared" si="3"/>
        <v>0.67016027884002338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--1860.77</f>
        <v>1860.77</v>
      </c>
      <c r="E68" s="2"/>
      <c r="F68" s="19"/>
      <c r="G68" s="2"/>
      <c r="H68" s="2">
        <f>--727.75</f>
        <v>727.75</v>
      </c>
      <c r="I68" s="2"/>
      <c r="J68" s="19"/>
      <c r="K68" s="2"/>
      <c r="L68" s="2">
        <f t="shared" si="0"/>
        <v>1133.02</v>
      </c>
      <c r="M68" s="2"/>
      <c r="N68" s="19">
        <f t="shared" si="1"/>
        <v>1.5568807969769838</v>
      </c>
      <c r="O68" s="11"/>
      <c r="P68" s="2">
        <f>--12775.33</f>
        <v>12775.33</v>
      </c>
      <c r="Q68" s="2"/>
      <c r="R68" s="19"/>
      <c r="S68" s="2"/>
      <c r="T68" s="2">
        <f>--6003.33</f>
        <v>6003.33</v>
      </c>
      <c r="U68" s="2"/>
      <c r="V68" s="19"/>
      <c r="W68" s="2"/>
      <c r="X68" s="2">
        <f t="shared" si="2"/>
        <v>6772</v>
      </c>
      <c r="Y68" s="2"/>
      <c r="Z68" s="19">
        <f t="shared" si="3"/>
        <v>1.1280406041313737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--386.65</f>
        <v>386.65</v>
      </c>
      <c r="E69" s="2"/>
      <c r="F69" s="19"/>
      <c r="G69" s="2"/>
      <c r="H69" s="2">
        <f>--2399.88</f>
        <v>2399.88</v>
      </c>
      <c r="I69" s="2"/>
      <c r="J69" s="19"/>
      <c r="K69" s="2"/>
      <c r="L69" s="2">
        <f t="shared" si="0"/>
        <v>-2013.23</v>
      </c>
      <c r="M69" s="2"/>
      <c r="N69" s="19">
        <f t="shared" si="1"/>
        <v>-0.83888777772221945</v>
      </c>
      <c r="O69" s="11"/>
      <c r="P69" s="2">
        <f>--14128.08</f>
        <v>14128.08</v>
      </c>
      <c r="Q69" s="2"/>
      <c r="R69" s="19"/>
      <c r="S69" s="2"/>
      <c r="T69" s="2">
        <f>--19569.19</f>
        <v>19569.189999999999</v>
      </c>
      <c r="U69" s="2"/>
      <c r="V69" s="19"/>
      <c r="W69" s="2"/>
      <c r="X69" s="2">
        <f t="shared" si="2"/>
        <v>-5441.1099999999988</v>
      </c>
      <c r="Y69" s="2"/>
      <c r="Z69" s="19">
        <f t="shared" si="3"/>
        <v>-0.27804472234159916</v>
      </c>
    </row>
    <row r="70" spans="1:26" s="24" customFormat="1" hidden="1" outlineLevel="1" x14ac:dyDescent="0.25">
      <c r="A70" s="44"/>
      <c r="B70" s="11" t="str">
        <f>CONCATENATE("          ", "4143", " - ", "NON-TAXABLE SALES-CARDS")</f>
        <v xml:space="preserve">          4143 - NON-TAXABLE SALES-CARDS</v>
      </c>
      <c r="C70" s="11"/>
      <c r="D70" s="2">
        <f>-9.99</f>
        <v>-9.99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-9.99</v>
      </c>
      <c r="M70" s="2"/>
      <c r="N70" s="19">
        <f t="shared" si="1"/>
        <v>0</v>
      </c>
      <c r="O70" s="11"/>
      <c r="P70" s="2">
        <f>0</f>
        <v>0</v>
      </c>
      <c r="Q70" s="2"/>
      <c r="R70" s="19"/>
      <c r="S70" s="2"/>
      <c r="T70" s="2">
        <f>0</f>
        <v>0</v>
      </c>
      <c r="U70" s="2"/>
      <c r="V70" s="19"/>
      <c r="W70" s="2"/>
      <c r="X70" s="2">
        <f t="shared" si="2"/>
        <v>0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"4144", " - ", "NON-TAXABLE SALES-ACCESSORIES")</f>
        <v xml:space="preserve">          4144 - NON-TAXABLE SALES-ACCESSORIES</v>
      </c>
      <c r="C71" s="11"/>
      <c r="D71" s="2">
        <f>--299.4</f>
        <v>299.39999999999998</v>
      </c>
      <c r="E71" s="2"/>
      <c r="F71" s="19"/>
      <c r="G71" s="2"/>
      <c r="H71" s="2">
        <f>--74.8</f>
        <v>74.8</v>
      </c>
      <c r="I71" s="2"/>
      <c r="J71" s="19"/>
      <c r="K71" s="2"/>
      <c r="L71" s="2">
        <f t="shared" si="0"/>
        <v>224.59999999999997</v>
      </c>
      <c r="M71" s="2"/>
      <c r="N71" s="19">
        <f t="shared" si="1"/>
        <v>3.0026737967914436</v>
      </c>
      <c r="O71" s="11"/>
      <c r="P71" s="2">
        <f>--2339.67</f>
        <v>2339.67</v>
      </c>
      <c r="Q71" s="2"/>
      <c r="R71" s="19"/>
      <c r="S71" s="2"/>
      <c r="T71" s="2">
        <f>--580.04</f>
        <v>580.04</v>
      </c>
      <c r="U71" s="2"/>
      <c r="V71" s="19"/>
      <c r="W71" s="2"/>
      <c r="X71" s="2">
        <f t="shared" si="2"/>
        <v>1759.63</v>
      </c>
      <c r="Y71" s="2"/>
      <c r="Z71" s="19">
        <f t="shared" si="3"/>
        <v>3.0336356113371497</v>
      </c>
    </row>
    <row r="72" spans="1:26" s="24" customFormat="1" hidden="1" outlineLevel="1" x14ac:dyDescent="0.25">
      <c r="A72" s="44"/>
      <c r="B72" s="11" t="str">
        <f>CONCATENATE("          ", "4145", " - ", "NON-TAXABLE SALES-SPECIAL ORDE")</f>
        <v xml:space="preserve">          4145 - NON-TAXABLE SALES-SPECIAL ORDE</v>
      </c>
      <c r="C72" s="11"/>
      <c r="D72" s="2">
        <f>0</f>
        <v>0</v>
      </c>
      <c r="E72" s="2"/>
      <c r="F72" s="19"/>
      <c r="G72" s="2"/>
      <c r="H72" s="2">
        <f>--29.95</f>
        <v>29.95</v>
      </c>
      <c r="I72" s="2"/>
      <c r="J72" s="19"/>
      <c r="K72" s="2"/>
      <c r="L72" s="2">
        <f t="shared" si="0"/>
        <v>-29.95</v>
      </c>
      <c r="M72" s="2"/>
      <c r="N72" s="19">
        <f t="shared" si="1"/>
        <v>-1</v>
      </c>
      <c r="O72" s="11"/>
      <c r="P72" s="2">
        <f>--140</f>
        <v>140</v>
      </c>
      <c r="Q72" s="2"/>
      <c r="R72" s="19"/>
      <c r="S72" s="2"/>
      <c r="T72" s="2">
        <f>--1950.95</f>
        <v>1950.95</v>
      </c>
      <c r="U72" s="2"/>
      <c r="V72" s="19"/>
      <c r="W72" s="2"/>
      <c r="X72" s="2">
        <f t="shared" si="2"/>
        <v>-1810.95</v>
      </c>
      <c r="Y72" s="2"/>
      <c r="Z72" s="19">
        <f t="shared" si="3"/>
        <v>-0.9282400881621774</v>
      </c>
    </row>
    <row r="73" spans="1:26" s="24" customFormat="1" hidden="1" outlineLevel="1" x14ac:dyDescent="0.25">
      <c r="A73" s="44"/>
      <c r="B73" s="11" t="str">
        <f>CONCATENATE("          ", "4146", " - ", "NON-TAXABLE SALES-COIN OP MACH")</f>
        <v xml:space="preserve">          4146 - NON-TAXABLE SALES-COIN OP MACH</v>
      </c>
      <c r="C73" s="11"/>
      <c r="D73" s="2">
        <f>--121.7</f>
        <v>121.7</v>
      </c>
      <c r="E73" s="2"/>
      <c r="F73" s="19"/>
      <c r="G73" s="2"/>
      <c r="H73" s="2">
        <f>--28198.35</f>
        <v>28198.35</v>
      </c>
      <c r="I73" s="2"/>
      <c r="J73" s="19"/>
      <c r="K73" s="2"/>
      <c r="L73" s="2">
        <f t="shared" si="0"/>
        <v>-28076.649999999998</v>
      </c>
      <c r="M73" s="2"/>
      <c r="N73" s="19">
        <f t="shared" si="1"/>
        <v>-0.99568414463966859</v>
      </c>
      <c r="O73" s="11"/>
      <c r="P73" s="2">
        <f>--205908.65</f>
        <v>205908.65</v>
      </c>
      <c r="Q73" s="2"/>
      <c r="R73" s="19"/>
      <c r="S73" s="2"/>
      <c r="T73" s="2">
        <f>--260558.54</f>
        <v>260558.54</v>
      </c>
      <c r="U73" s="2"/>
      <c r="V73" s="19"/>
      <c r="W73" s="2"/>
      <c r="X73" s="2">
        <f t="shared" si="2"/>
        <v>-54649.890000000014</v>
      </c>
      <c r="Y73" s="2"/>
      <c r="Z73" s="19">
        <f t="shared" si="3"/>
        <v>-0.20974131187563461</v>
      </c>
    </row>
    <row r="74" spans="1:26" s="24" customFormat="1" hidden="1" outlineLevel="1" x14ac:dyDescent="0.25">
      <c r="A74" s="44"/>
      <c r="B74" s="11" t="str">
        <f>CONCATENATE("          ", "4147", " - ", "NON-TAXABLE SALES-MISC")</f>
        <v xml:space="preserve">          4147 - NON-TAXABLE SALES-MISC</v>
      </c>
      <c r="C74" s="11"/>
      <c r="D74" s="2">
        <f t="shared" ref="D74:D78" si="10">0</f>
        <v>0</v>
      </c>
      <c r="E74" s="2"/>
      <c r="F74" s="19"/>
      <c r="G74" s="2"/>
      <c r="H74" s="2">
        <f>--167.5</f>
        <v>167.5</v>
      </c>
      <c r="I74" s="2"/>
      <c r="J74" s="19"/>
      <c r="K74" s="2"/>
      <c r="L74" s="2">
        <f t="shared" si="0"/>
        <v>-167.5</v>
      </c>
      <c r="M74" s="2"/>
      <c r="N74" s="19">
        <f t="shared" si="1"/>
        <v>-1</v>
      </c>
      <c r="O74" s="11"/>
      <c r="P74" s="2">
        <f>--3436.37</f>
        <v>3436.37</v>
      </c>
      <c r="Q74" s="2"/>
      <c r="R74" s="19"/>
      <c r="S74" s="2"/>
      <c r="T74" s="2">
        <f>--898.23</f>
        <v>898.23</v>
      </c>
      <c r="U74" s="2"/>
      <c r="V74" s="19"/>
      <c r="W74" s="2"/>
      <c r="X74" s="2">
        <f t="shared" si="2"/>
        <v>2538.14</v>
      </c>
      <c r="Y74" s="2"/>
      <c r="Z74" s="19">
        <f t="shared" si="3"/>
        <v>2.8257127907106194</v>
      </c>
    </row>
    <row r="75" spans="1:26" s="24" customFormat="1" hidden="1" outlineLevel="1" x14ac:dyDescent="0.25">
      <c r="A75" s="44"/>
      <c r="B75" s="11" t="str">
        <f>CONCATENATE("          ", "4151", " - ", "NON-TAXABLE SALES-FOOD")</f>
        <v xml:space="preserve">          4151 - NON-TAXABLE SALES-FOOD</v>
      </c>
      <c r="C75" s="11"/>
      <c r="D75" s="2">
        <f t="shared" si="10"/>
        <v>0</v>
      </c>
      <c r="E75" s="2"/>
      <c r="F75" s="19"/>
      <c r="G75" s="2"/>
      <c r="H75" s="2">
        <f>--129532.68</f>
        <v>129532.68</v>
      </c>
      <c r="I75" s="2"/>
      <c r="J75" s="19"/>
      <c r="K75" s="2"/>
      <c r="L75" s="2">
        <f t="shared" si="0"/>
        <v>-129532.68</v>
      </c>
      <c r="M75" s="2"/>
      <c r="N75" s="19">
        <f t="shared" si="1"/>
        <v>-1</v>
      </c>
      <c r="O75" s="11"/>
      <c r="P75" s="2">
        <f>--828068.07</f>
        <v>828068.07</v>
      </c>
      <c r="Q75" s="2"/>
      <c r="R75" s="19"/>
      <c r="S75" s="2"/>
      <c r="T75" s="2">
        <f>--980249.98</f>
        <v>980249.98</v>
      </c>
      <c r="U75" s="2"/>
      <c r="V75" s="19"/>
      <c r="W75" s="2"/>
      <c r="X75" s="2">
        <f t="shared" si="2"/>
        <v>-152181.91000000003</v>
      </c>
      <c r="Y75" s="2"/>
      <c r="Z75" s="19">
        <f t="shared" si="3"/>
        <v>-0.15524806233609925</v>
      </c>
    </row>
    <row r="76" spans="1:26" s="24" customFormat="1" hidden="1" outlineLevel="1" x14ac:dyDescent="0.25">
      <c r="A76" s="44"/>
      <c r="B76" s="11" t="str">
        <f>CONCATENATE("          ", "4153", " - ", "NON-TAXABLE SALES-FOOD")</f>
        <v xml:space="preserve">          4153 - NON-TAXABLE SALES-FOOD</v>
      </c>
      <c r="C76" s="11"/>
      <c r="D76" s="2">
        <f t="shared" si="10"/>
        <v>0</v>
      </c>
      <c r="E76" s="2"/>
      <c r="F76" s="19"/>
      <c r="G76" s="2"/>
      <c r="H76" s="2">
        <f>--1075.25</f>
        <v>1075.25</v>
      </c>
      <c r="I76" s="2"/>
      <c r="J76" s="19"/>
      <c r="K76" s="2"/>
      <c r="L76" s="2">
        <f t="shared" si="0"/>
        <v>-1075.25</v>
      </c>
      <c r="M76" s="2"/>
      <c r="N76" s="19">
        <f t="shared" si="1"/>
        <v>-1</v>
      </c>
      <c r="O76" s="11"/>
      <c r="P76" s="2">
        <f>--12812.5</f>
        <v>12812.5</v>
      </c>
      <c r="Q76" s="2"/>
      <c r="R76" s="19"/>
      <c r="S76" s="2"/>
      <c r="T76" s="2">
        <f>--12766.25</f>
        <v>12766.25</v>
      </c>
      <c r="U76" s="2"/>
      <c r="V76" s="19"/>
      <c r="W76" s="2"/>
      <c r="X76" s="2">
        <f t="shared" si="2"/>
        <v>46.25</v>
      </c>
      <c r="Y76" s="2"/>
      <c r="Z76" s="19">
        <f t="shared" si="3"/>
        <v>3.622833643395672E-3</v>
      </c>
    </row>
    <row r="77" spans="1:26" s="24" customFormat="1" hidden="1" outlineLevel="1" x14ac:dyDescent="0.25">
      <c r="A77" s="44"/>
      <c r="B77" s="11" t="str">
        <f>CONCATENATE("          ", "4186", " - ", "NON-TAXABLE SALES-COMPUTER SUP")</f>
        <v xml:space="preserve">          4186 - NON-TAXABLE SALES-COMPUTER SUP</v>
      </c>
      <c r="C77" s="11"/>
      <c r="D77" s="2">
        <f t="shared" si="10"/>
        <v>0</v>
      </c>
      <c r="E77" s="2"/>
      <c r="F77" s="19"/>
      <c r="G77" s="2"/>
      <c r="H77" s="2">
        <f>-29</f>
        <v>-29</v>
      </c>
      <c r="I77" s="2"/>
      <c r="J77" s="19"/>
      <c r="K77" s="2"/>
      <c r="L77" s="2">
        <f t="shared" si="0"/>
        <v>29</v>
      </c>
      <c r="M77" s="2"/>
      <c r="N77" s="19">
        <f t="shared" si="1"/>
        <v>-1</v>
      </c>
      <c r="O77" s="11"/>
      <c r="P77" s="2">
        <f>-30.97</f>
        <v>-30.97</v>
      </c>
      <c r="Q77" s="2"/>
      <c r="R77" s="19"/>
      <c r="S77" s="2"/>
      <c r="T77" s="2">
        <f>-174.68</f>
        <v>-174.68</v>
      </c>
      <c r="U77" s="2"/>
      <c r="V77" s="19"/>
      <c r="W77" s="2"/>
      <c r="X77" s="2">
        <f t="shared" si="2"/>
        <v>143.71</v>
      </c>
      <c r="Y77" s="2"/>
      <c r="Z77" s="19">
        <f t="shared" si="3"/>
        <v>-0.82270437371193039</v>
      </c>
    </row>
    <row r="78" spans="1:26" s="24" customFormat="1" hidden="1" outlineLevel="1" x14ac:dyDescent="0.25">
      <c r="A78" s="44"/>
      <c r="B78" s="11" t="str">
        <f>CONCATENATE("          ", "4192", " - ", "NON-TAXABLE SALES-GRAD MERCH")</f>
        <v xml:space="preserve">          4192 - NON-TAXABLE SALES-GRAD MERCH</v>
      </c>
      <c r="C78" s="11"/>
      <c r="D78" s="2">
        <f t="shared" si="10"/>
        <v>0</v>
      </c>
      <c r="E78" s="2"/>
      <c r="F78" s="19"/>
      <c r="G78" s="2"/>
      <c r="H78" s="2">
        <f>--313.5</f>
        <v>313.5</v>
      </c>
      <c r="I78" s="2"/>
      <c r="J78" s="19"/>
      <c r="K78" s="2"/>
      <c r="L78" s="2">
        <f t="shared" si="0"/>
        <v>-313.5</v>
      </c>
      <c r="M78" s="2"/>
      <c r="N78" s="19">
        <f t="shared" si="1"/>
        <v>-1</v>
      </c>
      <c r="O78" s="11"/>
      <c r="P78" s="2">
        <f>0</f>
        <v>0</v>
      </c>
      <c r="Q78" s="2"/>
      <c r="R78" s="19"/>
      <c r="S78" s="2"/>
      <c r="T78" s="2">
        <f>--532</f>
        <v>532</v>
      </c>
      <c r="U78" s="2"/>
      <c r="V78" s="19"/>
      <c r="W78" s="2"/>
      <c r="X78" s="2">
        <f t="shared" si="2"/>
        <v>-532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"4201", " - ", "SALES RETURN TAXABLE-NEW TEXT")</f>
        <v xml:space="preserve">          4201 - SALES RETURN TAXABLE-NEW TEXT</v>
      </c>
      <c r="C79" s="11"/>
      <c r="D79" s="2">
        <f>-62.3</f>
        <v>-62.3</v>
      </c>
      <c r="E79" s="2"/>
      <c r="F79" s="19"/>
      <c r="G79" s="2"/>
      <c r="H79" s="2">
        <f>-295.04</f>
        <v>-295.04000000000002</v>
      </c>
      <c r="I79" s="2"/>
      <c r="J79" s="19"/>
      <c r="K79" s="2"/>
      <c r="L79" s="2">
        <f t="shared" si="0"/>
        <v>232.74</v>
      </c>
      <c r="M79" s="2"/>
      <c r="N79" s="19">
        <f t="shared" si="1"/>
        <v>-0.78884219088937091</v>
      </c>
      <c r="O79" s="11"/>
      <c r="P79" s="2">
        <f>-121223.01</f>
        <v>-121223.01</v>
      </c>
      <c r="Q79" s="2"/>
      <c r="R79" s="19"/>
      <c r="S79" s="2"/>
      <c r="T79" s="2">
        <f>-175695.6</f>
        <v>-175695.6</v>
      </c>
      <c r="U79" s="2"/>
      <c r="V79" s="19"/>
      <c r="W79" s="2"/>
      <c r="X79" s="2">
        <f t="shared" si="2"/>
        <v>54472.590000000011</v>
      </c>
      <c r="Y79" s="2"/>
      <c r="Z79" s="19">
        <f t="shared" si="3"/>
        <v>-0.31003957981873198</v>
      </c>
    </row>
    <row r="80" spans="1:26" s="24" customFormat="1" hidden="1" outlineLevel="1" x14ac:dyDescent="0.25">
      <c r="A80" s="44"/>
      <c r="B80" s="11" t="str">
        <f>CONCATENATE("          ", "4202", " - ", "SALES RETURN TAXABLE-USED TEXT")</f>
        <v xml:space="preserve">          4202 - SALES RETURN TAXABLE-USED TEXT</v>
      </c>
      <c r="C80" s="11"/>
      <c r="D80" s="2">
        <f>-31.95</f>
        <v>-31.95</v>
      </c>
      <c r="E80" s="2"/>
      <c r="F80" s="19"/>
      <c r="G80" s="2"/>
      <c r="H80" s="2">
        <f>-238.1</f>
        <v>-238.1</v>
      </c>
      <c r="I80" s="2"/>
      <c r="J80" s="19"/>
      <c r="K80" s="2"/>
      <c r="L80" s="2">
        <f t="shared" si="0"/>
        <v>206.15</v>
      </c>
      <c r="M80" s="2"/>
      <c r="N80" s="19">
        <f t="shared" si="1"/>
        <v>-0.86581268374632514</v>
      </c>
      <c r="O80" s="11"/>
      <c r="P80" s="2">
        <f>-45552.71</f>
        <v>-45552.71</v>
      </c>
      <c r="Q80" s="2"/>
      <c r="R80" s="19"/>
      <c r="S80" s="2"/>
      <c r="T80" s="2">
        <f>-45639.95</f>
        <v>-45639.95</v>
      </c>
      <c r="U80" s="2"/>
      <c r="V80" s="19"/>
      <c r="W80" s="2"/>
      <c r="X80" s="2">
        <f t="shared" si="2"/>
        <v>87.239999999997963</v>
      </c>
      <c r="Y80" s="2"/>
      <c r="Z80" s="19">
        <f t="shared" si="3"/>
        <v>-1.9114832509675836E-3</v>
      </c>
    </row>
    <row r="81" spans="1:26" s="24" customFormat="1" hidden="1" outlineLevel="1" x14ac:dyDescent="0.25">
      <c r="A81" s="44"/>
      <c r="B81" s="11" t="str">
        <f>CONCATENATE("          ", "4203", " - ", "SALES RETURN TAXABLE-RENTAL TE")</f>
        <v xml:space="preserve">          4203 - SALES RETURN TAXABLE-RENTAL TE</v>
      </c>
      <c r="C81" s="11"/>
      <c r="D81" s="2">
        <f t="shared" ref="D81:D82" si="11">0</f>
        <v>0</v>
      </c>
      <c r="E81" s="2"/>
      <c r="F81" s="19"/>
      <c r="G81" s="2"/>
      <c r="H81" s="2">
        <f t="shared" ref="H81:H82" si="12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-144.99</f>
        <v>-144.99</v>
      </c>
      <c r="Q81" s="2"/>
      <c r="R81" s="19"/>
      <c r="S81" s="2"/>
      <c r="T81" s="2">
        <f>-1699.5</f>
        <v>-1699.5</v>
      </c>
      <c r="U81" s="2"/>
      <c r="V81" s="19"/>
      <c r="W81" s="2"/>
      <c r="X81" s="2">
        <f t="shared" si="2"/>
        <v>1554.51</v>
      </c>
      <c r="Y81" s="2"/>
      <c r="Z81" s="19">
        <f t="shared" si="3"/>
        <v>-0.9146866725507502</v>
      </c>
    </row>
    <row r="82" spans="1:26" s="24" customFormat="1" hidden="1" outlineLevel="1" x14ac:dyDescent="0.25">
      <c r="A82" s="44"/>
      <c r="B82" s="11" t="str">
        <f>CONCATENATE("          ", "4204", " - ", "SALES RETURN TAXABLE-DIGITAL T")</f>
        <v xml:space="preserve">          4204 - SALES RETURN TAXABLE-DIGITAL T</v>
      </c>
      <c r="C82" s="11"/>
      <c r="D82" s="2">
        <f t="shared" si="11"/>
        <v>0</v>
      </c>
      <c r="E82" s="2"/>
      <c r="F82" s="19"/>
      <c r="G82" s="2"/>
      <c r="H82" s="2">
        <f t="shared" si="12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-17255.33</f>
        <v>-17255.330000000002</v>
      </c>
      <c r="Q82" s="2"/>
      <c r="R82" s="19"/>
      <c r="S82" s="2"/>
      <c r="T82" s="2">
        <f>-27059.65</f>
        <v>-27059.65</v>
      </c>
      <c r="U82" s="2"/>
      <c r="V82" s="19"/>
      <c r="W82" s="2"/>
      <c r="X82" s="2">
        <f t="shared" si="2"/>
        <v>9804.32</v>
      </c>
      <c r="Y82" s="2"/>
      <c r="Z82" s="19">
        <f t="shared" si="3"/>
        <v>-0.36232249862803101</v>
      </c>
    </row>
    <row r="83" spans="1:26" s="24" customFormat="1" hidden="1" outlineLevel="1" x14ac:dyDescent="0.25">
      <c r="A83" s="44"/>
      <c r="B83" s="11" t="str">
        <f>CONCATENATE("          ", "4213", " - ", "NON-TAXABLE SALES-TRADE BOOKS")</f>
        <v xml:space="preserve">          4213 - NON-TAXABLE SALES-TRADE BOOKS</v>
      </c>
      <c r="C83" s="11"/>
      <c r="D83" s="2">
        <f>-2173.76</f>
        <v>-2173.7600000000002</v>
      </c>
      <c r="E83" s="2"/>
      <c r="F83" s="19"/>
      <c r="G83" s="2"/>
      <c r="H83" s="2">
        <f>-899.64</f>
        <v>-899.64</v>
      </c>
      <c r="I83" s="2"/>
      <c r="J83" s="19"/>
      <c r="K83" s="2"/>
      <c r="L83" s="2">
        <f t="shared" si="0"/>
        <v>-1274.1200000000003</v>
      </c>
      <c r="M83" s="2"/>
      <c r="N83" s="19">
        <f t="shared" si="1"/>
        <v>1.4162553910453075</v>
      </c>
      <c r="O83" s="11"/>
      <c r="P83" s="2">
        <f>-2768.67</f>
        <v>-2768.67</v>
      </c>
      <c r="Q83" s="2"/>
      <c r="R83" s="19"/>
      <c r="S83" s="2"/>
      <c r="T83" s="2">
        <f>-1548.35</f>
        <v>-1548.35</v>
      </c>
      <c r="U83" s="2"/>
      <c r="V83" s="19"/>
      <c r="W83" s="2"/>
      <c r="X83" s="2">
        <f t="shared" si="2"/>
        <v>-1220.3200000000002</v>
      </c>
      <c r="Y83" s="2"/>
      <c r="Z83" s="19">
        <f t="shared" si="3"/>
        <v>0.7881422159072563</v>
      </c>
    </row>
    <row r="84" spans="1:26" s="24" customFormat="1" hidden="1" outlineLevel="1" x14ac:dyDescent="0.25">
      <c r="A84" s="44"/>
      <c r="B84" s="11" t="str">
        <f>CONCATENATE("          ", "4214", " - ", "SALES RETURN TAXABLE-REMAINDER")</f>
        <v xml:space="preserve">          4214 - SALES RETURN TAXABLE-REMAINDER</v>
      </c>
      <c r="C84" s="11"/>
      <c r="D84" s="2">
        <f t="shared" ref="D84:D92" si="13">0</f>
        <v>0</v>
      </c>
      <c r="E84" s="2"/>
      <c r="F84" s="19"/>
      <c r="G84" s="2"/>
      <c r="H84" s="2">
        <f t="shared" ref="H84:H86" si="14"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-11.94</f>
        <v>-11.94</v>
      </c>
      <c r="Q84" s="2"/>
      <c r="R84" s="19"/>
      <c r="S84" s="2"/>
      <c r="T84" s="2">
        <f>-19.84</f>
        <v>-19.84</v>
      </c>
      <c r="U84" s="2"/>
      <c r="V84" s="19"/>
      <c r="W84" s="2"/>
      <c r="X84" s="2">
        <f t="shared" si="2"/>
        <v>7.9</v>
      </c>
      <c r="Y84" s="2"/>
      <c r="Z84" s="19">
        <f t="shared" si="3"/>
        <v>-0.39818548387096775</v>
      </c>
    </row>
    <row r="85" spans="1:26" s="24" customFormat="1" hidden="1" outlineLevel="1" x14ac:dyDescent="0.25">
      <c r="A85" s="44"/>
      <c r="B85" s="11" t="str">
        <f>CONCATENATE("          ", "4217", " - ", "NON-TAXABLE SALES-DORM/HOUSEWA")</f>
        <v xml:space="preserve">          4217 - NON-TAXABLE SALES-DORM/HOUSEWA</v>
      </c>
      <c r="C85" s="11"/>
      <c r="D85" s="2">
        <f t="shared" si="13"/>
        <v>0</v>
      </c>
      <c r="E85" s="2"/>
      <c r="F85" s="19"/>
      <c r="G85" s="2"/>
      <c r="H85" s="2">
        <f t="shared" si="14"/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-2.98</f>
        <v>-2.98</v>
      </c>
      <c r="Q85" s="2"/>
      <c r="R85" s="19"/>
      <c r="S85" s="2"/>
      <c r="T85" s="2">
        <f>-1.5</f>
        <v>-1.5</v>
      </c>
      <c r="U85" s="2"/>
      <c r="V85" s="19"/>
      <c r="W85" s="2"/>
      <c r="X85" s="2">
        <f t="shared" si="2"/>
        <v>-1.48</v>
      </c>
      <c r="Y85" s="2"/>
      <c r="Z85" s="19">
        <f t="shared" si="3"/>
        <v>0.98666666666666669</v>
      </c>
    </row>
    <row r="86" spans="1:26" s="24" customFormat="1" hidden="1" outlineLevel="1" x14ac:dyDescent="0.25">
      <c r="A86" s="44"/>
      <c r="B86" s="11" t="str">
        <f>CONCATENATE("          ", "4218", " - ", "SALES RETURN TAXABLE-STUDY GUI")</f>
        <v xml:space="preserve">          4218 - SALES RETURN TAXABLE-STUDY GUI</v>
      </c>
      <c r="C86" s="11"/>
      <c r="D86" s="2">
        <f t="shared" si="13"/>
        <v>0</v>
      </c>
      <c r="E86" s="2"/>
      <c r="F86" s="19"/>
      <c r="G86" s="2"/>
      <c r="H86" s="2">
        <f t="shared" si="14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-39.25</f>
        <v>-39.25</v>
      </c>
      <c r="Q86" s="2"/>
      <c r="R86" s="19"/>
      <c r="S86" s="2"/>
      <c r="T86" s="2">
        <f>-67.6</f>
        <v>-67.599999999999994</v>
      </c>
      <c r="U86" s="2"/>
      <c r="V86" s="19"/>
      <c r="W86" s="2"/>
      <c r="X86" s="2">
        <f t="shared" si="2"/>
        <v>28.349999999999994</v>
      </c>
      <c r="Y86" s="2"/>
      <c r="Z86" s="19">
        <f t="shared" si="3"/>
        <v>-0.41937869822485202</v>
      </c>
    </row>
    <row r="87" spans="1:26" s="24" customFormat="1" hidden="1" outlineLevel="1" x14ac:dyDescent="0.25">
      <c r="A87" s="44"/>
      <c r="B87" s="11" t="str">
        <f>CONCATENATE("          ", "4225", " - ", "SALES RETURN TAXABLE-TEST FORM")</f>
        <v xml:space="preserve">          4225 - SALES RETURN TAXABLE-TEST FORM</v>
      </c>
      <c r="C87" s="11"/>
      <c r="D87" s="2">
        <f t="shared" si="13"/>
        <v>0</v>
      </c>
      <c r="E87" s="2"/>
      <c r="F87" s="19"/>
      <c r="G87" s="2"/>
      <c r="H87" s="2">
        <f>-73.92</f>
        <v>-73.92</v>
      </c>
      <c r="I87" s="2"/>
      <c r="J87" s="19"/>
      <c r="K87" s="2"/>
      <c r="L87" s="2">
        <f t="shared" si="0"/>
        <v>73.92</v>
      </c>
      <c r="M87" s="2"/>
      <c r="N87" s="19">
        <f t="shared" si="1"/>
        <v>-1</v>
      </c>
      <c r="O87" s="11"/>
      <c r="P87" s="2">
        <f>-176.41</f>
        <v>-176.41</v>
      </c>
      <c r="Q87" s="2"/>
      <c r="R87" s="19"/>
      <c r="S87" s="2"/>
      <c r="T87" s="2">
        <f>-187.82</f>
        <v>-187.82</v>
      </c>
      <c r="U87" s="2"/>
      <c r="V87" s="19"/>
      <c r="W87" s="2"/>
      <c r="X87" s="2">
        <f t="shared" si="2"/>
        <v>11.409999999999997</v>
      </c>
      <c r="Y87" s="2"/>
      <c r="Z87" s="19">
        <f t="shared" si="3"/>
        <v>-6.0749653923969742E-2</v>
      </c>
    </row>
    <row r="88" spans="1:26" s="24" customFormat="1" hidden="1" outlineLevel="1" x14ac:dyDescent="0.25">
      <c r="A88" s="44"/>
      <c r="B88" s="11" t="str">
        <f>CONCATENATE("          ", "4226", " - ", "SALES RETURN TAXABLE-WRITING I")</f>
        <v xml:space="preserve">          4226 - SALES RETURN TAXABLE-WRITING I</v>
      </c>
      <c r="C88" s="11"/>
      <c r="D88" s="2">
        <f t="shared" si="13"/>
        <v>0</v>
      </c>
      <c r="E88" s="2"/>
      <c r="F88" s="19"/>
      <c r="G88" s="2"/>
      <c r="H88" s="2">
        <f>-292.72</f>
        <v>-292.72000000000003</v>
      </c>
      <c r="I88" s="2"/>
      <c r="J88" s="19"/>
      <c r="K88" s="2"/>
      <c r="L88" s="2">
        <f t="shared" si="0"/>
        <v>292.72000000000003</v>
      </c>
      <c r="M88" s="2"/>
      <c r="N88" s="19">
        <f t="shared" si="1"/>
        <v>-1</v>
      </c>
      <c r="O88" s="11"/>
      <c r="P88" s="2">
        <f>-765.04</f>
        <v>-765.04</v>
      </c>
      <c r="Q88" s="2"/>
      <c r="R88" s="19"/>
      <c r="S88" s="2"/>
      <c r="T88" s="2">
        <f>-670.45</f>
        <v>-670.45</v>
      </c>
      <c r="U88" s="2"/>
      <c r="V88" s="19"/>
      <c r="W88" s="2"/>
      <c r="X88" s="2">
        <f t="shared" si="2"/>
        <v>-94.589999999999918</v>
      </c>
      <c r="Y88" s="2"/>
      <c r="Z88" s="19">
        <f t="shared" si="3"/>
        <v>0.1410843463345513</v>
      </c>
    </row>
    <row r="89" spans="1:26" s="24" customFormat="1" hidden="1" outlineLevel="1" x14ac:dyDescent="0.25">
      <c r="A89" s="44"/>
      <c r="B89" s="11" t="str">
        <f>CONCATENATE("          ", "4227", " - ", "SALES RETURN TAXABLE-SCHOOL SU")</f>
        <v xml:space="preserve">          4227 - SALES RETURN TAXABLE-SCHOOL SU</v>
      </c>
      <c r="C89" s="11"/>
      <c r="D89" s="2">
        <f t="shared" si="13"/>
        <v>0</v>
      </c>
      <c r="E89" s="2"/>
      <c r="F89" s="19"/>
      <c r="G89" s="2"/>
      <c r="H89" s="2">
        <f>-521.01</f>
        <v>-521.01</v>
      </c>
      <c r="I89" s="2"/>
      <c r="J89" s="19"/>
      <c r="K89" s="2"/>
      <c r="L89" s="2">
        <f t="shared" si="0"/>
        <v>521.01</v>
      </c>
      <c r="M89" s="2"/>
      <c r="N89" s="19">
        <f t="shared" si="1"/>
        <v>-1</v>
      </c>
      <c r="O89" s="11"/>
      <c r="P89" s="2">
        <f>-8593.61</f>
        <v>-8593.61</v>
      </c>
      <c r="Q89" s="2"/>
      <c r="R89" s="19"/>
      <c r="S89" s="2"/>
      <c r="T89" s="2">
        <f>-6491.83</f>
        <v>-6491.83</v>
      </c>
      <c r="U89" s="2"/>
      <c r="V89" s="19"/>
      <c r="W89" s="2"/>
      <c r="X89" s="2">
        <f t="shared" si="2"/>
        <v>-2101.7800000000007</v>
      </c>
      <c r="Y89" s="2"/>
      <c r="Z89" s="19">
        <f t="shared" si="3"/>
        <v>0.32375770776499085</v>
      </c>
    </row>
    <row r="90" spans="1:26" s="24" customFormat="1" hidden="1" outlineLevel="1" x14ac:dyDescent="0.25">
      <c r="A90" s="44"/>
      <c r="B90" s="11" t="str">
        <f>CONCATENATE("          ", "4228", " - ", "SALES RETURN TAXABLE-ART/TECH")</f>
        <v xml:space="preserve">          4228 - SALES RETURN TAXABLE-ART/TECH</v>
      </c>
      <c r="C90" s="11"/>
      <c r="D90" s="2">
        <f t="shared" si="13"/>
        <v>0</v>
      </c>
      <c r="E90" s="2"/>
      <c r="F90" s="19"/>
      <c r="G90" s="2"/>
      <c r="H90" s="2">
        <f>-636.43</f>
        <v>-636.42999999999995</v>
      </c>
      <c r="I90" s="2"/>
      <c r="J90" s="19"/>
      <c r="K90" s="2"/>
      <c r="L90" s="2">
        <f t="shared" si="0"/>
        <v>636.42999999999995</v>
      </c>
      <c r="M90" s="2"/>
      <c r="N90" s="19">
        <f t="shared" si="1"/>
        <v>-1</v>
      </c>
      <c r="O90" s="11"/>
      <c r="P90" s="2">
        <f>-4739.1</f>
        <v>-4739.1000000000004</v>
      </c>
      <c r="Q90" s="2"/>
      <c r="R90" s="19"/>
      <c r="S90" s="2"/>
      <c r="T90" s="2">
        <f>-8058.01</f>
        <v>-8058.01</v>
      </c>
      <c r="U90" s="2"/>
      <c r="V90" s="19"/>
      <c r="W90" s="2"/>
      <c r="X90" s="2">
        <f t="shared" si="2"/>
        <v>3318.91</v>
      </c>
      <c r="Y90" s="2"/>
      <c r="Z90" s="19">
        <f t="shared" si="3"/>
        <v>-0.41187712599016379</v>
      </c>
    </row>
    <row r="91" spans="1:26" s="24" customFormat="1" hidden="1" outlineLevel="1" x14ac:dyDescent="0.25">
      <c r="A91" s="44"/>
      <c r="B91" s="11" t="str">
        <f>CONCATENATE("          ", "4233", " - ", "SALES RETURN TAXABLE-CANDY")</f>
        <v xml:space="preserve">          4233 - SALES RETURN TAXABLE-CANDY</v>
      </c>
      <c r="C91" s="11"/>
      <c r="D91" s="2">
        <f t="shared" si="13"/>
        <v>0</v>
      </c>
      <c r="E91" s="2"/>
      <c r="F91" s="19"/>
      <c r="G91" s="2"/>
      <c r="H91" s="2">
        <f t="shared" ref="H91:H92" si="15">0</f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-8.25</f>
        <v>-8.25</v>
      </c>
      <c r="Q91" s="2"/>
      <c r="R91" s="19"/>
      <c r="S91" s="2"/>
      <c r="T91" s="2">
        <f>-5.27</f>
        <v>-5.27</v>
      </c>
      <c r="U91" s="2"/>
      <c r="V91" s="19"/>
      <c r="W91" s="2"/>
      <c r="X91" s="2">
        <f t="shared" si="2"/>
        <v>-2.9800000000000004</v>
      </c>
      <c r="Y91" s="2"/>
      <c r="Z91" s="19">
        <f t="shared" si="3"/>
        <v>0.5654648956356737</v>
      </c>
    </row>
    <row r="92" spans="1:26" s="24" customFormat="1" hidden="1" outlineLevel="1" x14ac:dyDescent="0.25">
      <c r="A92" s="44"/>
      <c r="B92" s="11" t="str">
        <f>CONCATENATE("          ", "4234", " - ", "SALES RETURN TAXABLE-SODA")</f>
        <v xml:space="preserve">          4234 - SALES RETURN TAXABLE-SODA</v>
      </c>
      <c r="C92" s="11"/>
      <c r="D92" s="2">
        <f t="shared" si="13"/>
        <v>0</v>
      </c>
      <c r="E92" s="2"/>
      <c r="F92" s="19"/>
      <c r="G92" s="2"/>
      <c r="H92" s="2">
        <f t="shared" si="15"/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0</f>
        <v>0</v>
      </c>
      <c r="Q92" s="2"/>
      <c r="R92" s="19"/>
      <c r="S92" s="2"/>
      <c r="T92" s="2">
        <f>-5.28</f>
        <v>-5.28</v>
      </c>
      <c r="U92" s="2"/>
      <c r="V92" s="19"/>
      <c r="W92" s="2"/>
      <c r="X92" s="2">
        <f t="shared" si="2"/>
        <v>5.28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"4240", " - ", "SALES RETURN TAXABLE-LOGO CLOT")</f>
        <v xml:space="preserve">          4240 - SALES RETURN TAXABLE-LOGO CLOT</v>
      </c>
      <c r="C93" s="11"/>
      <c r="D93" s="2">
        <f>-1642.96</f>
        <v>-1642.96</v>
      </c>
      <c r="E93" s="2"/>
      <c r="F93" s="19"/>
      <c r="G93" s="2"/>
      <c r="H93" s="2">
        <f>-7874.77</f>
        <v>-7874.77</v>
      </c>
      <c r="I93" s="2"/>
      <c r="J93" s="19"/>
      <c r="K93" s="2"/>
      <c r="L93" s="2">
        <f t="shared" si="0"/>
        <v>6231.81</v>
      </c>
      <c r="M93" s="2"/>
      <c r="N93" s="19">
        <f t="shared" si="1"/>
        <v>-0.79136406523619107</v>
      </c>
      <c r="O93" s="11"/>
      <c r="P93" s="2">
        <f>-74455.19</f>
        <v>-74455.19</v>
      </c>
      <c r="Q93" s="2"/>
      <c r="R93" s="19"/>
      <c r="S93" s="2"/>
      <c r="T93" s="2">
        <f>-83871.12</f>
        <v>-83871.12</v>
      </c>
      <c r="U93" s="2"/>
      <c r="V93" s="19"/>
      <c r="W93" s="2"/>
      <c r="X93" s="2">
        <f t="shared" si="2"/>
        <v>9415.929999999993</v>
      </c>
      <c r="Y93" s="2"/>
      <c r="Z93" s="19">
        <f t="shared" si="3"/>
        <v>-0.11226665388515134</v>
      </c>
    </row>
    <row r="94" spans="1:26" s="24" customFormat="1" hidden="1" outlineLevel="1" x14ac:dyDescent="0.25">
      <c r="A94" s="44"/>
      <c r="B94" s="11" t="str">
        <f>CONCATENATE("          ", "4241", " - ", "SALES RETURN TAXABLE-LOGO GIFT")</f>
        <v xml:space="preserve">          4241 - SALES RETURN TAXABLE-LOGO GIFT</v>
      </c>
      <c r="C94" s="11"/>
      <c r="D94" s="2">
        <f>-190.5</f>
        <v>-190.5</v>
      </c>
      <c r="E94" s="2"/>
      <c r="F94" s="19"/>
      <c r="G94" s="2"/>
      <c r="H94" s="2">
        <f>-728.13</f>
        <v>-728.13</v>
      </c>
      <c r="I94" s="2"/>
      <c r="J94" s="19"/>
      <c r="K94" s="2"/>
      <c r="L94" s="2">
        <f t="shared" si="0"/>
        <v>537.63</v>
      </c>
      <c r="M94" s="2"/>
      <c r="N94" s="19">
        <f t="shared" si="1"/>
        <v>-0.73837089530715672</v>
      </c>
      <c r="O94" s="11"/>
      <c r="P94" s="2">
        <f>-6331.88</f>
        <v>-6331.88</v>
      </c>
      <c r="Q94" s="2"/>
      <c r="R94" s="19"/>
      <c r="S94" s="2"/>
      <c r="T94" s="2">
        <f>-10787.05</f>
        <v>-10787.05</v>
      </c>
      <c r="U94" s="2"/>
      <c r="V94" s="19"/>
      <c r="W94" s="2"/>
      <c r="X94" s="2">
        <f t="shared" si="2"/>
        <v>4455.1699999999992</v>
      </c>
      <c r="Y94" s="2"/>
      <c r="Z94" s="19">
        <f t="shared" si="3"/>
        <v>-0.41301097148896126</v>
      </c>
    </row>
    <row r="95" spans="1:26" s="24" customFormat="1" hidden="1" outlineLevel="1" x14ac:dyDescent="0.25">
      <c r="A95" s="44"/>
      <c r="B95" s="11" t="str">
        <f>CONCATENATE("          ", "4242", " - ", "SALES RETURN TAXABLE-EVERYDAY")</f>
        <v xml:space="preserve">          4242 - SALES RETURN TAXABLE-EVERYDAY</v>
      </c>
      <c r="C95" s="11"/>
      <c r="D95" s="2">
        <f>-3</f>
        <v>-3</v>
      </c>
      <c r="E95" s="2"/>
      <c r="F95" s="19"/>
      <c r="G95" s="2"/>
      <c r="H95" s="2">
        <f>-832.72</f>
        <v>-832.72</v>
      </c>
      <c r="I95" s="2"/>
      <c r="J95" s="19"/>
      <c r="K95" s="2"/>
      <c r="L95" s="2">
        <f t="shared" si="0"/>
        <v>829.72</v>
      </c>
      <c r="M95" s="2"/>
      <c r="N95" s="19">
        <f t="shared" si="1"/>
        <v>-0.99639734844845806</v>
      </c>
      <c r="O95" s="11"/>
      <c r="P95" s="2">
        <f>-4181.41</f>
        <v>-4181.41</v>
      </c>
      <c r="Q95" s="2"/>
      <c r="R95" s="19"/>
      <c r="S95" s="2"/>
      <c r="T95" s="2">
        <f>-4239.18</f>
        <v>-4239.18</v>
      </c>
      <c r="U95" s="2"/>
      <c r="V95" s="19"/>
      <c r="W95" s="2"/>
      <c r="X95" s="2">
        <f t="shared" si="2"/>
        <v>57.770000000000437</v>
      </c>
      <c r="Y95" s="2"/>
      <c r="Z95" s="19">
        <f t="shared" si="3"/>
        <v>-1.36276355332872E-2</v>
      </c>
    </row>
    <row r="96" spans="1:26" s="24" customFormat="1" hidden="1" outlineLevel="1" x14ac:dyDescent="0.25">
      <c r="A96" s="44"/>
      <c r="B96" s="11" t="str">
        <f>CONCATENATE("          ", "4243", " - ", "SALES RETURN TAXABLE-CARDS")</f>
        <v xml:space="preserve">          4243 - SALES RETURN TAXABLE-CARDS</v>
      </c>
      <c r="C96" s="11"/>
      <c r="D96" s="2">
        <f>-13</f>
        <v>-13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-13</v>
      </c>
      <c r="M96" s="2"/>
      <c r="N96" s="19">
        <f t="shared" si="1"/>
        <v>0</v>
      </c>
      <c r="O96" s="11"/>
      <c r="P96" s="2">
        <f>-3006.31</f>
        <v>-3006.31</v>
      </c>
      <c r="Q96" s="2"/>
      <c r="R96" s="19"/>
      <c r="S96" s="2"/>
      <c r="T96" s="2">
        <f>-25.94</f>
        <v>-25.94</v>
      </c>
      <c r="U96" s="2"/>
      <c r="V96" s="19"/>
      <c r="W96" s="2"/>
      <c r="X96" s="2">
        <f t="shared" si="2"/>
        <v>-2980.37</v>
      </c>
      <c r="Y96" s="2"/>
      <c r="Z96" s="19">
        <f t="shared" si="3"/>
        <v>114.89475713184271</v>
      </c>
    </row>
    <row r="97" spans="1:26" s="24" customFormat="1" hidden="1" outlineLevel="1" x14ac:dyDescent="0.25">
      <c r="A97" s="44"/>
      <c r="B97" s="11" t="str">
        <f>CONCATENATE("          ", "4244", " - ", "SALES RETURN TAXABLE-ACCESSORI")</f>
        <v xml:space="preserve">          4244 - SALES RETURN TAXABLE-ACCESSORI</v>
      </c>
      <c r="C97" s="11"/>
      <c r="D97" s="2">
        <f t="shared" ref="D97:D101" si="16">0</f>
        <v>0</v>
      </c>
      <c r="E97" s="2"/>
      <c r="F97" s="19"/>
      <c r="G97" s="2"/>
      <c r="H97" s="2">
        <f>-174.65</f>
        <v>-174.65</v>
      </c>
      <c r="I97" s="2"/>
      <c r="J97" s="19"/>
      <c r="K97" s="2"/>
      <c r="L97" s="2">
        <f t="shared" si="0"/>
        <v>174.65</v>
      </c>
      <c r="M97" s="2"/>
      <c r="N97" s="19">
        <f t="shared" si="1"/>
        <v>-1</v>
      </c>
      <c r="O97" s="11"/>
      <c r="P97" s="2">
        <f>-2470.7</f>
        <v>-2470.6999999999998</v>
      </c>
      <c r="Q97" s="2"/>
      <c r="R97" s="19"/>
      <c r="S97" s="2"/>
      <c r="T97" s="2">
        <f>-3829.22</f>
        <v>-3829.22</v>
      </c>
      <c r="U97" s="2"/>
      <c r="V97" s="19"/>
      <c r="W97" s="2"/>
      <c r="X97" s="2">
        <f t="shared" si="2"/>
        <v>1358.52</v>
      </c>
      <c r="Y97" s="2"/>
      <c r="Z97" s="19">
        <f t="shared" si="3"/>
        <v>-0.35477721311389787</v>
      </c>
    </row>
    <row r="98" spans="1:26" s="24" customFormat="1" hidden="1" outlineLevel="1" x14ac:dyDescent="0.25">
      <c r="A98" s="44"/>
      <c r="B98" s="11" t="str">
        <f>CONCATENATE("          ", "4245", " - ", "SALES RETURN TAXABLE-SPECIAL O")</f>
        <v xml:space="preserve">          4245 - SALES RETURN TAXABLE-SPECIAL O</v>
      </c>
      <c r="C98" s="11"/>
      <c r="D98" s="2">
        <f t="shared" si="16"/>
        <v>0</v>
      </c>
      <c r="E98" s="2"/>
      <c r="F98" s="19"/>
      <c r="G98" s="2"/>
      <c r="H98" s="2">
        <f>-504</f>
        <v>-504</v>
      </c>
      <c r="I98" s="2"/>
      <c r="J98" s="19"/>
      <c r="K98" s="2"/>
      <c r="L98" s="2">
        <f t="shared" si="0"/>
        <v>504</v>
      </c>
      <c r="M98" s="2"/>
      <c r="N98" s="19">
        <f t="shared" si="1"/>
        <v>-1</v>
      </c>
      <c r="O98" s="11"/>
      <c r="P98" s="2">
        <f>-1735.03</f>
        <v>-1735.03</v>
      </c>
      <c r="Q98" s="2"/>
      <c r="R98" s="19"/>
      <c r="S98" s="2"/>
      <c r="T98" s="2">
        <f>-751.92</f>
        <v>-751.92</v>
      </c>
      <c r="U98" s="2"/>
      <c r="V98" s="19"/>
      <c r="W98" s="2"/>
      <c r="X98" s="2">
        <f t="shared" si="2"/>
        <v>-983.11</v>
      </c>
      <c r="Y98" s="2"/>
      <c r="Z98" s="19">
        <f t="shared" si="3"/>
        <v>1.3074662198106182</v>
      </c>
    </row>
    <row r="99" spans="1:26" s="24" customFormat="1" hidden="1" outlineLevel="1" x14ac:dyDescent="0.25">
      <c r="A99" s="44"/>
      <c r="B99" s="11" t="str">
        <f>CONCATENATE("          ", "4281", " - ", "SALES RETURN TAXABLE-ELECTRONI")</f>
        <v xml:space="preserve">          4281 - SALES RETURN TAXABLE-ELECTRONI</v>
      </c>
      <c r="C99" s="11"/>
      <c r="D99" s="2">
        <f t="shared" si="16"/>
        <v>0</v>
      </c>
      <c r="E99" s="2"/>
      <c r="F99" s="19"/>
      <c r="G99" s="2"/>
      <c r="H99" s="2">
        <f>-9.99</f>
        <v>-9.99</v>
      </c>
      <c r="I99" s="2"/>
      <c r="J99" s="19"/>
      <c r="K99" s="2"/>
      <c r="L99" s="2">
        <f t="shared" si="0"/>
        <v>9.99</v>
      </c>
      <c r="M99" s="2"/>
      <c r="N99" s="19">
        <f t="shared" si="1"/>
        <v>-1</v>
      </c>
      <c r="O99" s="11"/>
      <c r="P99" s="2">
        <f>-54.97</f>
        <v>-54.97</v>
      </c>
      <c r="Q99" s="2"/>
      <c r="R99" s="19"/>
      <c r="S99" s="2"/>
      <c r="T99" s="2">
        <f>-64.95</f>
        <v>-64.95</v>
      </c>
      <c r="U99" s="2"/>
      <c r="V99" s="19"/>
      <c r="W99" s="2"/>
      <c r="X99" s="2">
        <f t="shared" si="2"/>
        <v>9.980000000000004</v>
      </c>
      <c r="Y99" s="2"/>
      <c r="Z99" s="19">
        <f t="shared" si="3"/>
        <v>-0.1536566589684373</v>
      </c>
    </row>
    <row r="100" spans="1:26" s="24" customFormat="1" hidden="1" outlineLevel="1" x14ac:dyDescent="0.25">
      <c r="A100" s="44"/>
      <c r="B100" s="11" t="str">
        <f>CONCATENATE("          ", "4292", " - ", "SALES RETURN TAXABLE-GRAD MERC")</f>
        <v xml:space="preserve">          4292 - SALES RETURN TAXABLE-GRAD MERC</v>
      </c>
      <c r="C100" s="11"/>
      <c r="D100" s="2">
        <f t="shared" si="16"/>
        <v>0</v>
      </c>
      <c r="E100" s="2"/>
      <c r="F100" s="19"/>
      <c r="G100" s="2"/>
      <c r="H100" s="2">
        <f>-1283.46</f>
        <v>-1283.46</v>
      </c>
      <c r="I100" s="2"/>
      <c r="J100" s="19"/>
      <c r="K100" s="2"/>
      <c r="L100" s="2">
        <f t="shared" si="0"/>
        <v>1283.46</v>
      </c>
      <c r="M100" s="2"/>
      <c r="N100" s="19">
        <f t="shared" si="1"/>
        <v>-1</v>
      </c>
      <c r="O100" s="11"/>
      <c r="P100" s="2">
        <f>-513.95</f>
        <v>-513.95000000000005</v>
      </c>
      <c r="Q100" s="2"/>
      <c r="R100" s="19"/>
      <c r="S100" s="2"/>
      <c r="T100" s="2">
        <f>-3962.96</f>
        <v>-3962.96</v>
      </c>
      <c r="U100" s="2"/>
      <c r="V100" s="19"/>
      <c r="W100" s="2"/>
      <c r="X100" s="2">
        <f t="shared" si="2"/>
        <v>3449.01</v>
      </c>
      <c r="Y100" s="2"/>
      <c r="Z100" s="19">
        <f t="shared" si="3"/>
        <v>-0.87031158527968999</v>
      </c>
    </row>
    <row r="101" spans="1:26" s="24" customFormat="1" hidden="1" outlineLevel="1" x14ac:dyDescent="0.25">
      <c r="A101" s="44"/>
      <c r="B101" s="11" t="str">
        <f>CONCATENATE("          ", "4295", " - ", "SALES RETURN TAXABLE-CUSTOMER")</f>
        <v xml:space="preserve">          4295 - SALES RETURN TAXABLE-CUSTOMER</v>
      </c>
      <c r="C101" s="11"/>
      <c r="D101" s="2">
        <f t="shared" si="16"/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--0.99</f>
        <v>0.99</v>
      </c>
      <c r="Q101" s="2"/>
      <c r="R101" s="19"/>
      <c r="S101" s="2"/>
      <c r="T101" s="2">
        <f>-126.72</f>
        <v>-126.72</v>
      </c>
      <c r="U101" s="2"/>
      <c r="V101" s="19"/>
      <c r="W101" s="2"/>
      <c r="X101" s="2">
        <f t="shared" si="2"/>
        <v>127.71</v>
      </c>
      <c r="Y101" s="2"/>
      <c r="Z101" s="19">
        <f t="shared" si="3"/>
        <v>-1.0078125</v>
      </c>
    </row>
    <row r="102" spans="1:26" s="24" customFormat="1" hidden="1" outlineLevel="1" x14ac:dyDescent="0.25">
      <c r="A102" s="44"/>
      <c r="B102" s="11" t="str">
        <f>CONCATENATE("          ", "4301", " - ", "SALES RETURN NON TAXABLE-NEW T")</f>
        <v xml:space="preserve">          4301 - SALES RETURN NON TAXABLE-NEW T</v>
      </c>
      <c r="C102" s="11"/>
      <c r="D102" s="2">
        <f>-357.81</f>
        <v>-357.81</v>
      </c>
      <c r="E102" s="2"/>
      <c r="F102" s="19"/>
      <c r="G102" s="2"/>
      <c r="H102" s="2">
        <f>-367.54</f>
        <v>-367.54</v>
      </c>
      <c r="I102" s="2"/>
      <c r="J102" s="19"/>
      <c r="K102" s="2"/>
      <c r="L102" s="2">
        <f t="shared" si="0"/>
        <v>9.7300000000000182</v>
      </c>
      <c r="M102" s="2"/>
      <c r="N102" s="19">
        <f t="shared" si="1"/>
        <v>-2.6473309027588883E-2</v>
      </c>
      <c r="O102" s="11"/>
      <c r="P102" s="2">
        <f>-15579.43</f>
        <v>-15579.43</v>
      </c>
      <c r="Q102" s="2"/>
      <c r="R102" s="19"/>
      <c r="S102" s="2"/>
      <c r="T102" s="2">
        <f>-49571.09</f>
        <v>-49571.09</v>
      </c>
      <c r="U102" s="2"/>
      <c r="V102" s="19"/>
      <c r="W102" s="2"/>
      <c r="X102" s="2">
        <f t="shared" si="2"/>
        <v>33991.659999999996</v>
      </c>
      <c r="Y102" s="2"/>
      <c r="Z102" s="19">
        <f t="shared" si="3"/>
        <v>-0.68571540387754226</v>
      </c>
    </row>
    <row r="103" spans="1:26" s="24" customFormat="1" hidden="1" outlineLevel="1" x14ac:dyDescent="0.25">
      <c r="A103" s="44"/>
      <c r="B103" s="11" t="str">
        <f>CONCATENATE("          ", "4302", " - ", "SALES RETURN NON TAXABLE-TEXT")</f>
        <v xml:space="preserve">          4302 - SALES RETURN NON TAXABLE-TEXT</v>
      </c>
      <c r="C103" s="11"/>
      <c r="D103" s="2">
        <f t="shared" ref="D103:D105" si="17">0</f>
        <v>0</v>
      </c>
      <c r="E103" s="2"/>
      <c r="F103" s="19"/>
      <c r="G103" s="2"/>
      <c r="H103" s="2">
        <f>-285.45</f>
        <v>-285.45</v>
      </c>
      <c r="I103" s="2"/>
      <c r="J103" s="19"/>
      <c r="K103" s="2"/>
      <c r="L103" s="2">
        <f t="shared" si="0"/>
        <v>285.45</v>
      </c>
      <c r="M103" s="2"/>
      <c r="N103" s="19">
        <f t="shared" si="1"/>
        <v>-1</v>
      </c>
      <c r="O103" s="11"/>
      <c r="P103" s="2">
        <f>-1312.37</f>
        <v>-1312.37</v>
      </c>
      <c r="Q103" s="2"/>
      <c r="R103" s="19"/>
      <c r="S103" s="2"/>
      <c r="T103" s="2">
        <f>-4788.7</f>
        <v>-4788.7</v>
      </c>
      <c r="U103" s="2"/>
      <c r="V103" s="19"/>
      <c r="W103" s="2"/>
      <c r="X103" s="2">
        <f t="shared" si="2"/>
        <v>3476.33</v>
      </c>
      <c r="Y103" s="2"/>
      <c r="Z103" s="19">
        <f t="shared" si="3"/>
        <v>-0.72594441080042604</v>
      </c>
    </row>
    <row r="104" spans="1:26" s="24" customFormat="1" hidden="1" outlineLevel="1" x14ac:dyDescent="0.25">
      <c r="A104" s="44"/>
      <c r="B104" s="11" t="str">
        <f>CONCATENATE("          ", "4303", " - ", "SALES RETURN NON-TAXABLE-RENTA")</f>
        <v xml:space="preserve">          4303 - SALES RETURN NON-TAXABLE-RENTA</v>
      </c>
      <c r="C104" s="11"/>
      <c r="D104" s="2">
        <f t="shared" si="17"/>
        <v>0</v>
      </c>
      <c r="E104" s="2"/>
      <c r="F104" s="19"/>
      <c r="G104" s="2"/>
      <c r="H104" s="2">
        <f t="shared" ref="H104:H105" si="18"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-184.99</f>
        <v>-184.99</v>
      </c>
      <c r="Q104" s="2"/>
      <c r="R104" s="19"/>
      <c r="S104" s="2"/>
      <c r="T104" s="2">
        <f>-509.85</f>
        <v>-509.85</v>
      </c>
      <c r="U104" s="2"/>
      <c r="V104" s="19"/>
      <c r="W104" s="2"/>
      <c r="X104" s="2">
        <f t="shared" si="2"/>
        <v>324.86</v>
      </c>
      <c r="Y104" s="2"/>
      <c r="Z104" s="19">
        <f t="shared" si="3"/>
        <v>-0.63716779444934779</v>
      </c>
    </row>
    <row r="105" spans="1:26" s="24" customFormat="1" hidden="1" outlineLevel="1" x14ac:dyDescent="0.25">
      <c r="A105" s="44"/>
      <c r="B105" s="11" t="str">
        <f>CONCATENATE("          ", "4304", " - ", "SALES RETURN NON TAXABLE-DIGIT")</f>
        <v xml:space="preserve">          4304 - SALES RETURN NON TAXABLE-DIGIT</v>
      </c>
      <c r="C105" s="11"/>
      <c r="D105" s="2">
        <f t="shared" si="17"/>
        <v>0</v>
      </c>
      <c r="E105" s="2"/>
      <c r="F105" s="19"/>
      <c r="G105" s="2"/>
      <c r="H105" s="2">
        <f t="shared" si="18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-19036.13</f>
        <v>-19036.13</v>
      </c>
      <c r="Q105" s="2"/>
      <c r="R105" s="19"/>
      <c r="S105" s="2"/>
      <c r="T105" s="2">
        <f>-5668</f>
        <v>-5668</v>
      </c>
      <c r="U105" s="2"/>
      <c r="V105" s="19"/>
      <c r="W105" s="2"/>
      <c r="X105" s="2">
        <f t="shared" si="2"/>
        <v>-13368.130000000001</v>
      </c>
      <c r="Y105" s="2"/>
      <c r="Z105" s="19">
        <f t="shared" si="3"/>
        <v>2.3585268172194778</v>
      </c>
    </row>
    <row r="106" spans="1:26" s="24" customFormat="1" hidden="1" outlineLevel="1" x14ac:dyDescent="0.25">
      <c r="A106" s="44"/>
      <c r="B106" s="11" t="str">
        <f>CONCATENATE("          ", "4311", " - ", "SALES RETURN NON TAXABLE-NO VA")</f>
        <v xml:space="preserve">          4311 - SALES RETURN NON TAXABLE-NO VA</v>
      </c>
      <c r="C106" s="11"/>
      <c r="D106" s="2">
        <f>-88.62</f>
        <v>-88.62</v>
      </c>
      <c r="E106" s="2"/>
      <c r="F106" s="19"/>
      <c r="G106" s="2"/>
      <c r="H106" s="2">
        <f>-244.08</f>
        <v>-244.08</v>
      </c>
      <c r="I106" s="2"/>
      <c r="J106" s="19"/>
      <c r="K106" s="2"/>
      <c r="L106" s="2">
        <f t="shared" si="0"/>
        <v>155.46</v>
      </c>
      <c r="M106" s="2"/>
      <c r="N106" s="19">
        <f t="shared" si="1"/>
        <v>-0.63692232055063913</v>
      </c>
      <c r="O106" s="11"/>
      <c r="P106" s="2">
        <f>-941.28</f>
        <v>-941.28</v>
      </c>
      <c r="Q106" s="2"/>
      <c r="R106" s="19"/>
      <c r="S106" s="2"/>
      <c r="T106" s="2">
        <f>-1748.83</f>
        <v>-1748.83</v>
      </c>
      <c r="U106" s="2"/>
      <c r="V106" s="19"/>
      <c r="W106" s="2"/>
      <c r="X106" s="2">
        <f t="shared" si="2"/>
        <v>807.55</v>
      </c>
      <c r="Y106" s="2"/>
      <c r="Z106" s="19">
        <f t="shared" si="3"/>
        <v>-0.4617658663220553</v>
      </c>
    </row>
    <row r="107" spans="1:26" s="24" customFormat="1" hidden="1" outlineLevel="1" x14ac:dyDescent="0.25">
      <c r="A107" s="44"/>
      <c r="B107" s="11" t="str">
        <f>CONCATENATE("          ", "4313", " - ", "SALES RETURN NON TAXABLE-TRADE")</f>
        <v xml:space="preserve">          4313 - SALES RETURN NON TAXABLE-TRADE</v>
      </c>
      <c r="C107" s="11"/>
      <c r="D107" s="2">
        <f>-2481.44</f>
        <v>-2481.44</v>
      </c>
      <c r="E107" s="2"/>
      <c r="F107" s="19"/>
      <c r="G107" s="2"/>
      <c r="H107" s="2">
        <f t="shared" ref="H107:H108" si="19">0</f>
        <v>0</v>
      </c>
      <c r="I107" s="2"/>
      <c r="J107" s="19"/>
      <c r="K107" s="2"/>
      <c r="L107" s="2">
        <f t="shared" si="0"/>
        <v>-2481.44</v>
      </c>
      <c r="M107" s="2"/>
      <c r="N107" s="19">
        <f t="shared" si="1"/>
        <v>0</v>
      </c>
      <c r="O107" s="11"/>
      <c r="P107" s="2">
        <f>-2481.44</f>
        <v>-2481.44</v>
      </c>
      <c r="Q107" s="2"/>
      <c r="R107" s="19"/>
      <c r="S107" s="2"/>
      <c r="T107" s="2">
        <f>0</f>
        <v>0</v>
      </c>
      <c r="U107" s="2"/>
      <c r="V107" s="19"/>
      <c r="W107" s="2"/>
      <c r="X107" s="2">
        <f t="shared" si="2"/>
        <v>-2481.44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"4318", " - ", "SALES RETURN NON TAXABLE-STUDY")</f>
        <v xml:space="preserve">          4318 - SALES RETURN NON TAXABLE-STUDY</v>
      </c>
      <c r="C108" s="11"/>
      <c r="D108" s="2">
        <f t="shared" ref="D108:D112" si="20">0</f>
        <v>0</v>
      </c>
      <c r="E108" s="2"/>
      <c r="F108" s="19"/>
      <c r="G108" s="2"/>
      <c r="H108" s="2">
        <f t="shared" si="19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 t="shared" ref="P108:P109" si="21">0</f>
        <v>0</v>
      </c>
      <c r="Q108" s="2"/>
      <c r="R108" s="19"/>
      <c r="S108" s="2"/>
      <c r="T108" s="2">
        <f>-5.04</f>
        <v>-5.04</v>
      </c>
      <c r="U108" s="2"/>
      <c r="V108" s="19"/>
      <c r="W108" s="2"/>
      <c r="X108" s="2">
        <f t="shared" si="2"/>
        <v>5.04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"4326", " - ", "SALES RETURN NON TAXABLE-WRITI")</f>
        <v xml:space="preserve">          4326 - SALES RETURN NON TAXABLE-WRITI</v>
      </c>
      <c r="C109" s="11"/>
      <c r="D109" s="2">
        <f t="shared" si="20"/>
        <v>0</v>
      </c>
      <c r="E109" s="2"/>
      <c r="F109" s="19"/>
      <c r="G109" s="2"/>
      <c r="H109" s="2">
        <f>-2.29</f>
        <v>-2.29</v>
      </c>
      <c r="I109" s="2"/>
      <c r="J109" s="19"/>
      <c r="K109" s="2"/>
      <c r="L109" s="2">
        <f t="shared" si="0"/>
        <v>2.29</v>
      </c>
      <c r="M109" s="2"/>
      <c r="N109" s="19">
        <f t="shared" si="1"/>
        <v>-1</v>
      </c>
      <c r="O109" s="11"/>
      <c r="P109" s="2">
        <f t="shared" si="21"/>
        <v>0</v>
      </c>
      <c r="Q109" s="2"/>
      <c r="R109" s="19"/>
      <c r="S109" s="2"/>
      <c r="T109" s="2">
        <f>-18.55</f>
        <v>-18.55</v>
      </c>
      <c r="U109" s="2"/>
      <c r="V109" s="19"/>
      <c r="W109" s="2"/>
      <c r="X109" s="2">
        <f t="shared" si="2"/>
        <v>18.55</v>
      </c>
      <c r="Y109" s="2"/>
      <c r="Z109" s="19">
        <f t="shared" si="3"/>
        <v>-1</v>
      </c>
    </row>
    <row r="110" spans="1:26" s="24" customFormat="1" hidden="1" outlineLevel="1" x14ac:dyDescent="0.25">
      <c r="A110" s="44"/>
      <c r="B110" s="11" t="str">
        <f>CONCATENATE("          ", "4327", " - ", "SALES RETURN NON TAXABLE-SCHOO")</f>
        <v xml:space="preserve">          4327 - SALES RETURN NON TAXABLE-SCHOO</v>
      </c>
      <c r="C110" s="11"/>
      <c r="D110" s="2">
        <f t="shared" si="20"/>
        <v>0</v>
      </c>
      <c r="E110" s="2"/>
      <c r="F110" s="19"/>
      <c r="G110" s="2"/>
      <c r="H110" s="2">
        <f>-4.99</f>
        <v>-4.99</v>
      </c>
      <c r="I110" s="2"/>
      <c r="J110" s="19"/>
      <c r="K110" s="2"/>
      <c r="L110" s="2">
        <f t="shared" si="0"/>
        <v>4.99</v>
      </c>
      <c r="M110" s="2"/>
      <c r="N110" s="19">
        <f t="shared" si="1"/>
        <v>-1</v>
      </c>
      <c r="O110" s="11"/>
      <c r="P110" s="2">
        <f>-21.87</f>
        <v>-21.87</v>
      </c>
      <c r="Q110" s="2"/>
      <c r="R110" s="19"/>
      <c r="S110" s="2"/>
      <c r="T110" s="2">
        <f>-4.99</f>
        <v>-4.99</v>
      </c>
      <c r="U110" s="2"/>
      <c r="V110" s="19"/>
      <c r="W110" s="2"/>
      <c r="X110" s="2">
        <f t="shared" si="2"/>
        <v>-16.880000000000003</v>
      </c>
      <c r="Y110" s="2"/>
      <c r="Z110" s="19">
        <f t="shared" si="3"/>
        <v>3.3827655310621245</v>
      </c>
    </row>
    <row r="111" spans="1:26" s="24" customFormat="1" hidden="1" outlineLevel="1" x14ac:dyDescent="0.25">
      <c r="A111" s="44"/>
      <c r="B111" s="11" t="str">
        <f>CONCATENATE("          ", "4331", " - ", "SALES RETURN NON TAXABLE-FOOD")</f>
        <v xml:space="preserve">          4331 - SALES RETURN NON TAXABLE-FOOD</v>
      </c>
      <c r="C111" s="11"/>
      <c r="D111" s="2">
        <f t="shared" si="20"/>
        <v>0</v>
      </c>
      <c r="E111" s="2"/>
      <c r="F111" s="19"/>
      <c r="G111" s="2"/>
      <c r="H111" s="2">
        <f t="shared" ref="H111:H112" si="22"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-12.57</f>
        <v>-12.57</v>
      </c>
      <c r="Q111" s="2"/>
      <c r="R111" s="19"/>
      <c r="S111" s="2"/>
      <c r="T111" s="2">
        <f t="shared" ref="T111:T112" si="23">0</f>
        <v>0</v>
      </c>
      <c r="U111" s="2"/>
      <c r="V111" s="19"/>
      <c r="W111" s="2"/>
      <c r="X111" s="2">
        <f t="shared" si="2"/>
        <v>-12.57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"4332", " - ", "SALES RETURN NON TAXABLE-JUICE")</f>
        <v xml:space="preserve">          4332 - SALES RETURN NON TAXABLE-JUICE</v>
      </c>
      <c r="C112" s="11"/>
      <c r="D112" s="2">
        <f t="shared" si="20"/>
        <v>0</v>
      </c>
      <c r="E112" s="2"/>
      <c r="F112" s="19"/>
      <c r="G112" s="2"/>
      <c r="H112" s="2">
        <f t="shared" si="22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-2.79</f>
        <v>-2.79</v>
      </c>
      <c r="Q112" s="2"/>
      <c r="R112" s="19"/>
      <c r="S112" s="2"/>
      <c r="T112" s="2">
        <f t="shared" si="23"/>
        <v>0</v>
      </c>
      <c r="U112" s="2"/>
      <c r="V112" s="19"/>
      <c r="W112" s="2"/>
      <c r="X112" s="2">
        <f t="shared" si="2"/>
        <v>-2.79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"4340", " - ", "SALES RETURN NON TAXABLE-LOGO")</f>
        <v xml:space="preserve">          4340 - SALES RETURN NON TAXABLE-LOGO</v>
      </c>
      <c r="C113" s="11"/>
      <c r="D113" s="2">
        <f>-24.95</f>
        <v>-24.95</v>
      </c>
      <c r="E113" s="2"/>
      <c r="F113" s="19"/>
      <c r="G113" s="2"/>
      <c r="H113" s="2">
        <f>-123.75</f>
        <v>-123.75</v>
      </c>
      <c r="I113" s="2"/>
      <c r="J113" s="19"/>
      <c r="K113" s="2"/>
      <c r="L113" s="2">
        <f t="shared" si="0"/>
        <v>98.8</v>
      </c>
      <c r="M113" s="2"/>
      <c r="N113" s="19">
        <f t="shared" si="1"/>
        <v>-0.79838383838383831</v>
      </c>
      <c r="O113" s="11"/>
      <c r="P113" s="2">
        <f>-1020.4</f>
        <v>-1020.4</v>
      </c>
      <c r="Q113" s="2"/>
      <c r="R113" s="19"/>
      <c r="S113" s="2"/>
      <c r="T113" s="2">
        <f>-939.02</f>
        <v>-939.02</v>
      </c>
      <c r="U113" s="2"/>
      <c r="V113" s="19"/>
      <c r="W113" s="2"/>
      <c r="X113" s="2">
        <f t="shared" si="2"/>
        <v>-81.38</v>
      </c>
      <c r="Y113" s="2"/>
      <c r="Z113" s="19">
        <f t="shared" si="3"/>
        <v>8.6664820770590609E-2</v>
      </c>
    </row>
    <row r="114" spans="1:26" s="24" customFormat="1" hidden="1" outlineLevel="1" x14ac:dyDescent="0.25">
      <c r="A114" s="44"/>
      <c r="B114" s="11" t="str">
        <f>CONCATENATE("          ", "4341", " - ", "SALES RETURN NON TAXABLE-LOGO")</f>
        <v xml:space="preserve">          4341 - SALES RETURN NON TAXABLE-LOGO</v>
      </c>
      <c r="C114" s="11"/>
      <c r="D114" s="2">
        <f t="shared" ref="D114:D117" si="24">0</f>
        <v>0</v>
      </c>
      <c r="E114" s="2"/>
      <c r="F114" s="19"/>
      <c r="G114" s="2"/>
      <c r="H114" s="2">
        <f>-6.95</f>
        <v>-6.95</v>
      </c>
      <c r="I114" s="2"/>
      <c r="J114" s="19"/>
      <c r="K114" s="2"/>
      <c r="L114" s="2">
        <f t="shared" si="0"/>
        <v>6.95</v>
      </c>
      <c r="M114" s="2"/>
      <c r="N114" s="19">
        <f t="shared" si="1"/>
        <v>-1</v>
      </c>
      <c r="O114" s="11"/>
      <c r="P114" s="2">
        <f>-245.5</f>
        <v>-245.5</v>
      </c>
      <c r="Q114" s="2"/>
      <c r="R114" s="19"/>
      <c r="S114" s="2"/>
      <c r="T114" s="2">
        <f>-257.95</f>
        <v>-257.95</v>
      </c>
      <c r="U114" s="2"/>
      <c r="V114" s="19"/>
      <c r="W114" s="2"/>
      <c r="X114" s="2">
        <f t="shared" si="2"/>
        <v>12.449999999999989</v>
      </c>
      <c r="Y114" s="2"/>
      <c r="Z114" s="19">
        <f t="shared" si="3"/>
        <v>-4.8265167668152698E-2</v>
      </c>
    </row>
    <row r="115" spans="1:26" s="24" customFormat="1" hidden="1" outlineLevel="1" x14ac:dyDescent="0.25">
      <c r="A115" s="44"/>
      <c r="B115" s="11" t="str">
        <f>CONCATENATE("          ", "4342", " - ", "SALES RETURN NON TAXABLE-EVERY")</f>
        <v xml:space="preserve">          4342 - SALES RETURN NON TAXABLE-EVERY</v>
      </c>
      <c r="C115" s="11"/>
      <c r="D115" s="2">
        <f t="shared" si="24"/>
        <v>0</v>
      </c>
      <c r="E115" s="2"/>
      <c r="F115" s="19"/>
      <c r="G115" s="2"/>
      <c r="H115" s="2">
        <f>-19.9</f>
        <v>-19.899999999999999</v>
      </c>
      <c r="I115" s="2"/>
      <c r="J115" s="19"/>
      <c r="K115" s="2"/>
      <c r="L115" s="2">
        <f t="shared" si="0"/>
        <v>19.899999999999999</v>
      </c>
      <c r="M115" s="2"/>
      <c r="N115" s="19">
        <f t="shared" si="1"/>
        <v>-1</v>
      </c>
      <c r="O115" s="11"/>
      <c r="P115" s="2">
        <f>-149.22</f>
        <v>-149.22</v>
      </c>
      <c r="Q115" s="2"/>
      <c r="R115" s="19"/>
      <c r="S115" s="2"/>
      <c r="T115" s="2">
        <f>-103.6</f>
        <v>-103.6</v>
      </c>
      <c r="U115" s="2"/>
      <c r="V115" s="19"/>
      <c r="W115" s="2"/>
      <c r="X115" s="2">
        <f t="shared" si="2"/>
        <v>-45.620000000000005</v>
      </c>
      <c r="Y115" s="2"/>
      <c r="Z115" s="19">
        <f t="shared" si="3"/>
        <v>0.44034749034749043</v>
      </c>
    </row>
    <row r="116" spans="1:26" s="24" customFormat="1" hidden="1" outlineLevel="1" x14ac:dyDescent="0.25">
      <c r="A116" s="44"/>
      <c r="B116" s="11" t="str">
        <f>CONCATENATE("          ", "4346", " - ", "SALES RETURN NON TAXABLE-COIN-")</f>
        <v xml:space="preserve">          4346 - SALES RETURN NON TAXABLE-COIN-</v>
      </c>
      <c r="C116" s="11"/>
      <c r="D116" s="2">
        <f t="shared" si="24"/>
        <v>0</v>
      </c>
      <c r="E116" s="2"/>
      <c r="F116" s="19"/>
      <c r="G116" s="2"/>
      <c r="H116" s="2">
        <f t="shared" ref="H116:H117" si="25"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-8.15</f>
        <v>-8.15</v>
      </c>
      <c r="Q116" s="2"/>
      <c r="R116" s="19"/>
      <c r="S116" s="2"/>
      <c r="T116" s="2">
        <f t="shared" ref="T116:T117" si="26">0</f>
        <v>0</v>
      </c>
      <c r="U116" s="2"/>
      <c r="V116" s="19"/>
      <c r="W116" s="2"/>
      <c r="X116" s="2">
        <f t="shared" si="2"/>
        <v>-8.15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"4347", " - ", "SALES RETURN NON TAXABLE-MISC")</f>
        <v xml:space="preserve">          4347 - SALES RETURN NON TAXABLE-MISC</v>
      </c>
      <c r="C117" s="11"/>
      <c r="D117" s="2">
        <f t="shared" si="24"/>
        <v>0</v>
      </c>
      <c r="E117" s="2"/>
      <c r="F117" s="19"/>
      <c r="G117" s="2"/>
      <c r="H117" s="2">
        <f t="shared" si="25"/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-84</f>
        <v>-84</v>
      </c>
      <c r="Q117" s="2"/>
      <c r="R117" s="19"/>
      <c r="S117" s="2"/>
      <c r="T117" s="2">
        <f t="shared" si="26"/>
        <v>0</v>
      </c>
      <c r="U117" s="2"/>
      <c r="V117" s="19"/>
      <c r="W117" s="2"/>
      <c r="X117" s="2">
        <f t="shared" si="2"/>
        <v>-84</v>
      </c>
      <c r="Y117" s="2"/>
      <c r="Z117" s="19">
        <f t="shared" si="3"/>
        <v>0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collapsed="1" x14ac:dyDescent="0.25">
      <c r="A119" s="10"/>
      <c r="B119" s="29" t="s">
        <v>8</v>
      </c>
      <c r="C119" s="10"/>
      <c r="D119" s="4">
        <f>SUM(OSRRefD16x_0)</f>
        <v>184501.21000000002</v>
      </c>
      <c r="E119" s="4"/>
      <c r="F119" s="12">
        <f t="shared" ref="F119:F172" si="27">IF(D$12=0,0,D119/D$12)</f>
        <v>1.1189903486047528</v>
      </c>
      <c r="G119" s="4"/>
      <c r="H119" s="4">
        <f>SUM(OSRRefH16x_0)</f>
        <v>379114.00999999989</v>
      </c>
      <c r="I119" s="4"/>
      <c r="J119" s="12">
        <f t="shared" ref="J119:J172" si="28">IF(H$12=0,0,H119/H$12)</f>
        <v>0.40738429222689737</v>
      </c>
      <c r="K119" s="4"/>
      <c r="L119" s="4">
        <f t="shared" ref="L119:L172" si="29">+D119-H119</f>
        <v>-194612.79999999987</v>
      </c>
      <c r="M119" s="4"/>
      <c r="N119" s="12">
        <f t="shared" ref="N119:N172" si="30">IF(H119=0,0,L119/H119)</f>
        <v>-0.51333581684306506</v>
      </c>
      <c r="O119" s="10"/>
      <c r="P119" s="4">
        <f>SUM(OSRRefP16x_0)</f>
        <v>6326441.1300000008</v>
      </c>
      <c r="Q119" s="4"/>
      <c r="R119" s="12">
        <f t="shared" ref="R119:R172" si="31">IF(P$12=0,0,P119/P$12)</f>
        <v>0.56853060561819502</v>
      </c>
      <c r="S119" s="4"/>
      <c r="T119" s="4">
        <f>SUM(OSRRefT16x_0)</f>
        <v>7398299.4900000012</v>
      </c>
      <c r="U119" s="4"/>
      <c r="V119" s="12">
        <f t="shared" ref="V119:V172" si="32">IF(T$12=0,0,T119/T$12)</f>
        <v>0.55998145069548022</v>
      </c>
      <c r="W119" s="4"/>
      <c r="X119" s="4">
        <f t="shared" ref="X119:X172" si="33">+P119-T119</f>
        <v>-1071858.3600000003</v>
      </c>
      <c r="Y119" s="4"/>
      <c r="Z119" s="12">
        <f t="shared" ref="Z119:Z172" si="34">IF(T119=0,0,X119/T119)</f>
        <v>-0.14487901732672356</v>
      </c>
    </row>
    <row r="120" spans="1:26" s="24" customFormat="1" hidden="1" outlineLevel="1" x14ac:dyDescent="0.25">
      <c r="A120" s="44"/>
      <c r="B120" s="11" t="str">
        <f>CONCATENATE("          ", "5000", " - ", "PURCHASES @ COST")</f>
        <v xml:space="preserve">          5000 - PURCHASES @ COST</v>
      </c>
      <c r="C120" s="11"/>
      <c r="D120" s="2"/>
      <c r="E120" s="2"/>
      <c r="F120" s="19">
        <f t="shared" si="27"/>
        <v>0</v>
      </c>
      <c r="G120" s="2"/>
      <c r="H120" s="2">
        <v>1020</v>
      </c>
      <c r="I120" s="2"/>
      <c r="J120" s="19">
        <f t="shared" si="28"/>
        <v>1.0960607287275809E-3</v>
      </c>
      <c r="K120" s="2"/>
      <c r="L120" s="2">
        <f t="shared" si="29"/>
        <v>-1020</v>
      </c>
      <c r="M120" s="2"/>
      <c r="N120" s="19">
        <f t="shared" si="30"/>
        <v>-1</v>
      </c>
      <c r="O120" s="11"/>
      <c r="P120" s="2"/>
      <c r="Q120" s="2"/>
      <c r="R120" s="19">
        <f t="shared" si="31"/>
        <v>0</v>
      </c>
      <c r="S120" s="2"/>
      <c r="T120" s="2">
        <v>1020</v>
      </c>
      <c r="U120" s="2"/>
      <c r="V120" s="19">
        <f t="shared" si="32"/>
        <v>7.7204373853942176E-5</v>
      </c>
      <c r="W120" s="2"/>
      <c r="X120" s="2">
        <f t="shared" si="33"/>
        <v>-1020</v>
      </c>
      <c r="Y120" s="2"/>
      <c r="Z120" s="19">
        <f t="shared" si="34"/>
        <v>-1</v>
      </c>
    </row>
    <row r="121" spans="1:26" s="24" customFormat="1" hidden="1" outlineLevel="1" x14ac:dyDescent="0.25">
      <c r="A121" s="44"/>
      <c r="B121" s="11" t="str">
        <f>CONCATENATE("          ", "5001", " - ", "PURCHASES @ COST-NEW TEXT")</f>
        <v xml:space="preserve">          5001 - PURCHASES @ COST-NEW TEXT</v>
      </c>
      <c r="C121" s="11"/>
      <c r="D121" s="2">
        <v>-24912.870000000003</v>
      </c>
      <c r="E121" s="2"/>
      <c r="F121" s="19">
        <f t="shared" si="27"/>
        <v>-0.1510952751260812</v>
      </c>
      <c r="G121" s="2"/>
      <c r="H121" s="2">
        <v>-221136.5</v>
      </c>
      <c r="I121" s="2"/>
      <c r="J121" s="19">
        <f t="shared" si="28"/>
        <v>-0.23762650327281051</v>
      </c>
      <c r="K121" s="2"/>
      <c r="L121" s="2">
        <f t="shared" si="29"/>
        <v>196223.63</v>
      </c>
      <c r="M121" s="2"/>
      <c r="N121" s="19">
        <f t="shared" si="30"/>
        <v>-0.88734166453751417</v>
      </c>
      <c r="O121" s="11"/>
      <c r="P121" s="2">
        <v>1569752.25</v>
      </c>
      <c r="Q121" s="2"/>
      <c r="R121" s="19">
        <f t="shared" si="31"/>
        <v>0.14106701999185822</v>
      </c>
      <c r="S121" s="2"/>
      <c r="T121" s="2">
        <v>2325728.42</v>
      </c>
      <c r="U121" s="2"/>
      <c r="V121" s="19">
        <f t="shared" si="32"/>
        <v>0.17603569256903751</v>
      </c>
      <c r="W121" s="2"/>
      <c r="X121" s="2">
        <f t="shared" si="33"/>
        <v>-755976.16999999993</v>
      </c>
      <c r="Y121" s="2"/>
      <c r="Z121" s="19">
        <f t="shared" si="34"/>
        <v>-0.32504920329433817</v>
      </c>
    </row>
    <row r="122" spans="1:26" s="24" customFormat="1" hidden="1" outlineLevel="1" x14ac:dyDescent="0.25">
      <c r="A122" s="44"/>
      <c r="B122" s="11" t="str">
        <f>CONCATENATE("          ", "5002", " - ", "PURCHASES @ COST-USED TEXT")</f>
        <v xml:space="preserve">          5002 - PURCHASES @ COST-USED TEXT</v>
      </c>
      <c r="C122" s="11"/>
      <c r="D122" s="2">
        <v>-3117.33</v>
      </c>
      <c r="E122" s="2"/>
      <c r="F122" s="19">
        <f t="shared" si="27"/>
        <v>-1.890644610632122E-2</v>
      </c>
      <c r="G122" s="2"/>
      <c r="H122" s="2">
        <v>-70912.89</v>
      </c>
      <c r="I122" s="2"/>
      <c r="J122" s="19">
        <f t="shared" si="28"/>
        <v>-7.6200817538802729E-2</v>
      </c>
      <c r="K122" s="2"/>
      <c r="L122" s="2">
        <f t="shared" si="29"/>
        <v>67795.56</v>
      </c>
      <c r="M122" s="2"/>
      <c r="N122" s="19">
        <f t="shared" si="30"/>
        <v>-0.95604000908720543</v>
      </c>
      <c r="O122" s="11"/>
      <c r="P122" s="2">
        <v>595582.78</v>
      </c>
      <c r="Q122" s="2"/>
      <c r="R122" s="19">
        <f t="shared" si="31"/>
        <v>5.3522514736364608E-2</v>
      </c>
      <c r="S122" s="2"/>
      <c r="T122" s="2">
        <v>408043.55</v>
      </c>
      <c r="U122" s="2"/>
      <c r="V122" s="19">
        <f t="shared" si="32"/>
        <v>3.0885045865578182E-2</v>
      </c>
      <c r="W122" s="2"/>
      <c r="X122" s="2">
        <f t="shared" si="33"/>
        <v>187539.23000000004</v>
      </c>
      <c r="Y122" s="2"/>
      <c r="Z122" s="19">
        <f t="shared" si="34"/>
        <v>0.45960591706448994</v>
      </c>
    </row>
    <row r="123" spans="1:26" s="24" customFormat="1" hidden="1" outlineLevel="1" x14ac:dyDescent="0.25">
      <c r="A123" s="44"/>
      <c r="B123" s="11" t="str">
        <f>CONCATENATE("          ", "5003", " - ", "PURCHASES @ COST-RENTAL TEXT")</f>
        <v xml:space="preserve">          5003 - PURCHASES @ COST-RENTAL TEXT</v>
      </c>
      <c r="C123" s="11"/>
      <c r="D123" s="2"/>
      <c r="E123" s="2"/>
      <c r="F123" s="19">
        <f t="shared" si="27"/>
        <v>0</v>
      </c>
      <c r="G123" s="2"/>
      <c r="H123" s="2">
        <v>811.08</v>
      </c>
      <c r="I123" s="2"/>
      <c r="J123" s="19">
        <f t="shared" si="28"/>
        <v>8.7156170181996713E-4</v>
      </c>
      <c r="K123" s="2"/>
      <c r="L123" s="2">
        <f t="shared" si="29"/>
        <v>-811.08</v>
      </c>
      <c r="M123" s="2"/>
      <c r="N123" s="19">
        <f t="shared" si="30"/>
        <v>-1</v>
      </c>
      <c r="O123" s="11"/>
      <c r="P123" s="2">
        <v>-78.400000000000006</v>
      </c>
      <c r="Q123" s="2"/>
      <c r="R123" s="19">
        <f t="shared" si="31"/>
        <v>-7.0454776334046888E-6</v>
      </c>
      <c r="S123" s="2"/>
      <c r="T123" s="2">
        <v>15629.58</v>
      </c>
      <c r="U123" s="2"/>
      <c r="V123" s="19">
        <f t="shared" si="32"/>
        <v>1.1830117034314681E-3</v>
      </c>
      <c r="W123" s="2"/>
      <c r="X123" s="2">
        <f t="shared" si="33"/>
        <v>-15707.98</v>
      </c>
      <c r="Y123" s="2"/>
      <c r="Z123" s="19">
        <f t="shared" si="34"/>
        <v>-1.0050161296720705</v>
      </c>
    </row>
    <row r="124" spans="1:26" s="24" customFormat="1" hidden="1" outlineLevel="1" x14ac:dyDescent="0.25">
      <c r="A124" s="44"/>
      <c r="B124" s="11" t="str">
        <f>CONCATENATE("          ", "5004", " - ", "PURCHASES @ COST-DIGITAL TEXT")</f>
        <v xml:space="preserve">          5004 - PURCHASES @ COST-DIGITAL TEXT</v>
      </c>
      <c r="C124" s="11"/>
      <c r="D124" s="2">
        <v>54465.03</v>
      </c>
      <c r="E124" s="2"/>
      <c r="F124" s="19">
        <f t="shared" si="27"/>
        <v>0.33032760547461076</v>
      </c>
      <c r="G124" s="2"/>
      <c r="H124" s="2">
        <v>-10175.74</v>
      </c>
      <c r="I124" s="2"/>
      <c r="J124" s="19">
        <f t="shared" si="28"/>
        <v>-1.0934538235041563E-2</v>
      </c>
      <c r="K124" s="2"/>
      <c r="L124" s="2">
        <f t="shared" si="29"/>
        <v>64640.77</v>
      </c>
      <c r="M124" s="2"/>
      <c r="N124" s="19">
        <f t="shared" si="30"/>
        <v>-6.352439232920652</v>
      </c>
      <c r="O124" s="11"/>
      <c r="P124" s="2">
        <v>492787.91</v>
      </c>
      <c r="Q124" s="2"/>
      <c r="R124" s="19">
        <f t="shared" si="31"/>
        <v>4.4284772932617893E-2</v>
      </c>
      <c r="S124" s="2"/>
      <c r="T124" s="2">
        <v>483690.86000000004</v>
      </c>
      <c r="U124" s="2"/>
      <c r="V124" s="19">
        <f t="shared" si="32"/>
        <v>3.661083331879883E-2</v>
      </c>
      <c r="W124" s="2"/>
      <c r="X124" s="2">
        <f t="shared" si="33"/>
        <v>9097.0499999999302</v>
      </c>
      <c r="Y124" s="2"/>
      <c r="Z124" s="19">
        <f t="shared" si="34"/>
        <v>1.8807570604083626E-2</v>
      </c>
    </row>
    <row r="125" spans="1:26" s="24" customFormat="1" hidden="1" outlineLevel="1" x14ac:dyDescent="0.25">
      <c r="A125" s="44"/>
      <c r="B125" s="11" t="str">
        <f>CONCATENATE("          ", "5011", " - ", "PURCHASES @ COST-NO VALUE TEXT")</f>
        <v xml:space="preserve">          5011 - PURCHASES @ COST-NO VALUE TEXT</v>
      </c>
      <c r="C125" s="11"/>
      <c r="D125" s="2">
        <v>42</v>
      </c>
      <c r="E125" s="2"/>
      <c r="F125" s="19">
        <f t="shared" si="27"/>
        <v>2.5472783967866449E-4</v>
      </c>
      <c r="G125" s="2"/>
      <c r="H125" s="2">
        <v>339</v>
      </c>
      <c r="I125" s="2"/>
      <c r="J125" s="19">
        <f t="shared" si="28"/>
        <v>3.6427900690063719E-4</v>
      </c>
      <c r="K125" s="2"/>
      <c r="L125" s="2">
        <f t="shared" si="29"/>
        <v>-297</v>
      </c>
      <c r="M125" s="2"/>
      <c r="N125" s="19">
        <f t="shared" si="30"/>
        <v>-0.87610619469026552</v>
      </c>
      <c r="O125" s="11"/>
      <c r="P125" s="2">
        <v>6363</v>
      </c>
      <c r="Q125" s="2"/>
      <c r="R125" s="19">
        <f t="shared" si="31"/>
        <v>5.7181599721114844E-4</v>
      </c>
      <c r="S125" s="2"/>
      <c r="T125" s="2">
        <v>3507</v>
      </c>
      <c r="U125" s="2"/>
      <c r="V125" s="19">
        <f t="shared" si="32"/>
        <v>2.6544680304487769E-4</v>
      </c>
      <c r="W125" s="2"/>
      <c r="X125" s="2">
        <f t="shared" si="33"/>
        <v>2856</v>
      </c>
      <c r="Y125" s="2"/>
      <c r="Z125" s="19">
        <f t="shared" si="34"/>
        <v>0.81437125748502992</v>
      </c>
    </row>
    <row r="126" spans="1:26" s="24" customFormat="1" hidden="1" outlineLevel="1" x14ac:dyDescent="0.25">
      <c r="A126" s="44"/>
      <c r="B126" s="11" t="str">
        <f>CONCATENATE("          ", "5013", " - ", "PURCHASES @ COST-TRADE BOOKS")</f>
        <v xml:space="preserve">          5013 - PURCHASES @ COST-TRADE BOOKS</v>
      </c>
      <c r="C126" s="11"/>
      <c r="D126" s="2">
        <v>-3150.69</v>
      </c>
      <c r="E126" s="2"/>
      <c r="F126" s="19">
        <f t="shared" si="27"/>
        <v>-1.9108772790408842E-2</v>
      </c>
      <c r="G126" s="2"/>
      <c r="H126" s="2">
        <v>501.57</v>
      </c>
      <c r="I126" s="2"/>
      <c r="J126" s="19">
        <f t="shared" si="28"/>
        <v>5.3897174481165957E-4</v>
      </c>
      <c r="K126" s="2"/>
      <c r="L126" s="2">
        <f t="shared" si="29"/>
        <v>-3652.26</v>
      </c>
      <c r="M126" s="2"/>
      <c r="N126" s="19">
        <f t="shared" si="30"/>
        <v>-7.2816556014115683</v>
      </c>
      <c r="O126" s="11"/>
      <c r="P126" s="2">
        <v>3197.85</v>
      </c>
      <c r="Q126" s="2"/>
      <c r="R126" s="19">
        <f t="shared" si="31"/>
        <v>2.8737730420896917E-4</v>
      </c>
      <c r="S126" s="2"/>
      <c r="T126" s="2">
        <v>6141.67</v>
      </c>
      <c r="U126" s="2"/>
      <c r="V126" s="19">
        <f t="shared" si="32"/>
        <v>4.6486645761523632E-4</v>
      </c>
      <c r="W126" s="2"/>
      <c r="X126" s="2">
        <f t="shared" si="33"/>
        <v>-2943.82</v>
      </c>
      <c r="Y126" s="2"/>
      <c r="Z126" s="19">
        <f t="shared" si="34"/>
        <v>-0.47931914283899985</v>
      </c>
    </row>
    <row r="127" spans="1:26" s="24" customFormat="1" hidden="1" outlineLevel="1" x14ac:dyDescent="0.25">
      <c r="A127" s="44"/>
      <c r="B127" s="11" t="str">
        <f>CONCATENATE("          ", "5014", " - ", "PURCHASES @ COST-REMAINDERS")</f>
        <v xml:space="preserve">          5014 - PURCHASES @ COST-REMAINDERS</v>
      </c>
      <c r="C127" s="11"/>
      <c r="D127" s="2"/>
      <c r="E127" s="2"/>
      <c r="F127" s="19">
        <f t="shared" si="27"/>
        <v>0</v>
      </c>
      <c r="G127" s="2"/>
      <c r="H127" s="2">
        <v>64.849999999999994</v>
      </c>
      <c r="I127" s="2"/>
      <c r="J127" s="19">
        <f t="shared" si="28"/>
        <v>6.9685821821552563E-5</v>
      </c>
      <c r="K127" s="2"/>
      <c r="L127" s="2">
        <f t="shared" si="29"/>
        <v>-64.849999999999994</v>
      </c>
      <c r="M127" s="2"/>
      <c r="N127" s="19">
        <f t="shared" si="30"/>
        <v>-1</v>
      </c>
      <c r="O127" s="11"/>
      <c r="P127" s="2">
        <v>615.07000000000005</v>
      </c>
      <c r="Q127" s="2"/>
      <c r="R127" s="19">
        <f t="shared" si="31"/>
        <v>5.5273749081354872E-5</v>
      </c>
      <c r="S127" s="2"/>
      <c r="T127" s="2">
        <v>1122.1600000000001</v>
      </c>
      <c r="U127" s="2"/>
      <c r="V127" s="19">
        <f t="shared" si="32"/>
        <v>8.4936921729352702E-5</v>
      </c>
      <c r="W127" s="2"/>
      <c r="X127" s="2">
        <f t="shared" si="33"/>
        <v>-507.09000000000003</v>
      </c>
      <c r="Y127" s="2"/>
      <c r="Z127" s="19">
        <f t="shared" si="34"/>
        <v>-0.45188743138233406</v>
      </c>
    </row>
    <row r="128" spans="1:26" s="24" customFormat="1" hidden="1" outlineLevel="1" x14ac:dyDescent="0.25">
      <c r="A128" s="44"/>
      <c r="B128" s="11" t="str">
        <f>CONCATENATE("          ", "5017", " - ", "PURCHASES @ COST-DORM/HOUSEWAR")</f>
        <v xml:space="preserve">          5017 - PURCHASES @ COST-DORM/HOUSEWAR</v>
      </c>
      <c r="C128" s="11"/>
      <c r="D128" s="2"/>
      <c r="E128" s="2"/>
      <c r="F128" s="19">
        <f t="shared" si="27"/>
        <v>0</v>
      </c>
      <c r="G128" s="2"/>
      <c r="H128" s="2"/>
      <c r="I128" s="2"/>
      <c r="J128" s="19">
        <f t="shared" si="28"/>
        <v>0</v>
      </c>
      <c r="K128" s="2"/>
      <c r="L128" s="2">
        <f t="shared" si="29"/>
        <v>0</v>
      </c>
      <c r="M128" s="2"/>
      <c r="N128" s="19">
        <f t="shared" si="30"/>
        <v>0</v>
      </c>
      <c r="O128" s="11"/>
      <c r="P128" s="2">
        <v>14.46</v>
      </c>
      <c r="Q128" s="2"/>
      <c r="R128" s="19">
        <f t="shared" si="31"/>
        <v>1.2994592675896914E-6</v>
      </c>
      <c r="S128" s="2"/>
      <c r="T128" s="2">
        <v>239.9</v>
      </c>
      <c r="U128" s="2"/>
      <c r="V128" s="19">
        <f t="shared" si="32"/>
        <v>1.8158165968196791E-5</v>
      </c>
      <c r="W128" s="2"/>
      <c r="X128" s="2">
        <f t="shared" si="33"/>
        <v>-225.44</v>
      </c>
      <c r="Y128" s="2"/>
      <c r="Z128" s="19">
        <f t="shared" si="34"/>
        <v>-0.93972488536890364</v>
      </c>
    </row>
    <row r="129" spans="1:26" s="24" customFormat="1" hidden="1" outlineLevel="1" x14ac:dyDescent="0.25">
      <c r="A129" s="44"/>
      <c r="B129" s="11" t="str">
        <f>CONCATENATE("          ", "5018", " - ", "PURCHASES @ COST-STUDY GUIDES")</f>
        <v xml:space="preserve">          5018 - PURCHASES @ COST-STUDY GUIDES</v>
      </c>
      <c r="C129" s="11"/>
      <c r="D129" s="2">
        <v>-2582.4699999999998</v>
      </c>
      <c r="E129" s="2"/>
      <c r="F129" s="19">
        <f t="shared" si="27"/>
        <v>-1.5662547717499063E-2</v>
      </c>
      <c r="G129" s="2"/>
      <c r="H129" s="2"/>
      <c r="I129" s="2"/>
      <c r="J129" s="19">
        <f t="shared" si="28"/>
        <v>0</v>
      </c>
      <c r="K129" s="2"/>
      <c r="L129" s="2">
        <f t="shared" si="29"/>
        <v>-2582.4699999999998</v>
      </c>
      <c r="M129" s="2"/>
      <c r="N129" s="19">
        <f t="shared" si="30"/>
        <v>0</v>
      </c>
      <c r="O129" s="11"/>
      <c r="P129" s="2">
        <v>-205.14</v>
      </c>
      <c r="Q129" s="2"/>
      <c r="R129" s="19">
        <f t="shared" si="31"/>
        <v>-1.8435067368834665E-5</v>
      </c>
      <c r="S129" s="2"/>
      <c r="T129" s="2">
        <v>2393.92</v>
      </c>
      <c r="U129" s="2"/>
      <c r="V129" s="19">
        <f t="shared" si="32"/>
        <v>1.8119715162395026E-4</v>
      </c>
      <c r="W129" s="2"/>
      <c r="X129" s="2">
        <f t="shared" si="33"/>
        <v>-2599.06</v>
      </c>
      <c r="Y129" s="2"/>
      <c r="Z129" s="19">
        <f t="shared" si="34"/>
        <v>-1.0856920866194359</v>
      </c>
    </row>
    <row r="130" spans="1:26" s="24" customFormat="1" hidden="1" outlineLevel="1" x14ac:dyDescent="0.25">
      <c r="A130" s="44"/>
      <c r="B130" s="11" t="str">
        <f>CONCATENATE("          ", "5025", " - ", "PURCHASES @ COST-TEST FORMS")</f>
        <v xml:space="preserve">          5025 - PURCHASES @ COST-TEST FORMS</v>
      </c>
      <c r="C130" s="11"/>
      <c r="D130" s="2"/>
      <c r="E130" s="2"/>
      <c r="F130" s="19">
        <f t="shared" si="27"/>
        <v>0</v>
      </c>
      <c r="G130" s="2"/>
      <c r="H130" s="2">
        <v>3255</v>
      </c>
      <c r="I130" s="2"/>
      <c r="J130" s="19">
        <f t="shared" si="28"/>
        <v>3.4977232078512513E-3</v>
      </c>
      <c r="K130" s="2"/>
      <c r="L130" s="2">
        <f t="shared" si="29"/>
        <v>-3255</v>
      </c>
      <c r="M130" s="2"/>
      <c r="N130" s="19">
        <f t="shared" si="30"/>
        <v>-1</v>
      </c>
      <c r="O130" s="11"/>
      <c r="P130" s="2">
        <v>26400.390000000003</v>
      </c>
      <c r="Q130" s="2"/>
      <c r="R130" s="19">
        <f t="shared" si="31"/>
        <v>2.3724918017622556E-3</v>
      </c>
      <c r="S130" s="2"/>
      <c r="T130" s="2">
        <v>19570.849999999999</v>
      </c>
      <c r="U130" s="2"/>
      <c r="V130" s="19">
        <f t="shared" si="32"/>
        <v>1.4813286470974746E-3</v>
      </c>
      <c r="W130" s="2"/>
      <c r="X130" s="2">
        <f t="shared" si="33"/>
        <v>6829.5400000000045</v>
      </c>
      <c r="Y130" s="2"/>
      <c r="Z130" s="19">
        <f t="shared" si="34"/>
        <v>0.34896491465623647</v>
      </c>
    </row>
    <row r="131" spans="1:26" s="24" customFormat="1" hidden="1" outlineLevel="1" x14ac:dyDescent="0.25">
      <c r="A131" s="44"/>
      <c r="B131" s="11" t="str">
        <f>CONCATENATE("          ", "5026", " - ", "PURCHASES @ COST-WRITING INSTR")</f>
        <v xml:space="preserve">          5026 - PURCHASES @ COST-WRITING INSTR</v>
      </c>
      <c r="C131" s="11"/>
      <c r="D131" s="2">
        <v>2463.3000000000002</v>
      </c>
      <c r="E131" s="2"/>
      <c r="F131" s="19">
        <f t="shared" si="27"/>
        <v>1.4939787797153674E-2</v>
      </c>
      <c r="G131" s="2"/>
      <c r="H131" s="2">
        <v>-394.84</v>
      </c>
      <c r="I131" s="2"/>
      <c r="J131" s="19">
        <f t="shared" si="28"/>
        <v>-4.2428295895176278E-4</v>
      </c>
      <c r="K131" s="2"/>
      <c r="L131" s="2">
        <f t="shared" si="29"/>
        <v>2858.1400000000003</v>
      </c>
      <c r="M131" s="2"/>
      <c r="N131" s="19">
        <f t="shared" si="30"/>
        <v>-7.2387296119947333</v>
      </c>
      <c r="O131" s="11"/>
      <c r="P131" s="2">
        <v>51434.57</v>
      </c>
      <c r="Q131" s="2"/>
      <c r="R131" s="19">
        <f t="shared" si="31"/>
        <v>4.6222080678416811E-3</v>
      </c>
      <c r="S131" s="2"/>
      <c r="T131" s="2">
        <v>49629.61</v>
      </c>
      <c r="U131" s="2"/>
      <c r="V131" s="19">
        <f t="shared" si="32"/>
        <v>3.7564931026130856E-3</v>
      </c>
      <c r="W131" s="2"/>
      <c r="X131" s="2">
        <f t="shared" si="33"/>
        <v>1804.9599999999991</v>
      </c>
      <c r="Y131" s="2"/>
      <c r="Z131" s="19">
        <f t="shared" si="34"/>
        <v>3.6368611399525387E-2</v>
      </c>
    </row>
    <row r="132" spans="1:26" s="24" customFormat="1" hidden="1" outlineLevel="1" x14ac:dyDescent="0.25">
      <c r="A132" s="44"/>
      <c r="B132" s="11" t="str">
        <f>CONCATENATE("          ", "5027", " - ", "PURCHASES @ COST-SCHOOL SUPPLI")</f>
        <v xml:space="preserve">          5027 - PURCHASES @ COST-SCHOOL SUPPLI</v>
      </c>
      <c r="C132" s="11"/>
      <c r="D132" s="2">
        <v>6003.13</v>
      </c>
      <c r="E132" s="2"/>
      <c r="F132" s="19">
        <f t="shared" si="27"/>
        <v>3.6408674671670978E-2</v>
      </c>
      <c r="G132" s="2"/>
      <c r="H132" s="2">
        <v>5943.8</v>
      </c>
      <c r="I132" s="2"/>
      <c r="J132" s="19">
        <f t="shared" si="28"/>
        <v>6.3870252543245061E-3</v>
      </c>
      <c r="K132" s="2"/>
      <c r="L132" s="2">
        <f t="shared" si="29"/>
        <v>59.329999999999927</v>
      </c>
      <c r="M132" s="2"/>
      <c r="N132" s="19">
        <f t="shared" si="30"/>
        <v>9.9818298058480977E-3</v>
      </c>
      <c r="O132" s="11"/>
      <c r="P132" s="2">
        <v>143608.17000000001</v>
      </c>
      <c r="Q132" s="2"/>
      <c r="R132" s="19">
        <f t="shared" si="31"/>
        <v>1.2905461093229315E-2</v>
      </c>
      <c r="S132" s="2"/>
      <c r="T132" s="2">
        <v>143366.32</v>
      </c>
      <c r="U132" s="2"/>
      <c r="V132" s="19">
        <f t="shared" si="32"/>
        <v>1.0851477418964616E-2</v>
      </c>
      <c r="W132" s="2"/>
      <c r="X132" s="2">
        <f t="shared" si="33"/>
        <v>241.85000000000582</v>
      </c>
      <c r="Y132" s="2"/>
      <c r="Z132" s="19">
        <f t="shared" si="34"/>
        <v>1.6869373504181861E-3</v>
      </c>
    </row>
    <row r="133" spans="1:26" s="24" customFormat="1" hidden="1" outlineLevel="1" x14ac:dyDescent="0.25">
      <c r="A133" s="44"/>
      <c r="B133" s="11" t="str">
        <f>CONCATENATE("          ", "5028", " - ", "PURCHASES @ COST-ART/TECH")</f>
        <v xml:space="preserve">          5028 - PURCHASES @ COST-ART/TECH</v>
      </c>
      <c r="C133" s="11"/>
      <c r="D133" s="2">
        <v>8617.84</v>
      </c>
      <c r="E133" s="2"/>
      <c r="F133" s="19">
        <f t="shared" si="27"/>
        <v>5.2266756330866242E-2</v>
      </c>
      <c r="G133" s="2"/>
      <c r="H133" s="2">
        <v>11220.15</v>
      </c>
      <c r="I133" s="2"/>
      <c r="J133" s="19">
        <f t="shared" si="28"/>
        <v>1.2056829201404674E-2</v>
      </c>
      <c r="K133" s="2"/>
      <c r="L133" s="2">
        <f t="shared" si="29"/>
        <v>-2602.3099999999995</v>
      </c>
      <c r="M133" s="2"/>
      <c r="N133" s="19">
        <f t="shared" si="30"/>
        <v>-0.23193183691840122</v>
      </c>
      <c r="O133" s="11"/>
      <c r="P133" s="2">
        <v>159687.99</v>
      </c>
      <c r="Q133" s="2"/>
      <c r="R133" s="19">
        <f t="shared" si="31"/>
        <v>1.4350486758524891E-2</v>
      </c>
      <c r="S133" s="2"/>
      <c r="T133" s="2">
        <v>175997.88</v>
      </c>
      <c r="U133" s="2"/>
      <c r="V133" s="19">
        <f t="shared" si="32"/>
        <v>1.3321378553942406E-2</v>
      </c>
      <c r="W133" s="2"/>
      <c r="X133" s="2">
        <f t="shared" si="33"/>
        <v>-16309.890000000014</v>
      </c>
      <c r="Y133" s="2"/>
      <c r="Z133" s="19">
        <f t="shared" si="34"/>
        <v>-9.2670945809120053E-2</v>
      </c>
    </row>
    <row r="134" spans="1:26" s="24" customFormat="1" hidden="1" outlineLevel="1" x14ac:dyDescent="0.25">
      <c r="A134" s="44"/>
      <c r="B134" s="11" t="str">
        <f>CONCATENATE("          ", "5031", " - ", "PURCHASES @ COST-FOOD")</f>
        <v xml:space="preserve">          5031 - PURCHASES @ COST-FOOD</v>
      </c>
      <c r="C134" s="11"/>
      <c r="D134" s="2"/>
      <c r="E134" s="2"/>
      <c r="F134" s="19">
        <f t="shared" si="27"/>
        <v>0</v>
      </c>
      <c r="G134" s="2"/>
      <c r="H134" s="2">
        <v>4301.16</v>
      </c>
      <c r="I134" s="2"/>
      <c r="J134" s="19">
        <f t="shared" si="28"/>
        <v>4.6218946705626684E-3</v>
      </c>
      <c r="K134" s="2"/>
      <c r="L134" s="2">
        <f t="shared" si="29"/>
        <v>-4301.16</v>
      </c>
      <c r="M134" s="2"/>
      <c r="N134" s="19">
        <f t="shared" si="30"/>
        <v>-1</v>
      </c>
      <c r="O134" s="11"/>
      <c r="P134" s="2">
        <v>33239.879999999997</v>
      </c>
      <c r="Q134" s="2"/>
      <c r="R134" s="19">
        <f t="shared" si="31"/>
        <v>2.9871279474114262E-3</v>
      </c>
      <c r="S134" s="2"/>
      <c r="T134" s="2">
        <v>37829.29</v>
      </c>
      <c r="U134" s="2"/>
      <c r="V134" s="19">
        <f t="shared" si="32"/>
        <v>2.8633202429305849E-3</v>
      </c>
      <c r="W134" s="2"/>
      <c r="X134" s="2">
        <f t="shared" si="33"/>
        <v>-4589.4100000000035</v>
      </c>
      <c r="Y134" s="2"/>
      <c r="Z134" s="19">
        <f t="shared" si="34"/>
        <v>-0.12131895681890946</v>
      </c>
    </row>
    <row r="135" spans="1:26" s="24" customFormat="1" hidden="1" outlineLevel="1" x14ac:dyDescent="0.25">
      <c r="A135" s="44"/>
      <c r="B135" s="11" t="str">
        <f>CONCATENATE("          ", "5032", " - ", "PURCHASES @ COST-JUICE")</f>
        <v xml:space="preserve">          5032 - PURCHASES @ COST-JUICE</v>
      </c>
      <c r="C135" s="11"/>
      <c r="D135" s="2"/>
      <c r="E135" s="2"/>
      <c r="F135" s="19">
        <f t="shared" si="27"/>
        <v>0</v>
      </c>
      <c r="G135" s="2"/>
      <c r="H135" s="2">
        <v>1104.8800000000001</v>
      </c>
      <c r="I135" s="2"/>
      <c r="J135" s="19">
        <f t="shared" si="28"/>
        <v>1.1872701744671862E-3</v>
      </c>
      <c r="K135" s="2"/>
      <c r="L135" s="2">
        <f t="shared" si="29"/>
        <v>-1104.8800000000001</v>
      </c>
      <c r="M135" s="2"/>
      <c r="N135" s="19">
        <f t="shared" si="30"/>
        <v>-1</v>
      </c>
      <c r="O135" s="11"/>
      <c r="P135" s="2">
        <v>7802.45</v>
      </c>
      <c r="Q135" s="2"/>
      <c r="R135" s="19">
        <f t="shared" si="31"/>
        <v>7.0117330307089805E-4</v>
      </c>
      <c r="S135" s="2"/>
      <c r="T135" s="2">
        <v>9365.76</v>
      </c>
      <c r="U135" s="2"/>
      <c r="V135" s="19">
        <f t="shared" si="32"/>
        <v>7.0889964359440935E-4</v>
      </c>
      <c r="W135" s="2"/>
      <c r="X135" s="2">
        <f t="shared" si="33"/>
        <v>-1563.3100000000004</v>
      </c>
      <c r="Y135" s="2"/>
      <c r="Z135" s="19">
        <f t="shared" si="34"/>
        <v>-0.16691758063413972</v>
      </c>
    </row>
    <row r="136" spans="1:26" s="24" customFormat="1" hidden="1" outlineLevel="1" x14ac:dyDescent="0.25">
      <c r="A136" s="44"/>
      <c r="B136" s="11" t="str">
        <f>CONCATENATE("          ", "5033", " - ", "PURCHASES @ COST-CANDY")</f>
        <v xml:space="preserve">          5033 - PURCHASES @ COST-CANDY</v>
      </c>
      <c r="C136" s="11"/>
      <c r="D136" s="2">
        <v>-25.2</v>
      </c>
      <c r="E136" s="2"/>
      <c r="F136" s="19">
        <f t="shared" si="27"/>
        <v>-1.5283670380719869E-4</v>
      </c>
      <c r="G136" s="2"/>
      <c r="H136" s="2">
        <v>1244.29</v>
      </c>
      <c r="I136" s="2"/>
      <c r="J136" s="19">
        <f t="shared" si="28"/>
        <v>1.337075886420041E-3</v>
      </c>
      <c r="K136" s="2"/>
      <c r="L136" s="2">
        <f t="shared" si="29"/>
        <v>-1269.49</v>
      </c>
      <c r="M136" s="2"/>
      <c r="N136" s="19">
        <f t="shared" si="30"/>
        <v>-1.0202525134815839</v>
      </c>
      <c r="O136" s="11"/>
      <c r="P136" s="2">
        <v>9998.41</v>
      </c>
      <c r="Q136" s="2"/>
      <c r="R136" s="19">
        <f t="shared" si="31"/>
        <v>8.9851497480369609E-4</v>
      </c>
      <c r="S136" s="2"/>
      <c r="T136" s="2">
        <v>9175.83</v>
      </c>
      <c r="U136" s="2"/>
      <c r="V136" s="19">
        <f t="shared" si="32"/>
        <v>6.9452373503942966E-4</v>
      </c>
      <c r="W136" s="2"/>
      <c r="X136" s="2">
        <f t="shared" si="33"/>
        <v>822.57999999999993</v>
      </c>
      <c r="Y136" s="2"/>
      <c r="Z136" s="19">
        <f t="shared" si="34"/>
        <v>8.9646386212473408E-2</v>
      </c>
    </row>
    <row r="137" spans="1:26" s="24" customFormat="1" hidden="1" outlineLevel="1" x14ac:dyDescent="0.25">
      <c r="A137" s="44"/>
      <c r="B137" s="11" t="str">
        <f>CONCATENATE("          ", "5034", " - ", "PURCHASES @ COST-SODA")</f>
        <v xml:space="preserve">          5034 - PURCHASES @ COST-SODA</v>
      </c>
      <c r="C137" s="11"/>
      <c r="D137" s="2"/>
      <c r="E137" s="2"/>
      <c r="F137" s="19">
        <f t="shared" si="27"/>
        <v>0</v>
      </c>
      <c r="G137" s="2"/>
      <c r="H137" s="2">
        <v>367.08</v>
      </c>
      <c r="I137" s="2"/>
      <c r="J137" s="19">
        <f t="shared" si="28"/>
        <v>3.9445291402090236E-4</v>
      </c>
      <c r="K137" s="2"/>
      <c r="L137" s="2">
        <f t="shared" si="29"/>
        <v>-367.08</v>
      </c>
      <c r="M137" s="2"/>
      <c r="N137" s="19">
        <f t="shared" si="30"/>
        <v>-1</v>
      </c>
      <c r="O137" s="11"/>
      <c r="P137" s="2">
        <v>4033.88</v>
      </c>
      <c r="Q137" s="2"/>
      <c r="R137" s="19">
        <f t="shared" si="31"/>
        <v>3.6250779739589929E-4</v>
      </c>
      <c r="S137" s="2"/>
      <c r="T137" s="2">
        <v>3799.26</v>
      </c>
      <c r="U137" s="2"/>
      <c r="V137" s="19">
        <f t="shared" si="32"/>
        <v>2.8756812687091019E-4</v>
      </c>
      <c r="W137" s="2"/>
      <c r="X137" s="2">
        <f t="shared" si="33"/>
        <v>234.61999999999989</v>
      </c>
      <c r="Y137" s="2"/>
      <c r="Z137" s="19">
        <f t="shared" si="34"/>
        <v>6.1754131067628927E-2</v>
      </c>
    </row>
    <row r="138" spans="1:26" s="24" customFormat="1" hidden="1" outlineLevel="1" x14ac:dyDescent="0.25">
      <c r="A138" s="44"/>
      <c r="B138" s="11" t="str">
        <f>CONCATENATE("          ", "5035", " - ", "PURCHASES @ COST-HEALTH &amp; BEAU")</f>
        <v xml:space="preserve">          5035 - PURCHASES @ COST-HEALTH &amp; BEAU</v>
      </c>
      <c r="C138" s="11"/>
      <c r="D138" s="2"/>
      <c r="E138" s="2"/>
      <c r="F138" s="19">
        <f t="shared" si="27"/>
        <v>0</v>
      </c>
      <c r="G138" s="2"/>
      <c r="H138" s="2">
        <v>117.8</v>
      </c>
      <c r="I138" s="2"/>
      <c r="J138" s="19">
        <f t="shared" si="28"/>
        <v>1.265842684746167E-4</v>
      </c>
      <c r="K138" s="2"/>
      <c r="L138" s="2">
        <f t="shared" si="29"/>
        <v>-117.8</v>
      </c>
      <c r="M138" s="2"/>
      <c r="N138" s="19">
        <f t="shared" si="30"/>
        <v>-1</v>
      </c>
      <c r="O138" s="11"/>
      <c r="P138" s="2">
        <v>1117.6500000000001</v>
      </c>
      <c r="Q138" s="2"/>
      <c r="R138" s="19">
        <f t="shared" si="31"/>
        <v>1.0043849587977999E-4</v>
      </c>
      <c r="S138" s="2"/>
      <c r="T138" s="2">
        <v>1197.8499999999999</v>
      </c>
      <c r="U138" s="2"/>
      <c r="V138" s="19">
        <f t="shared" si="32"/>
        <v>9.0665940412690821E-5</v>
      </c>
      <c r="W138" s="2"/>
      <c r="X138" s="2">
        <f t="shared" si="33"/>
        <v>-80.199999999999818</v>
      </c>
      <c r="Y138" s="2"/>
      <c r="Z138" s="19">
        <f t="shared" si="34"/>
        <v>-6.6953291313603391E-2</v>
      </c>
    </row>
    <row r="139" spans="1:26" s="24" customFormat="1" hidden="1" outlineLevel="1" x14ac:dyDescent="0.25">
      <c r="A139" s="44"/>
      <c r="B139" s="11" t="str">
        <f>CONCATENATE("          ", "5037", " - ", "PURCHASES @ COST-WATER")</f>
        <v xml:space="preserve">          5037 - PURCHASES @ COST-WATER</v>
      </c>
      <c r="C139" s="11"/>
      <c r="D139" s="2"/>
      <c r="E139" s="2"/>
      <c r="F139" s="19">
        <f t="shared" si="27"/>
        <v>0</v>
      </c>
      <c r="G139" s="2"/>
      <c r="H139" s="2">
        <v>460.25</v>
      </c>
      <c r="I139" s="2"/>
      <c r="J139" s="19">
        <f t="shared" si="28"/>
        <v>4.9457053960477368E-4</v>
      </c>
      <c r="K139" s="2"/>
      <c r="L139" s="2">
        <f t="shared" si="29"/>
        <v>-460.25</v>
      </c>
      <c r="M139" s="2"/>
      <c r="N139" s="19">
        <f t="shared" si="30"/>
        <v>-1</v>
      </c>
      <c r="O139" s="11"/>
      <c r="P139" s="2">
        <v>5693.57</v>
      </c>
      <c r="Q139" s="2"/>
      <c r="R139" s="19">
        <f t="shared" si="31"/>
        <v>5.1165714399520324E-4</v>
      </c>
      <c r="S139" s="2"/>
      <c r="T139" s="2">
        <v>5848.83</v>
      </c>
      <c r="U139" s="2"/>
      <c r="V139" s="19">
        <f t="shared" si="32"/>
        <v>4.4270123326289472E-4</v>
      </c>
      <c r="W139" s="2"/>
      <c r="X139" s="2">
        <f t="shared" si="33"/>
        <v>-155.26000000000022</v>
      </c>
      <c r="Y139" s="2"/>
      <c r="Z139" s="19">
        <f t="shared" si="34"/>
        <v>-2.6545480036178213E-2</v>
      </c>
    </row>
    <row r="140" spans="1:26" s="24" customFormat="1" hidden="1" outlineLevel="1" x14ac:dyDescent="0.25">
      <c r="A140" s="44"/>
      <c r="B140" s="11" t="str">
        <f>CONCATENATE("          ", "5040", " - ", "PURCHASES @ COST-LOGO CLOTHING")</f>
        <v xml:space="preserve">          5040 - PURCHASES @ COST-LOGO CLOTHING</v>
      </c>
      <c r="C140" s="11"/>
      <c r="D140" s="2">
        <v>8012.9</v>
      </c>
      <c r="E140" s="2"/>
      <c r="F140" s="19">
        <f t="shared" si="27"/>
        <v>4.8597826346694538E-2</v>
      </c>
      <c r="G140" s="2"/>
      <c r="H140" s="2">
        <v>64538.15</v>
      </c>
      <c r="I140" s="2"/>
      <c r="J140" s="19">
        <f t="shared" si="28"/>
        <v>6.9350717372284251E-2</v>
      </c>
      <c r="K140" s="2"/>
      <c r="L140" s="2">
        <f t="shared" si="29"/>
        <v>-56525.25</v>
      </c>
      <c r="M140" s="2"/>
      <c r="N140" s="19">
        <f t="shared" si="30"/>
        <v>-0.87584242808323443</v>
      </c>
      <c r="O140" s="11"/>
      <c r="P140" s="2">
        <v>974911.44</v>
      </c>
      <c r="Q140" s="2"/>
      <c r="R140" s="19">
        <f t="shared" si="31"/>
        <v>8.7611182972836182E-2</v>
      </c>
      <c r="S140" s="2"/>
      <c r="T140" s="2">
        <v>1004849.15</v>
      </c>
      <c r="U140" s="2"/>
      <c r="V140" s="19">
        <f t="shared" si="32"/>
        <v>7.6057597493545126E-2</v>
      </c>
      <c r="W140" s="2"/>
      <c r="X140" s="2">
        <f t="shared" si="33"/>
        <v>-29937.710000000079</v>
      </c>
      <c r="Y140" s="2"/>
      <c r="Z140" s="19">
        <f t="shared" si="34"/>
        <v>-2.9793238119373518E-2</v>
      </c>
    </row>
    <row r="141" spans="1:26" s="24" customFormat="1" hidden="1" outlineLevel="1" x14ac:dyDescent="0.25">
      <c r="A141" s="44"/>
      <c r="B141" s="11" t="str">
        <f>CONCATENATE("          ", "5041", " - ", "PURCHASES @ COST-LOGO GIFTS")</f>
        <v xml:space="preserve">          5041 - PURCHASES @ COST-LOGO GIFTS</v>
      </c>
      <c r="C141" s="11"/>
      <c r="D141" s="2">
        <v>-4050.7</v>
      </c>
      <c r="E141" s="2"/>
      <c r="F141" s="19">
        <f t="shared" si="27"/>
        <v>-2.4567287147294434E-2</v>
      </c>
      <c r="G141" s="2"/>
      <c r="H141" s="2">
        <v>29207.06</v>
      </c>
      <c r="I141" s="2"/>
      <c r="J141" s="19">
        <f t="shared" si="28"/>
        <v>3.1385011242735475E-2</v>
      </c>
      <c r="K141" s="2"/>
      <c r="L141" s="2">
        <f t="shared" si="29"/>
        <v>-33257.760000000002</v>
      </c>
      <c r="M141" s="2"/>
      <c r="N141" s="19">
        <f t="shared" si="30"/>
        <v>-1.1386890703822981</v>
      </c>
      <c r="O141" s="11"/>
      <c r="P141" s="2">
        <v>145460.03</v>
      </c>
      <c r="Q141" s="2"/>
      <c r="R141" s="19">
        <f t="shared" si="31"/>
        <v>1.3071879947951212E-2</v>
      </c>
      <c r="S141" s="2"/>
      <c r="T141" s="2">
        <v>245362.05000000002</v>
      </c>
      <c r="U141" s="2"/>
      <c r="V141" s="19">
        <f t="shared" si="32"/>
        <v>1.8571591605656523E-2</v>
      </c>
      <c r="W141" s="2"/>
      <c r="X141" s="2">
        <f t="shared" si="33"/>
        <v>-99902.020000000019</v>
      </c>
      <c r="Y141" s="2"/>
      <c r="Z141" s="19">
        <f t="shared" si="34"/>
        <v>-0.40716166171581958</v>
      </c>
    </row>
    <row r="142" spans="1:26" s="24" customFormat="1" hidden="1" outlineLevel="1" x14ac:dyDescent="0.25">
      <c r="A142" s="44"/>
      <c r="B142" s="11" t="str">
        <f>CONCATENATE("          ", "5042", " - ", "PURCHASES @ COST-EVERYDAY GIFT")</f>
        <v xml:space="preserve">          5042 - PURCHASES @ COST-EVERYDAY GIFT</v>
      </c>
      <c r="C142" s="11"/>
      <c r="D142" s="2">
        <v>521.79999999999995</v>
      </c>
      <c r="E142" s="2"/>
      <c r="F142" s="19">
        <f t="shared" si="27"/>
        <v>3.164690160579217E-3</v>
      </c>
      <c r="G142" s="2"/>
      <c r="H142" s="2">
        <v>11596.65</v>
      </c>
      <c r="I142" s="2"/>
      <c r="J142" s="19">
        <f t="shared" si="28"/>
        <v>1.2461404558626179E-2</v>
      </c>
      <c r="K142" s="2"/>
      <c r="L142" s="2">
        <f t="shared" si="29"/>
        <v>-11074.85</v>
      </c>
      <c r="M142" s="2"/>
      <c r="N142" s="19">
        <f t="shared" si="30"/>
        <v>-0.95500424691613528</v>
      </c>
      <c r="O142" s="11"/>
      <c r="P142" s="2">
        <v>115885.04</v>
      </c>
      <c r="Q142" s="2"/>
      <c r="R142" s="19">
        <f t="shared" si="31"/>
        <v>1.041410022150775E-2</v>
      </c>
      <c r="S142" s="2"/>
      <c r="T142" s="2">
        <v>130164.17000000001</v>
      </c>
      <c r="U142" s="2"/>
      <c r="V142" s="19">
        <f t="shared" si="32"/>
        <v>9.8521992579098886E-3</v>
      </c>
      <c r="W142" s="2"/>
      <c r="X142" s="2">
        <f t="shared" si="33"/>
        <v>-14279.130000000019</v>
      </c>
      <c r="Y142" s="2"/>
      <c r="Z142" s="19">
        <f t="shared" si="34"/>
        <v>-0.10970092614580508</v>
      </c>
    </row>
    <row r="143" spans="1:26" s="24" customFormat="1" hidden="1" outlineLevel="1" x14ac:dyDescent="0.25">
      <c r="A143" s="44"/>
      <c r="B143" s="11" t="str">
        <f>CONCATENATE("          ", "5043", " - ", "PURCHASES @ COST-CARDS")</f>
        <v xml:space="preserve">          5043 - PURCHASES @ COST-CARDS</v>
      </c>
      <c r="C143" s="11"/>
      <c r="D143" s="2">
        <v>6137.75</v>
      </c>
      <c r="E143" s="2"/>
      <c r="F143" s="19">
        <f t="shared" si="27"/>
        <v>3.7225138047326738E-2</v>
      </c>
      <c r="G143" s="2"/>
      <c r="H143" s="2">
        <v>978.5</v>
      </c>
      <c r="I143" s="2"/>
      <c r="J143" s="19">
        <f t="shared" si="28"/>
        <v>1.0514661010391549E-3</v>
      </c>
      <c r="K143" s="2"/>
      <c r="L143" s="2">
        <f t="shared" si="29"/>
        <v>5159.25</v>
      </c>
      <c r="M143" s="2"/>
      <c r="N143" s="19">
        <f t="shared" si="30"/>
        <v>5.2726111394992339</v>
      </c>
      <c r="O143" s="11"/>
      <c r="P143" s="2">
        <v>30914.659999999996</v>
      </c>
      <c r="Q143" s="2"/>
      <c r="R143" s="19">
        <f t="shared" si="31"/>
        <v>2.7781702241621246E-3</v>
      </c>
      <c r="S143" s="2"/>
      <c r="T143" s="2">
        <v>4361.58</v>
      </c>
      <c r="U143" s="2"/>
      <c r="V143" s="19">
        <f t="shared" si="32"/>
        <v>3.3013044403321285E-4</v>
      </c>
      <c r="W143" s="2"/>
      <c r="X143" s="2">
        <f t="shared" si="33"/>
        <v>26553.079999999994</v>
      </c>
      <c r="Y143" s="2"/>
      <c r="Z143" s="19">
        <f t="shared" si="34"/>
        <v>6.0879497796670003</v>
      </c>
    </row>
    <row r="144" spans="1:26" s="24" customFormat="1" hidden="1" outlineLevel="1" x14ac:dyDescent="0.25">
      <c r="A144" s="44"/>
      <c r="B144" s="11" t="str">
        <f>CONCATENATE("          ", "5044", " - ", "PURCHASES @ COST-ACCESSORIES")</f>
        <v xml:space="preserve">          5044 - PURCHASES @ COST-ACCESSORIES</v>
      </c>
      <c r="C144" s="11"/>
      <c r="D144" s="2">
        <v>4380</v>
      </c>
      <c r="E144" s="2"/>
      <c r="F144" s="19">
        <f t="shared" si="27"/>
        <v>2.656447470934644E-2</v>
      </c>
      <c r="G144" s="2"/>
      <c r="H144" s="2">
        <v>1248</v>
      </c>
      <c r="I144" s="2"/>
      <c r="J144" s="19">
        <f t="shared" si="28"/>
        <v>1.341062538678452E-3</v>
      </c>
      <c r="K144" s="2"/>
      <c r="L144" s="2">
        <f t="shared" si="29"/>
        <v>3132</v>
      </c>
      <c r="M144" s="2"/>
      <c r="N144" s="19">
        <f t="shared" si="30"/>
        <v>2.5096153846153846</v>
      </c>
      <c r="O144" s="11"/>
      <c r="P144" s="2">
        <v>36474.03</v>
      </c>
      <c r="Q144" s="2"/>
      <c r="R144" s="19">
        <f t="shared" si="31"/>
        <v>3.2777673796572909E-3</v>
      </c>
      <c r="S144" s="2"/>
      <c r="T144" s="2">
        <v>34227.11</v>
      </c>
      <c r="U144" s="2"/>
      <c r="V144" s="19">
        <f t="shared" si="32"/>
        <v>2.5906692121372577E-3</v>
      </c>
      <c r="W144" s="2"/>
      <c r="X144" s="2">
        <f t="shared" si="33"/>
        <v>2246.9199999999983</v>
      </c>
      <c r="Y144" s="2"/>
      <c r="Z144" s="19">
        <f t="shared" si="34"/>
        <v>6.5647377181421343E-2</v>
      </c>
    </row>
    <row r="145" spans="1:26" s="24" customFormat="1" hidden="1" outlineLevel="1" x14ac:dyDescent="0.25">
      <c r="A145" s="44"/>
      <c r="B145" s="11" t="str">
        <f>CONCATENATE("          ", "5045", " - ", "PURCHASES @ COST-SPECIAL ORDER")</f>
        <v xml:space="preserve">          5045 - PURCHASES @ COST-SPECIAL ORDER</v>
      </c>
      <c r="C145" s="11"/>
      <c r="D145" s="2">
        <v>4221.8999999999996</v>
      </c>
      <c r="E145" s="2"/>
      <c r="F145" s="19">
        <f t="shared" si="27"/>
        <v>2.5605606341413178E-2</v>
      </c>
      <c r="G145" s="2"/>
      <c r="H145" s="2">
        <v>30972.289999999997</v>
      </c>
      <c r="I145" s="2"/>
      <c r="J145" s="19">
        <f t="shared" si="28"/>
        <v>3.3281873282119574E-2</v>
      </c>
      <c r="K145" s="2"/>
      <c r="L145" s="2">
        <f t="shared" si="29"/>
        <v>-26750.39</v>
      </c>
      <c r="M145" s="2"/>
      <c r="N145" s="19">
        <f t="shared" si="30"/>
        <v>-0.86368783192976695</v>
      </c>
      <c r="O145" s="11"/>
      <c r="P145" s="2">
        <v>61923.149999999994</v>
      </c>
      <c r="Q145" s="2"/>
      <c r="R145" s="19">
        <f t="shared" si="31"/>
        <v>5.5647725550377995E-3</v>
      </c>
      <c r="S145" s="2"/>
      <c r="T145" s="2">
        <v>99636.95</v>
      </c>
      <c r="U145" s="2"/>
      <c r="V145" s="19">
        <f t="shared" si="32"/>
        <v>7.541576801437788E-3</v>
      </c>
      <c r="W145" s="2"/>
      <c r="X145" s="2">
        <f t="shared" si="33"/>
        <v>-37713.800000000003</v>
      </c>
      <c r="Y145" s="2"/>
      <c r="Z145" s="19">
        <f t="shared" si="34"/>
        <v>-0.37851218850035057</v>
      </c>
    </row>
    <row r="146" spans="1:26" s="24" customFormat="1" hidden="1" outlineLevel="1" x14ac:dyDescent="0.25">
      <c r="A146" s="44"/>
      <c r="B146" s="11" t="str">
        <f>CONCATENATE("          ", "5053", " - ", "PURCHASES @ COST-FOOD")</f>
        <v xml:space="preserve">          5053 - PURCHASES @ COST-FOOD</v>
      </c>
      <c r="C146" s="11"/>
      <c r="D146" s="2">
        <v>-1745.37</v>
      </c>
      <c r="E146" s="2"/>
      <c r="F146" s="19">
        <f t="shared" si="27"/>
        <v>-1.0585579274760729E-2</v>
      </c>
      <c r="G146" s="2"/>
      <c r="H146" s="2">
        <v>170754.5</v>
      </c>
      <c r="I146" s="2"/>
      <c r="J146" s="19">
        <f t="shared" si="28"/>
        <v>0.18348755068971934</v>
      </c>
      <c r="K146" s="2"/>
      <c r="L146" s="2">
        <f t="shared" si="29"/>
        <v>-172499.87</v>
      </c>
      <c r="M146" s="2"/>
      <c r="N146" s="19">
        <f t="shared" si="30"/>
        <v>-1.0102215168560711</v>
      </c>
      <c r="O146" s="11"/>
      <c r="P146" s="2">
        <v>1160260.4200000002</v>
      </c>
      <c r="Q146" s="2"/>
      <c r="R146" s="19">
        <f t="shared" si="31"/>
        <v>0.10426771477085116</v>
      </c>
      <c r="S146" s="2"/>
      <c r="T146" s="2">
        <v>1291937.02</v>
      </c>
      <c r="U146" s="2"/>
      <c r="V146" s="19">
        <f t="shared" si="32"/>
        <v>9.7787439890027431E-2</v>
      </c>
      <c r="W146" s="2"/>
      <c r="X146" s="2">
        <f t="shared" si="33"/>
        <v>-131676.59999999986</v>
      </c>
      <c r="Y146" s="2"/>
      <c r="Z146" s="19">
        <f t="shared" si="34"/>
        <v>-0.10192184136034732</v>
      </c>
    </row>
    <row r="147" spans="1:26" s="24" customFormat="1" hidden="1" outlineLevel="1" x14ac:dyDescent="0.25">
      <c r="A147" s="44"/>
      <c r="B147" s="11" t="str">
        <f>CONCATENATE("          ", "5059", " - ", "PURCHASES @ COST-FOOD")</f>
        <v xml:space="preserve">          5059 - PURCHASES @ COST-FOOD</v>
      </c>
      <c r="C147" s="11"/>
      <c r="D147" s="2">
        <v>105570.95</v>
      </c>
      <c r="E147" s="2"/>
      <c r="F147" s="19">
        <f t="shared" si="27"/>
        <v>0.64028238157915007</v>
      </c>
      <c r="G147" s="2"/>
      <c r="H147" s="2">
        <v>-5341.01</v>
      </c>
      <c r="I147" s="2"/>
      <c r="J147" s="19">
        <f t="shared" si="28"/>
        <v>-5.739285600726762E-3</v>
      </c>
      <c r="K147" s="2"/>
      <c r="L147" s="2">
        <f t="shared" si="29"/>
        <v>110911.95999999999</v>
      </c>
      <c r="M147" s="2"/>
      <c r="N147" s="19">
        <f t="shared" si="30"/>
        <v>-20.766102291514148</v>
      </c>
      <c r="O147" s="11"/>
      <c r="P147" s="2">
        <v>73826.8</v>
      </c>
      <c r="Q147" s="2"/>
      <c r="R147" s="19">
        <f t="shared" si="31"/>
        <v>6.6345034202275671E-3</v>
      </c>
      <c r="S147" s="2"/>
      <c r="T147" s="2">
        <v>20770.14</v>
      </c>
      <c r="U147" s="2"/>
      <c r="V147" s="19">
        <f t="shared" si="32"/>
        <v>1.5721035819203123E-3</v>
      </c>
      <c r="W147" s="2"/>
      <c r="X147" s="2">
        <f t="shared" si="33"/>
        <v>53056.66</v>
      </c>
      <c r="Y147" s="2"/>
      <c r="Z147" s="19">
        <f t="shared" si="34"/>
        <v>2.5544680969892357</v>
      </c>
    </row>
    <row r="148" spans="1:26" s="24" customFormat="1" hidden="1" outlineLevel="1" x14ac:dyDescent="0.25">
      <c r="A148" s="44"/>
      <c r="B148" s="11" t="str">
        <f>CONCATENATE("          ", "5081", " - ", "PURCHASES @ COST-ELECTRONICS")</f>
        <v xml:space="preserve">          5081 - PURCHASES @ COST-ELECTRONICS</v>
      </c>
      <c r="C148" s="11"/>
      <c r="D148" s="2"/>
      <c r="E148" s="2"/>
      <c r="F148" s="19">
        <f t="shared" si="27"/>
        <v>0</v>
      </c>
      <c r="G148" s="2"/>
      <c r="H148" s="2"/>
      <c r="I148" s="2"/>
      <c r="J148" s="19">
        <f t="shared" si="28"/>
        <v>0</v>
      </c>
      <c r="K148" s="2"/>
      <c r="L148" s="2">
        <f t="shared" si="29"/>
        <v>0</v>
      </c>
      <c r="M148" s="2"/>
      <c r="N148" s="19">
        <f t="shared" si="30"/>
        <v>0</v>
      </c>
      <c r="O148" s="11"/>
      <c r="P148" s="2">
        <v>2008.03</v>
      </c>
      <c r="Q148" s="2"/>
      <c r="R148" s="19">
        <f t="shared" si="31"/>
        <v>1.8045319454343899E-4</v>
      </c>
      <c r="S148" s="2"/>
      <c r="T148" s="2">
        <v>2554.86</v>
      </c>
      <c r="U148" s="2"/>
      <c r="V148" s="19">
        <f t="shared" si="32"/>
        <v>1.9337879076910072E-4</v>
      </c>
      <c r="W148" s="2"/>
      <c r="X148" s="2">
        <f t="shared" si="33"/>
        <v>-546.83000000000015</v>
      </c>
      <c r="Y148" s="2"/>
      <c r="Z148" s="19">
        <f t="shared" si="34"/>
        <v>-0.21403521132273398</v>
      </c>
    </row>
    <row r="149" spans="1:26" s="24" customFormat="1" hidden="1" outlineLevel="1" x14ac:dyDescent="0.25">
      <c r="A149" s="44"/>
      <c r="B149" s="11" t="str">
        <f>CONCATENATE("          ", "5082", " - ", "PURCHASES @ COST-COMPUTER HARD")</f>
        <v xml:space="preserve">          5082 - PURCHASES @ COST-COMPUTER HARD</v>
      </c>
      <c r="C149" s="11"/>
      <c r="D149" s="2"/>
      <c r="E149" s="2"/>
      <c r="F149" s="19">
        <f t="shared" si="27"/>
        <v>0</v>
      </c>
      <c r="G149" s="2"/>
      <c r="H149" s="2"/>
      <c r="I149" s="2"/>
      <c r="J149" s="19">
        <f t="shared" si="28"/>
        <v>0</v>
      </c>
      <c r="K149" s="2"/>
      <c r="L149" s="2">
        <f t="shared" si="29"/>
        <v>0</v>
      </c>
      <c r="M149" s="2"/>
      <c r="N149" s="19">
        <f t="shared" si="30"/>
        <v>0</v>
      </c>
      <c r="O149" s="11"/>
      <c r="P149" s="2">
        <v>349.6</v>
      </c>
      <c r="Q149" s="2"/>
      <c r="R149" s="19">
        <f t="shared" si="31"/>
        <v>3.1417078834671932E-5</v>
      </c>
      <c r="S149" s="2"/>
      <c r="T149" s="2">
        <v>1118</v>
      </c>
      <c r="U149" s="2"/>
      <c r="V149" s="19">
        <f t="shared" si="32"/>
        <v>8.4622048988928776E-5</v>
      </c>
      <c r="W149" s="2"/>
      <c r="X149" s="2">
        <f t="shared" si="33"/>
        <v>-768.4</v>
      </c>
      <c r="Y149" s="2"/>
      <c r="Z149" s="19">
        <f t="shared" si="34"/>
        <v>-0.68729874776386402</v>
      </c>
    </row>
    <row r="150" spans="1:26" s="24" customFormat="1" hidden="1" outlineLevel="1" x14ac:dyDescent="0.25">
      <c r="A150" s="44"/>
      <c r="B150" s="11" t="str">
        <f>CONCATENATE("          ", "5083", " - ", "PURCHASES @ COST-COMPUTER EQUI")</f>
        <v xml:space="preserve">          5083 - PURCHASES @ COST-COMPUTER EQUI</v>
      </c>
      <c r="C150" s="11"/>
      <c r="D150" s="2"/>
      <c r="E150" s="2"/>
      <c r="F150" s="19">
        <f t="shared" si="27"/>
        <v>0</v>
      </c>
      <c r="G150" s="2"/>
      <c r="H150" s="2"/>
      <c r="I150" s="2"/>
      <c r="J150" s="19">
        <f t="shared" si="28"/>
        <v>0</v>
      </c>
      <c r="K150" s="2"/>
      <c r="L150" s="2">
        <f t="shared" si="29"/>
        <v>0</v>
      </c>
      <c r="M150" s="2"/>
      <c r="N150" s="19">
        <f t="shared" si="30"/>
        <v>0</v>
      </c>
      <c r="O150" s="11"/>
      <c r="P150" s="2">
        <v>395.06</v>
      </c>
      <c r="Q150" s="2"/>
      <c r="R150" s="19">
        <f t="shared" si="31"/>
        <v>3.5502377472612961E-5</v>
      </c>
      <c r="S150" s="2"/>
      <c r="T150" s="2">
        <v>725.99</v>
      </c>
      <c r="U150" s="2"/>
      <c r="V150" s="19">
        <f t="shared" si="32"/>
        <v>5.4950591543356353E-5</v>
      </c>
      <c r="W150" s="2"/>
      <c r="X150" s="2">
        <f t="shared" si="33"/>
        <v>-330.93</v>
      </c>
      <c r="Y150" s="2"/>
      <c r="Z150" s="19">
        <f t="shared" si="34"/>
        <v>-0.45583272496866351</v>
      </c>
    </row>
    <row r="151" spans="1:26" s="24" customFormat="1" hidden="1" outlineLevel="1" x14ac:dyDescent="0.25">
      <c r="A151" s="44"/>
      <c r="B151" s="11" t="str">
        <f>CONCATENATE("          ", "5086", " - ", "PURCHASES @ COST-COMPUTER SUPP")</f>
        <v xml:space="preserve">          5086 - PURCHASES @ COST-COMPUTER SUPP</v>
      </c>
      <c r="C151" s="11"/>
      <c r="D151" s="2"/>
      <c r="E151" s="2"/>
      <c r="F151" s="19">
        <f t="shared" si="27"/>
        <v>0</v>
      </c>
      <c r="G151" s="2"/>
      <c r="H151" s="2"/>
      <c r="I151" s="2"/>
      <c r="J151" s="19">
        <f t="shared" si="28"/>
        <v>0</v>
      </c>
      <c r="K151" s="2"/>
      <c r="L151" s="2">
        <f t="shared" si="29"/>
        <v>0</v>
      </c>
      <c r="M151" s="2"/>
      <c r="N151" s="19">
        <f t="shared" si="30"/>
        <v>0</v>
      </c>
      <c r="O151" s="11"/>
      <c r="P151" s="2">
        <v>426.22</v>
      </c>
      <c r="Q151" s="2"/>
      <c r="R151" s="19">
        <f t="shared" si="31"/>
        <v>3.8302595368746769E-5</v>
      </c>
      <c r="S151" s="2"/>
      <c r="T151" s="2">
        <v>971.76</v>
      </c>
      <c r="U151" s="2"/>
      <c r="V151" s="19">
        <f t="shared" si="32"/>
        <v>7.3553061114026321E-5</v>
      </c>
      <c r="W151" s="2"/>
      <c r="X151" s="2">
        <f t="shared" si="33"/>
        <v>-545.54</v>
      </c>
      <c r="Y151" s="2"/>
      <c r="Z151" s="19">
        <f t="shared" si="34"/>
        <v>-0.56139375977607642</v>
      </c>
    </row>
    <row r="152" spans="1:26" s="24" customFormat="1" hidden="1" outlineLevel="1" x14ac:dyDescent="0.25">
      <c r="A152" s="44"/>
      <c r="B152" s="11" t="str">
        <f>CONCATENATE("          ", "5092", " - ", "PURCHASES @ COST-GRAD MERCH")</f>
        <v xml:space="preserve">          5092 - PURCHASES @ COST-GRAD MERCH</v>
      </c>
      <c r="C152" s="11"/>
      <c r="D152" s="2">
        <v>5539.35</v>
      </c>
      <c r="E152" s="2"/>
      <c r="F152" s="19">
        <f t="shared" si="27"/>
        <v>3.3595872826762151E-2</v>
      </c>
      <c r="G152" s="2"/>
      <c r="H152" s="2">
        <v>27387.5</v>
      </c>
      <c r="I152" s="2"/>
      <c r="J152" s="19">
        <f t="shared" si="28"/>
        <v>2.9429767851006493E-2</v>
      </c>
      <c r="K152" s="2"/>
      <c r="L152" s="2">
        <f t="shared" si="29"/>
        <v>-21848.15</v>
      </c>
      <c r="M152" s="2"/>
      <c r="N152" s="19">
        <f t="shared" si="30"/>
        <v>-0.79774167047010502</v>
      </c>
      <c r="O152" s="11"/>
      <c r="P152" s="2">
        <v>8485.48</v>
      </c>
      <c r="Q152" s="2"/>
      <c r="R152" s="19">
        <f t="shared" si="31"/>
        <v>7.6255433097835218E-4</v>
      </c>
      <c r="S152" s="2"/>
      <c r="T152" s="2">
        <v>35607.46</v>
      </c>
      <c r="U152" s="2"/>
      <c r="V152" s="19">
        <f t="shared" si="32"/>
        <v>2.6951486802247958E-3</v>
      </c>
      <c r="W152" s="2"/>
      <c r="X152" s="2">
        <f t="shared" si="33"/>
        <v>-27121.98</v>
      </c>
      <c r="Y152" s="2"/>
      <c r="Z152" s="19">
        <f t="shared" si="34"/>
        <v>-0.76169375743172918</v>
      </c>
    </row>
    <row r="153" spans="1:26" s="24" customFormat="1" hidden="1" outlineLevel="1" x14ac:dyDescent="0.25">
      <c r="A153" s="44"/>
      <c r="B153" s="11" t="str">
        <f>CONCATENATE("          ", "5095", " - ", "PURCHASES @ COST-CUSTOMER SERV")</f>
        <v xml:space="preserve">          5095 - PURCHASES @ COST-CUSTOMER SERV</v>
      </c>
      <c r="C153" s="11"/>
      <c r="D153" s="2"/>
      <c r="E153" s="2"/>
      <c r="F153" s="19">
        <f t="shared" si="27"/>
        <v>0</v>
      </c>
      <c r="G153" s="2"/>
      <c r="H153" s="2">
        <v>0</v>
      </c>
      <c r="I153" s="2"/>
      <c r="J153" s="19">
        <f t="shared" si="28"/>
        <v>0</v>
      </c>
      <c r="K153" s="2"/>
      <c r="L153" s="2">
        <f t="shared" si="29"/>
        <v>0</v>
      </c>
      <c r="M153" s="2"/>
      <c r="N153" s="19">
        <f t="shared" si="30"/>
        <v>0</v>
      </c>
      <c r="O153" s="11"/>
      <c r="P153" s="2">
        <v>0</v>
      </c>
      <c r="Q153" s="2"/>
      <c r="R153" s="19">
        <f t="shared" si="31"/>
        <v>0</v>
      </c>
      <c r="S153" s="2"/>
      <c r="T153" s="2">
        <v>0</v>
      </c>
      <c r="U153" s="2"/>
      <c r="V153" s="19">
        <f t="shared" si="32"/>
        <v>0</v>
      </c>
      <c r="W153" s="2"/>
      <c r="X153" s="2">
        <f t="shared" si="33"/>
        <v>0</v>
      </c>
      <c r="Y153" s="2"/>
      <c r="Z153" s="19">
        <f t="shared" si="34"/>
        <v>0</v>
      </c>
    </row>
    <row r="154" spans="1:26" s="24" customFormat="1" hidden="1" outlineLevel="1" x14ac:dyDescent="0.25">
      <c r="A154" s="44"/>
      <c r="B154" s="11" t="str">
        <f>CONCATENATE("          ", "5200", " - ", "PURCHASES OFFSET")</f>
        <v xml:space="preserve">          5200 - PURCHASES OFFSET</v>
      </c>
      <c r="C154" s="11"/>
      <c r="D154" s="2">
        <v>-50558</v>
      </c>
      <c r="E154" s="2"/>
      <c r="F154" s="19">
        <f t="shared" si="27"/>
        <v>-0.30663166948747428</v>
      </c>
      <c r="G154" s="2"/>
      <c r="H154" s="2">
        <v>65002</v>
      </c>
      <c r="I154" s="2"/>
      <c r="J154" s="19">
        <f t="shared" si="28"/>
        <v>6.9849156361519824E-2</v>
      </c>
      <c r="K154" s="2"/>
      <c r="L154" s="2">
        <f t="shared" si="29"/>
        <v>-115560</v>
      </c>
      <c r="M154" s="2"/>
      <c r="N154" s="19">
        <f t="shared" si="30"/>
        <v>-1.7777914525706902</v>
      </c>
      <c r="O154" s="11"/>
      <c r="P154" s="2">
        <v>-3418171</v>
      </c>
      <c r="Q154" s="2"/>
      <c r="R154" s="19">
        <f t="shared" si="31"/>
        <v>-0.30717662407720076</v>
      </c>
      <c r="S154" s="2"/>
      <c r="T154" s="2">
        <v>-3903025.9999999995</v>
      </c>
      <c r="U154" s="2"/>
      <c r="V154" s="19">
        <f t="shared" si="32"/>
        <v>-0.29542223378985932</v>
      </c>
      <c r="W154" s="2"/>
      <c r="X154" s="2">
        <f t="shared" si="33"/>
        <v>484854.99999999953</v>
      </c>
      <c r="Y154" s="2"/>
      <c r="Z154" s="19">
        <f t="shared" si="34"/>
        <v>-0.12422540869571445</v>
      </c>
    </row>
    <row r="155" spans="1:26" s="24" customFormat="1" hidden="1" outlineLevel="1" x14ac:dyDescent="0.25">
      <c r="A155" s="44"/>
      <c r="B155" s="11" t="str">
        <f>CONCATENATE("          ", "5300", " - ", "COG$ OFFSET")</f>
        <v xml:space="preserve">          5300 - COG$ OFFSET</v>
      </c>
      <c r="C155" s="11"/>
      <c r="D155" s="2">
        <v>64332</v>
      </c>
      <c r="E155" s="2"/>
      <c r="F155" s="19">
        <f t="shared" si="27"/>
        <v>0.39017027100494867</v>
      </c>
      <c r="G155" s="2"/>
      <c r="H155" s="2">
        <v>247383</v>
      </c>
      <c r="I155" s="2"/>
      <c r="J155" s="19">
        <f t="shared" si="28"/>
        <v>0.26583018750472076</v>
      </c>
      <c r="K155" s="2"/>
      <c r="L155" s="2">
        <f t="shared" si="29"/>
        <v>-183051</v>
      </c>
      <c r="M155" s="2"/>
      <c r="N155" s="19">
        <f t="shared" si="30"/>
        <v>-0.73994979444828468</v>
      </c>
      <c r="O155" s="11"/>
      <c r="P155" s="2">
        <v>3887601.4699999997</v>
      </c>
      <c r="Q155" s="2"/>
      <c r="R155" s="19">
        <f t="shared" si="31"/>
        <v>0.34936236230199219</v>
      </c>
      <c r="S155" s="2"/>
      <c r="T155" s="2">
        <v>4596425</v>
      </c>
      <c r="U155" s="2"/>
      <c r="V155" s="19">
        <f t="shared" si="32"/>
        <v>0.34790599420745705</v>
      </c>
      <c r="W155" s="2"/>
      <c r="X155" s="2">
        <f t="shared" si="33"/>
        <v>-708823.53000000026</v>
      </c>
      <c r="Y155" s="2"/>
      <c r="Z155" s="19">
        <f t="shared" si="34"/>
        <v>-0.15421192122138408</v>
      </c>
    </row>
    <row r="156" spans="1:26" s="24" customFormat="1" hidden="1" outlineLevel="1" x14ac:dyDescent="0.25">
      <c r="A156" s="44"/>
      <c r="B156" s="11" t="str">
        <f>CONCATENATE("          ", "5500", " - ", "FREIGHT-IN")</f>
        <v xml:space="preserve">          5500 - FREIGHT-IN</v>
      </c>
      <c r="C156" s="11"/>
      <c r="D156" s="2"/>
      <c r="E156" s="2"/>
      <c r="F156" s="19">
        <f t="shared" si="27"/>
        <v>0</v>
      </c>
      <c r="G156" s="2"/>
      <c r="H156" s="2"/>
      <c r="I156" s="2"/>
      <c r="J156" s="19">
        <f t="shared" si="28"/>
        <v>0</v>
      </c>
      <c r="K156" s="2"/>
      <c r="L156" s="2">
        <f t="shared" si="29"/>
        <v>0</v>
      </c>
      <c r="M156" s="2"/>
      <c r="N156" s="19">
        <f t="shared" si="30"/>
        <v>0</v>
      </c>
      <c r="O156" s="11"/>
      <c r="P156" s="2">
        <v>156.47999999999999</v>
      </c>
      <c r="Q156" s="2"/>
      <c r="R156" s="19">
        <f t="shared" si="31"/>
        <v>1.4062198215244459E-5</v>
      </c>
      <c r="S156" s="2"/>
      <c r="T156" s="2">
        <v>174.83</v>
      </c>
      <c r="U156" s="2"/>
      <c r="V156" s="19">
        <f t="shared" si="32"/>
        <v>1.3232981059690894E-5</v>
      </c>
      <c r="W156" s="2"/>
      <c r="X156" s="2">
        <f t="shared" si="33"/>
        <v>-18.350000000000023</v>
      </c>
      <c r="Y156" s="2"/>
      <c r="Z156" s="19">
        <f t="shared" si="34"/>
        <v>-0.10495910312875377</v>
      </c>
    </row>
    <row r="157" spans="1:26" s="24" customFormat="1" hidden="1" outlineLevel="1" x14ac:dyDescent="0.25">
      <c r="A157" s="44"/>
      <c r="B157" s="11" t="str">
        <f>CONCATENATE("          ", "5501", " - ", "FREIGHT-IN-NEW TEXT")</f>
        <v xml:space="preserve">          5501 - FREIGHT-IN-NEW TEXT</v>
      </c>
      <c r="C157" s="11"/>
      <c r="D157" s="2">
        <v>2428.4</v>
      </c>
      <c r="E157" s="2"/>
      <c r="F157" s="19">
        <f t="shared" si="27"/>
        <v>1.472812109227783E-2</v>
      </c>
      <c r="G157" s="2"/>
      <c r="H157" s="2">
        <v>105.61</v>
      </c>
      <c r="I157" s="2"/>
      <c r="J157" s="19">
        <f t="shared" si="28"/>
        <v>1.1348526819698022E-4</v>
      </c>
      <c r="K157" s="2"/>
      <c r="L157" s="2">
        <f t="shared" si="29"/>
        <v>2322.79</v>
      </c>
      <c r="M157" s="2"/>
      <c r="N157" s="19">
        <f t="shared" si="30"/>
        <v>21.994034655809109</v>
      </c>
      <c r="O157" s="11"/>
      <c r="P157" s="2">
        <v>69768.95</v>
      </c>
      <c r="Q157" s="2"/>
      <c r="R157" s="19">
        <f t="shared" si="31"/>
        <v>6.2698415399378834E-3</v>
      </c>
      <c r="S157" s="2"/>
      <c r="T157" s="2">
        <v>62766.54</v>
      </c>
      <c r="U157" s="2"/>
      <c r="V157" s="19">
        <f t="shared" si="32"/>
        <v>4.7508347251749173E-3</v>
      </c>
      <c r="W157" s="2"/>
      <c r="X157" s="2">
        <f t="shared" si="33"/>
        <v>7002.4099999999962</v>
      </c>
      <c r="Y157" s="2"/>
      <c r="Z157" s="19">
        <f t="shared" si="34"/>
        <v>0.11156278488506768</v>
      </c>
    </row>
    <row r="158" spans="1:26" s="24" customFormat="1" hidden="1" outlineLevel="1" x14ac:dyDescent="0.25">
      <c r="A158" s="44"/>
      <c r="B158" s="11" t="str">
        <f>CONCATENATE("          ", "5502", " - ", "FREIGHT-IN-USED TEXT")</f>
        <v xml:space="preserve">          5502 - FREIGHT-IN-USED TEXT</v>
      </c>
      <c r="C158" s="11"/>
      <c r="D158" s="2">
        <v>36.700000000000003</v>
      </c>
      <c r="E158" s="2"/>
      <c r="F158" s="19">
        <f t="shared" si="27"/>
        <v>2.2258361229064255E-4</v>
      </c>
      <c r="G158" s="2"/>
      <c r="H158" s="2">
        <v>107.69</v>
      </c>
      <c r="I158" s="2"/>
      <c r="J158" s="19">
        <f t="shared" si="28"/>
        <v>1.1572037242811097E-4</v>
      </c>
      <c r="K158" s="2"/>
      <c r="L158" s="2">
        <f t="shared" si="29"/>
        <v>-70.989999999999995</v>
      </c>
      <c r="M158" s="2"/>
      <c r="N158" s="19">
        <f t="shared" si="30"/>
        <v>-0.65920698300677871</v>
      </c>
      <c r="O158" s="11"/>
      <c r="P158" s="2">
        <v>15301.34</v>
      </c>
      <c r="Q158" s="2"/>
      <c r="R158" s="19">
        <f t="shared" si="31"/>
        <v>1.3750669481010268E-3</v>
      </c>
      <c r="S158" s="2"/>
      <c r="T158" s="2">
        <v>13737.1</v>
      </c>
      <c r="U158" s="2"/>
      <c r="V158" s="19">
        <f t="shared" si="32"/>
        <v>1.0397688275186167E-3</v>
      </c>
      <c r="W158" s="2"/>
      <c r="X158" s="2">
        <f t="shared" si="33"/>
        <v>1564.2399999999998</v>
      </c>
      <c r="Y158" s="2"/>
      <c r="Z158" s="19">
        <f t="shared" si="34"/>
        <v>0.11386973961025251</v>
      </c>
    </row>
    <row r="159" spans="1:26" s="24" customFormat="1" hidden="1" outlineLevel="1" x14ac:dyDescent="0.25">
      <c r="A159" s="44"/>
      <c r="B159" s="11" t="str">
        <f>CONCATENATE("          ", "5504", " - ", "FREIGHT-IN-DIGITAL TEXT")</f>
        <v xml:space="preserve">          5504 - FREIGHT-IN-DIGITAL TEXT</v>
      </c>
      <c r="C159" s="11"/>
      <c r="D159" s="2"/>
      <c r="E159" s="2"/>
      <c r="F159" s="19">
        <f t="shared" si="27"/>
        <v>0</v>
      </c>
      <c r="G159" s="2"/>
      <c r="H159" s="2"/>
      <c r="I159" s="2"/>
      <c r="J159" s="19">
        <f t="shared" si="28"/>
        <v>0</v>
      </c>
      <c r="K159" s="2"/>
      <c r="L159" s="2">
        <f t="shared" si="29"/>
        <v>0</v>
      </c>
      <c r="M159" s="2"/>
      <c r="N159" s="19">
        <f t="shared" si="30"/>
        <v>0</v>
      </c>
      <c r="O159" s="11"/>
      <c r="P159" s="2">
        <v>118.75</v>
      </c>
      <c r="Q159" s="2"/>
      <c r="R159" s="19">
        <f t="shared" si="31"/>
        <v>1.0671562104168453E-5</v>
      </c>
      <c r="S159" s="2"/>
      <c r="T159" s="2">
        <v>243.53</v>
      </c>
      <c r="U159" s="2"/>
      <c r="V159" s="19">
        <f t="shared" si="32"/>
        <v>1.8432922710441706E-5</v>
      </c>
      <c r="W159" s="2"/>
      <c r="X159" s="2">
        <f t="shared" si="33"/>
        <v>-124.78</v>
      </c>
      <c r="Y159" s="2"/>
      <c r="Z159" s="19">
        <f t="shared" si="34"/>
        <v>-0.5123804048782491</v>
      </c>
    </row>
    <row r="160" spans="1:26" s="24" customFormat="1" hidden="1" outlineLevel="1" x14ac:dyDescent="0.25">
      <c r="A160" s="44"/>
      <c r="B160" s="11" t="str">
        <f>CONCATENATE("          ", "5513", " - ", "FREIGHT-IN-TRADE BOOKS")</f>
        <v xml:space="preserve">          5513 - FREIGHT-IN-TRADE BOOKS</v>
      </c>
      <c r="C160" s="11"/>
      <c r="D160" s="2"/>
      <c r="E160" s="2"/>
      <c r="F160" s="19">
        <f t="shared" si="27"/>
        <v>0</v>
      </c>
      <c r="G160" s="2"/>
      <c r="H160" s="2">
        <v>40.18</v>
      </c>
      <c r="I160" s="2"/>
      <c r="J160" s="19">
        <f t="shared" si="28"/>
        <v>4.3176196157131575E-5</v>
      </c>
      <c r="K160" s="2"/>
      <c r="L160" s="2">
        <f t="shared" si="29"/>
        <v>-40.18</v>
      </c>
      <c r="M160" s="2"/>
      <c r="N160" s="19">
        <f t="shared" si="30"/>
        <v>-1</v>
      </c>
      <c r="O160" s="11"/>
      <c r="P160" s="2">
        <v>30.24</v>
      </c>
      <c r="Q160" s="2"/>
      <c r="R160" s="19">
        <f t="shared" si="31"/>
        <v>2.7175413728846653E-6</v>
      </c>
      <c r="S160" s="2"/>
      <c r="T160" s="2">
        <v>54.9</v>
      </c>
      <c r="U160" s="2"/>
      <c r="V160" s="19">
        <f t="shared" si="32"/>
        <v>4.1554118868445344E-6</v>
      </c>
      <c r="W160" s="2"/>
      <c r="X160" s="2">
        <f t="shared" si="33"/>
        <v>-24.66</v>
      </c>
      <c r="Y160" s="2"/>
      <c r="Z160" s="19">
        <f t="shared" si="34"/>
        <v>-0.44918032786885248</v>
      </c>
    </row>
    <row r="161" spans="1:26" s="24" customFormat="1" hidden="1" outlineLevel="1" x14ac:dyDescent="0.25">
      <c r="A161" s="44"/>
      <c r="B161" s="11" t="str">
        <f>CONCATENATE("          ", "5518", " - ", "FREIGHT-IN-STUDY GUIDES")</f>
        <v xml:space="preserve">          5518 - FREIGHT-IN-STUDY GUIDES</v>
      </c>
      <c r="C161" s="11"/>
      <c r="D161" s="2"/>
      <c r="E161" s="2"/>
      <c r="F161" s="19">
        <f t="shared" si="27"/>
        <v>0</v>
      </c>
      <c r="G161" s="2"/>
      <c r="H161" s="2"/>
      <c r="I161" s="2"/>
      <c r="J161" s="19">
        <f t="shared" si="28"/>
        <v>0</v>
      </c>
      <c r="K161" s="2"/>
      <c r="L161" s="2">
        <f t="shared" si="29"/>
        <v>0</v>
      </c>
      <c r="M161" s="2"/>
      <c r="N161" s="19">
        <f t="shared" si="30"/>
        <v>0</v>
      </c>
      <c r="O161" s="11"/>
      <c r="P161" s="2">
        <v>21.13</v>
      </c>
      <c r="Q161" s="2"/>
      <c r="R161" s="19">
        <f t="shared" si="31"/>
        <v>1.898864061145932E-6</v>
      </c>
      <c r="S161" s="2"/>
      <c r="T161" s="2"/>
      <c r="U161" s="2"/>
      <c r="V161" s="19">
        <f t="shared" si="32"/>
        <v>0</v>
      </c>
      <c r="W161" s="2"/>
      <c r="X161" s="2">
        <f t="shared" si="33"/>
        <v>21.13</v>
      </c>
      <c r="Y161" s="2"/>
      <c r="Z161" s="19">
        <f t="shared" si="34"/>
        <v>0</v>
      </c>
    </row>
    <row r="162" spans="1:26" s="24" customFormat="1" hidden="1" outlineLevel="1" x14ac:dyDescent="0.25">
      <c r="A162" s="44"/>
      <c r="B162" s="11" t="str">
        <f>CONCATENATE("          ", "5525", " - ", "FREIGHT-IN-TEST FORMS")</f>
        <v xml:space="preserve">          5525 - FREIGHT-IN-TEST FORMS</v>
      </c>
      <c r="C162" s="11"/>
      <c r="D162" s="2"/>
      <c r="E162" s="2"/>
      <c r="F162" s="19">
        <f t="shared" si="27"/>
        <v>0</v>
      </c>
      <c r="G162" s="2"/>
      <c r="H162" s="2">
        <v>32.04</v>
      </c>
      <c r="I162" s="2"/>
      <c r="J162" s="19">
        <f t="shared" si="28"/>
        <v>3.4429201714148719E-5</v>
      </c>
      <c r="K162" s="2"/>
      <c r="L162" s="2">
        <f t="shared" si="29"/>
        <v>-32.04</v>
      </c>
      <c r="M162" s="2"/>
      <c r="N162" s="19">
        <f t="shared" si="30"/>
        <v>-1</v>
      </c>
      <c r="O162" s="11"/>
      <c r="P162" s="2">
        <v>1237.22</v>
      </c>
      <c r="Q162" s="2"/>
      <c r="R162" s="19">
        <f t="shared" si="31"/>
        <v>1.1118374792858354E-4</v>
      </c>
      <c r="S162" s="2"/>
      <c r="T162" s="2">
        <v>335.25</v>
      </c>
      <c r="U162" s="2"/>
      <c r="V162" s="19">
        <f t="shared" si="32"/>
        <v>2.537526111228835E-5</v>
      </c>
      <c r="W162" s="2"/>
      <c r="X162" s="2">
        <f t="shared" si="33"/>
        <v>901.97</v>
      </c>
      <c r="Y162" s="2"/>
      <c r="Z162" s="19">
        <f t="shared" si="34"/>
        <v>2.6904399701715138</v>
      </c>
    </row>
    <row r="163" spans="1:26" s="24" customFormat="1" hidden="1" outlineLevel="1" x14ac:dyDescent="0.25">
      <c r="A163" s="44"/>
      <c r="B163" s="11" t="str">
        <f>CONCATENATE("          ", "5526", " - ", "FREIGHT-IN-WRITING INSTRUMENTS")</f>
        <v xml:space="preserve">          5526 - FREIGHT-IN-WRITING INSTRUMENTS</v>
      </c>
      <c r="C163" s="11"/>
      <c r="D163" s="2"/>
      <c r="E163" s="2"/>
      <c r="F163" s="19">
        <f t="shared" si="27"/>
        <v>0</v>
      </c>
      <c r="G163" s="2"/>
      <c r="H163" s="2">
        <v>100.95</v>
      </c>
      <c r="I163" s="2"/>
      <c r="J163" s="19">
        <f t="shared" si="28"/>
        <v>1.0847777506377382E-4</v>
      </c>
      <c r="K163" s="2"/>
      <c r="L163" s="2">
        <f t="shared" si="29"/>
        <v>-100.95</v>
      </c>
      <c r="M163" s="2"/>
      <c r="N163" s="19">
        <f t="shared" si="30"/>
        <v>-1</v>
      </c>
      <c r="O163" s="11"/>
      <c r="P163" s="2">
        <v>260.35000000000002</v>
      </c>
      <c r="Q163" s="2"/>
      <c r="R163" s="19">
        <f t="shared" si="31"/>
        <v>2.3396557421644271E-5</v>
      </c>
      <c r="S163" s="2"/>
      <c r="T163" s="2">
        <v>232.11</v>
      </c>
      <c r="U163" s="2"/>
      <c r="V163" s="19">
        <f t="shared" si="32"/>
        <v>1.756853648552796E-5</v>
      </c>
      <c r="W163" s="2"/>
      <c r="X163" s="2">
        <f t="shared" si="33"/>
        <v>28.240000000000009</v>
      </c>
      <c r="Y163" s="2"/>
      <c r="Z163" s="19">
        <f t="shared" si="34"/>
        <v>0.12166645125156179</v>
      </c>
    </row>
    <row r="164" spans="1:26" s="24" customFormat="1" hidden="1" outlineLevel="1" x14ac:dyDescent="0.25">
      <c r="A164" s="44"/>
      <c r="B164" s="11" t="str">
        <f>CONCATENATE("          ", "5527", " - ", "FREIGHT-IN-SCHOOL SUPPLIES")</f>
        <v xml:space="preserve">          5527 - FREIGHT-IN-SCHOOL SUPPLIES</v>
      </c>
      <c r="C164" s="11"/>
      <c r="D164" s="2"/>
      <c r="E164" s="2"/>
      <c r="F164" s="19">
        <f t="shared" si="27"/>
        <v>0</v>
      </c>
      <c r="G164" s="2"/>
      <c r="H164" s="2">
        <v>336.32</v>
      </c>
      <c r="I164" s="2"/>
      <c r="J164" s="19">
        <f t="shared" si="28"/>
        <v>3.613991610643726E-4</v>
      </c>
      <c r="K164" s="2"/>
      <c r="L164" s="2">
        <f t="shared" si="29"/>
        <v>-336.32</v>
      </c>
      <c r="M164" s="2"/>
      <c r="N164" s="19">
        <f t="shared" si="30"/>
        <v>-1</v>
      </c>
      <c r="O164" s="11"/>
      <c r="P164" s="2">
        <v>2058.91</v>
      </c>
      <c r="Q164" s="2"/>
      <c r="R164" s="19">
        <f t="shared" si="31"/>
        <v>1.850255657422608E-4</v>
      </c>
      <c r="S164" s="2"/>
      <c r="T164" s="2">
        <v>1761.28</v>
      </c>
      <c r="U164" s="2"/>
      <c r="V164" s="19">
        <f t="shared" si="32"/>
        <v>1.3331227409948165E-4</v>
      </c>
      <c r="W164" s="2"/>
      <c r="X164" s="2">
        <f t="shared" si="33"/>
        <v>297.62999999999988</v>
      </c>
      <c r="Y164" s="2"/>
      <c r="Z164" s="19">
        <f t="shared" si="34"/>
        <v>0.16898505632267435</v>
      </c>
    </row>
    <row r="165" spans="1:26" s="24" customFormat="1" hidden="1" outlineLevel="1" x14ac:dyDescent="0.25">
      <c r="A165" s="44"/>
      <c r="B165" s="11" t="str">
        <f>CONCATENATE("          ", "5528", " - ", "FREIGHT-IN-ART/TECH")</f>
        <v xml:space="preserve">          5528 - FREIGHT-IN-ART/TECH</v>
      </c>
      <c r="C165" s="11"/>
      <c r="D165" s="2">
        <v>576.6</v>
      </c>
      <c r="E165" s="2"/>
      <c r="F165" s="19">
        <f t="shared" si="27"/>
        <v>3.4970493418742367E-3</v>
      </c>
      <c r="G165" s="2"/>
      <c r="H165" s="2">
        <v>241.6</v>
      </c>
      <c r="I165" s="2"/>
      <c r="J165" s="19">
        <f t="shared" si="28"/>
        <v>2.5961595300057211E-4</v>
      </c>
      <c r="K165" s="2"/>
      <c r="L165" s="2">
        <f t="shared" si="29"/>
        <v>335</v>
      </c>
      <c r="M165" s="2"/>
      <c r="N165" s="19">
        <f t="shared" si="30"/>
        <v>1.38658940397351</v>
      </c>
      <c r="O165" s="11"/>
      <c r="P165" s="2">
        <v>2844.12</v>
      </c>
      <c r="Q165" s="2"/>
      <c r="R165" s="19">
        <f t="shared" si="31"/>
        <v>2.5558907967753754E-4</v>
      </c>
      <c r="S165" s="2"/>
      <c r="T165" s="2">
        <v>7493.84</v>
      </c>
      <c r="U165" s="2"/>
      <c r="V165" s="19">
        <f t="shared" si="32"/>
        <v>5.6721296564865304E-4</v>
      </c>
      <c r="W165" s="2"/>
      <c r="X165" s="2">
        <f t="shared" si="33"/>
        <v>-4649.72</v>
      </c>
      <c r="Y165" s="2"/>
      <c r="Z165" s="19">
        <f t="shared" si="34"/>
        <v>-0.62047228123365328</v>
      </c>
    </row>
    <row r="166" spans="1:26" s="24" customFormat="1" hidden="1" outlineLevel="1" x14ac:dyDescent="0.25">
      <c r="A166" s="44"/>
      <c r="B166" s="11" t="str">
        <f>CONCATENATE("          ", "5540", " - ", "FREIGHT-IN-LOGO CLOTHING")</f>
        <v xml:space="preserve">          5540 - FREIGHT-IN-LOGO CLOTHING</v>
      </c>
      <c r="C166" s="11"/>
      <c r="D166" s="2">
        <v>1044.9100000000001</v>
      </c>
      <c r="E166" s="2"/>
      <c r="F166" s="19">
        <f t="shared" si="27"/>
        <v>6.3373254037769845E-3</v>
      </c>
      <c r="G166" s="2"/>
      <c r="H166" s="2">
        <v>4017.61</v>
      </c>
      <c r="I166" s="2"/>
      <c r="J166" s="19">
        <f t="shared" si="28"/>
        <v>4.3172005336698203E-3</v>
      </c>
      <c r="K166" s="2"/>
      <c r="L166" s="2">
        <f t="shared" si="29"/>
        <v>-2972.7</v>
      </c>
      <c r="M166" s="2"/>
      <c r="N166" s="19">
        <f t="shared" si="30"/>
        <v>-0.73991751314836429</v>
      </c>
      <c r="O166" s="11"/>
      <c r="P166" s="2">
        <v>31703.299999999996</v>
      </c>
      <c r="Q166" s="2"/>
      <c r="R166" s="19">
        <f t="shared" si="31"/>
        <v>2.8490419777438625E-3</v>
      </c>
      <c r="S166" s="2"/>
      <c r="T166" s="2">
        <v>29023.84</v>
      </c>
      <c r="U166" s="2"/>
      <c r="V166" s="19">
        <f t="shared" si="32"/>
        <v>2.1968307784676483E-3</v>
      </c>
      <c r="W166" s="2"/>
      <c r="X166" s="2">
        <f t="shared" si="33"/>
        <v>2679.4599999999955</v>
      </c>
      <c r="Y166" s="2"/>
      <c r="Z166" s="19">
        <f t="shared" si="34"/>
        <v>9.2319279599115608E-2</v>
      </c>
    </row>
    <row r="167" spans="1:26" s="24" customFormat="1" hidden="1" outlineLevel="1" x14ac:dyDescent="0.25">
      <c r="A167" s="44"/>
      <c r="B167" s="11" t="str">
        <f>CONCATENATE("          ", "5541", " - ", "FREIGHT-IN-LOGO GIFTS")</f>
        <v xml:space="preserve">          5541 - FREIGHT-IN-LOGO GIFTS</v>
      </c>
      <c r="C167" s="11"/>
      <c r="D167" s="2">
        <v>186.99</v>
      </c>
      <c r="E167" s="2"/>
      <c r="F167" s="19">
        <f t="shared" si="27"/>
        <v>1.1340847319407971E-3</v>
      </c>
      <c r="G167" s="2"/>
      <c r="H167" s="2">
        <v>769.17</v>
      </c>
      <c r="I167" s="2"/>
      <c r="J167" s="19">
        <f t="shared" si="28"/>
        <v>8.2652650070136606E-4</v>
      </c>
      <c r="K167" s="2"/>
      <c r="L167" s="2">
        <f t="shared" si="29"/>
        <v>-582.17999999999995</v>
      </c>
      <c r="M167" s="2"/>
      <c r="N167" s="19">
        <f t="shared" si="30"/>
        <v>-0.75689379460977413</v>
      </c>
      <c r="O167" s="11"/>
      <c r="P167" s="2">
        <v>4882.9399999999996</v>
      </c>
      <c r="Q167" s="2"/>
      <c r="R167" s="19">
        <f t="shared" si="31"/>
        <v>4.3880924177623837E-4</v>
      </c>
      <c r="S167" s="2"/>
      <c r="T167" s="2">
        <v>7484.78</v>
      </c>
      <c r="U167" s="2"/>
      <c r="V167" s="19">
        <f t="shared" si="32"/>
        <v>5.6652720915147971E-4</v>
      </c>
      <c r="W167" s="2"/>
      <c r="X167" s="2">
        <f t="shared" si="33"/>
        <v>-2601.84</v>
      </c>
      <c r="Y167" s="2"/>
      <c r="Z167" s="19">
        <f t="shared" si="34"/>
        <v>-0.3476174316412774</v>
      </c>
    </row>
    <row r="168" spans="1:26" s="24" customFormat="1" hidden="1" outlineLevel="1" x14ac:dyDescent="0.25">
      <c r="A168" s="44"/>
      <c r="B168" s="11" t="str">
        <f>CONCATENATE("          ", "5542", " - ", "FREIGHT-IN-EVERYDAY GIFTS")</f>
        <v xml:space="preserve">          5542 - FREIGHT-IN-EVERYDAY GIFTS</v>
      </c>
      <c r="C168" s="11"/>
      <c r="D168" s="2">
        <v>45.1</v>
      </c>
      <c r="E168" s="2"/>
      <c r="F168" s="19">
        <f t="shared" si="27"/>
        <v>2.7352918022637544E-4</v>
      </c>
      <c r="G168" s="2"/>
      <c r="H168" s="2">
        <v>86.05</v>
      </c>
      <c r="I168" s="2"/>
      <c r="J168" s="19">
        <f t="shared" si="28"/>
        <v>9.246669186961602E-5</v>
      </c>
      <c r="K168" s="2"/>
      <c r="L168" s="2">
        <f t="shared" si="29"/>
        <v>-40.949999999999996</v>
      </c>
      <c r="M168" s="2"/>
      <c r="N168" s="19">
        <f t="shared" si="30"/>
        <v>-0.47588611272515974</v>
      </c>
      <c r="O168" s="11"/>
      <c r="P168" s="2">
        <v>1839.04</v>
      </c>
      <c r="Q168" s="2"/>
      <c r="R168" s="19">
        <f t="shared" si="31"/>
        <v>1.6526677534357855E-4</v>
      </c>
      <c r="S168" s="2"/>
      <c r="T168" s="2">
        <v>1592.16</v>
      </c>
      <c r="U168" s="2"/>
      <c r="V168" s="19">
        <f t="shared" si="32"/>
        <v>1.2051148615224763E-4</v>
      </c>
      <c r="W168" s="2"/>
      <c r="X168" s="2">
        <f t="shared" si="33"/>
        <v>246.87999999999988</v>
      </c>
      <c r="Y168" s="2"/>
      <c r="Z168" s="19">
        <f t="shared" si="34"/>
        <v>0.1550597929856295</v>
      </c>
    </row>
    <row r="169" spans="1:26" s="24" customFormat="1" hidden="1" outlineLevel="1" x14ac:dyDescent="0.25">
      <c r="A169" s="44"/>
      <c r="B169" s="11" t="str">
        <f>CONCATENATE("          ", "5543", " - ", "FREIGHT-IN-CARDS")</f>
        <v xml:space="preserve">          5543 - FREIGHT-IN-CARDS</v>
      </c>
      <c r="C169" s="11"/>
      <c r="D169" s="2"/>
      <c r="E169" s="2"/>
      <c r="F169" s="19">
        <f t="shared" si="27"/>
        <v>0</v>
      </c>
      <c r="G169" s="2"/>
      <c r="H169" s="2"/>
      <c r="I169" s="2"/>
      <c r="J169" s="19">
        <f t="shared" si="28"/>
        <v>0</v>
      </c>
      <c r="K169" s="2"/>
      <c r="L169" s="2">
        <f t="shared" si="29"/>
        <v>0</v>
      </c>
      <c r="M169" s="2"/>
      <c r="N169" s="19">
        <f t="shared" si="30"/>
        <v>0</v>
      </c>
      <c r="O169" s="11"/>
      <c r="P169" s="2">
        <v>2926.76</v>
      </c>
      <c r="Q169" s="2"/>
      <c r="R169" s="19">
        <f t="shared" si="31"/>
        <v>2.630155882441774E-4</v>
      </c>
      <c r="S169" s="2"/>
      <c r="T169" s="2">
        <v>57.18</v>
      </c>
      <c r="U169" s="2"/>
      <c r="V169" s="19">
        <f t="shared" si="32"/>
        <v>4.3279863695768759E-6</v>
      </c>
      <c r="W169" s="2"/>
      <c r="X169" s="2">
        <f t="shared" si="33"/>
        <v>2869.5800000000004</v>
      </c>
      <c r="Y169" s="2"/>
      <c r="Z169" s="19">
        <f t="shared" si="34"/>
        <v>50.185029730675069</v>
      </c>
    </row>
    <row r="170" spans="1:26" s="24" customFormat="1" hidden="1" outlineLevel="1" x14ac:dyDescent="0.25">
      <c r="A170" s="44"/>
      <c r="B170" s="11" t="str">
        <f>CONCATENATE("          ", "5544", " - ", "FREIGHT-IN-ACCESSORIES")</f>
        <v xml:space="preserve">          5544 - FREIGHT-IN-ACCESSORIES</v>
      </c>
      <c r="C170" s="11"/>
      <c r="D170" s="2"/>
      <c r="E170" s="2"/>
      <c r="F170" s="19">
        <f t="shared" si="27"/>
        <v>0</v>
      </c>
      <c r="G170" s="2"/>
      <c r="H170" s="2">
        <v>66.27</v>
      </c>
      <c r="I170" s="2"/>
      <c r="J170" s="19">
        <f t="shared" si="28"/>
        <v>7.1211710287036063E-5</v>
      </c>
      <c r="K170" s="2"/>
      <c r="L170" s="2">
        <f t="shared" si="29"/>
        <v>-66.27</v>
      </c>
      <c r="M170" s="2"/>
      <c r="N170" s="19">
        <f t="shared" si="30"/>
        <v>-1</v>
      </c>
      <c r="O170" s="11"/>
      <c r="P170" s="2">
        <v>483.44</v>
      </c>
      <c r="Q170" s="2"/>
      <c r="R170" s="19">
        <f t="shared" si="31"/>
        <v>4.3444715651698505E-5</v>
      </c>
      <c r="S170" s="2"/>
      <c r="T170" s="2">
        <v>1133.42</v>
      </c>
      <c r="U170" s="2"/>
      <c r="V170" s="19">
        <f t="shared" si="32"/>
        <v>8.5789197464250153E-5</v>
      </c>
      <c r="W170" s="2"/>
      <c r="X170" s="2">
        <f t="shared" si="33"/>
        <v>-649.98</v>
      </c>
      <c r="Y170" s="2"/>
      <c r="Z170" s="19">
        <f t="shared" si="34"/>
        <v>-0.57346791127737284</v>
      </c>
    </row>
    <row r="171" spans="1:26" s="24" customFormat="1" hidden="1" outlineLevel="1" x14ac:dyDescent="0.25">
      <c r="A171" s="44"/>
      <c r="B171" s="11" t="str">
        <f>CONCATENATE("          ", "5545", " - ", "FREIGHT-IN-SPECIAL ORDERS")</f>
        <v xml:space="preserve">          5545 - FREIGHT-IN-SPECIAL ORDERS</v>
      </c>
      <c r="C171" s="11"/>
      <c r="D171" s="2">
        <v>17.190000000000001</v>
      </c>
      <c r="E171" s="2"/>
      <c r="F171" s="19">
        <f t="shared" si="27"/>
        <v>1.0425646581133911E-4</v>
      </c>
      <c r="G171" s="2"/>
      <c r="H171" s="2">
        <v>86.51</v>
      </c>
      <c r="I171" s="2"/>
      <c r="J171" s="19">
        <f t="shared" si="28"/>
        <v>9.2960993766885328E-5</v>
      </c>
      <c r="K171" s="2"/>
      <c r="L171" s="2">
        <f t="shared" si="29"/>
        <v>-69.320000000000007</v>
      </c>
      <c r="M171" s="2"/>
      <c r="N171" s="19">
        <f t="shared" si="30"/>
        <v>-0.80129464801757022</v>
      </c>
      <c r="O171" s="11"/>
      <c r="P171" s="2">
        <v>892.26</v>
      </c>
      <c r="Q171" s="2"/>
      <c r="R171" s="19">
        <f t="shared" si="31"/>
        <v>8.0183646341602907E-5</v>
      </c>
      <c r="S171" s="2"/>
      <c r="T171" s="2">
        <v>1644.18</v>
      </c>
      <c r="U171" s="2"/>
      <c r="V171" s="19">
        <f t="shared" si="32"/>
        <v>1.2444890921879868E-4</v>
      </c>
      <c r="W171" s="2"/>
      <c r="X171" s="2">
        <f t="shared" si="33"/>
        <v>-751.92000000000007</v>
      </c>
      <c r="Y171" s="2"/>
      <c r="Z171" s="19">
        <f t="shared" si="34"/>
        <v>-0.45732219100098531</v>
      </c>
    </row>
    <row r="172" spans="1:26" s="24" customFormat="1" hidden="1" outlineLevel="1" x14ac:dyDescent="0.25">
      <c r="A172" s="44"/>
      <c r="B172" s="11" t="str">
        <f>CONCATENATE("          ", "5592", " - ", "FREIGHT-IN-GRAD MERCH")</f>
        <v xml:space="preserve">          5592 - FREIGHT-IN-GRAD MERCH</v>
      </c>
      <c r="C172" s="11"/>
      <c r="D172" s="2"/>
      <c r="E172" s="2"/>
      <c r="F172" s="19">
        <f t="shared" si="27"/>
        <v>0</v>
      </c>
      <c r="G172" s="2"/>
      <c r="H172" s="2">
        <v>1266.43</v>
      </c>
      <c r="I172" s="2"/>
      <c r="J172" s="19">
        <f t="shared" si="28"/>
        <v>1.3608668516494808E-3</v>
      </c>
      <c r="K172" s="2"/>
      <c r="L172" s="2">
        <f t="shared" si="29"/>
        <v>-1266.43</v>
      </c>
      <c r="M172" s="2"/>
      <c r="N172" s="19">
        <f t="shared" si="30"/>
        <v>-1</v>
      </c>
      <c r="O172" s="11"/>
      <c r="P172" s="2">
        <v>118.73</v>
      </c>
      <c r="Q172" s="2"/>
      <c r="R172" s="19">
        <f t="shared" si="31"/>
        <v>1.0669764788445647E-5</v>
      </c>
      <c r="S172" s="2"/>
      <c r="T172" s="2">
        <v>1580.77</v>
      </c>
      <c r="U172" s="2"/>
      <c r="V172" s="19">
        <f t="shared" si="32"/>
        <v>1.1964937064421194E-4</v>
      </c>
      <c r="W172" s="2"/>
      <c r="X172" s="2">
        <f t="shared" si="33"/>
        <v>-1462.04</v>
      </c>
      <c r="Y172" s="2"/>
      <c r="Z172" s="19">
        <f t="shared" si="34"/>
        <v>-0.92489103411628504</v>
      </c>
    </row>
    <row r="173" spans="1:26" x14ac:dyDescent="0.25">
      <c r="A173" s="9"/>
      <c r="B173" s="10"/>
      <c r="C173" s="10"/>
      <c r="D173" s="3"/>
      <c r="E173" s="3"/>
      <c r="F173" s="8"/>
      <c r="G173" s="3"/>
      <c r="H173" s="3"/>
      <c r="I173" s="3"/>
      <c r="J173" s="8"/>
      <c r="K173" s="3"/>
      <c r="L173" s="3"/>
      <c r="M173" s="3"/>
      <c r="N173" s="8"/>
      <c r="O173" s="10"/>
      <c r="P173" s="3"/>
      <c r="Q173" s="3"/>
      <c r="R173" s="8"/>
      <c r="S173" s="3"/>
      <c r="T173" s="3"/>
      <c r="U173" s="3"/>
      <c r="V173" s="8"/>
      <c r="W173" s="3"/>
      <c r="X173" s="3"/>
      <c r="Y173" s="3"/>
      <c r="Z173" s="8"/>
    </row>
    <row r="174" spans="1:26" s="23" customFormat="1" x14ac:dyDescent="0.25">
      <c r="A174" s="10"/>
      <c r="B174" s="28" t="s">
        <v>6</v>
      </c>
      <c r="C174" s="28"/>
      <c r="D174" s="21">
        <f>D12-D119</f>
        <v>-19619.350000000035</v>
      </c>
      <c r="E174" s="14"/>
      <c r="F174" s="20">
        <f>IF(D$12=0,0,D174/D$12)</f>
        <v>-0.11899034860475274</v>
      </c>
      <c r="G174" s="14"/>
      <c r="H174" s="21">
        <f>H12-H119</f>
        <v>551491.36</v>
      </c>
      <c r="I174" s="14"/>
      <c r="J174" s="20">
        <f>IF(H$12=0,0,H174/H$12)</f>
        <v>0.59261570777310268</v>
      </c>
      <c r="K174" s="15"/>
      <c r="L174" s="21">
        <f>+D174-H174</f>
        <v>-571110.71</v>
      </c>
      <c r="M174" s="15"/>
      <c r="N174" s="20">
        <f>IF(H174=0,0,L174/H174)</f>
        <v>-1.0355750813575755</v>
      </c>
      <c r="O174" s="29"/>
      <c r="P174" s="21">
        <f>P12-P119</f>
        <v>4801264.339999998</v>
      </c>
      <c r="Q174" s="14"/>
      <c r="R174" s="20">
        <f>IF(P$12=0,0,P174/P$12)</f>
        <v>0.43146939438180498</v>
      </c>
      <c r="S174" s="14"/>
      <c r="T174" s="21">
        <f>T12-T119</f>
        <v>5813387.2200000072</v>
      </c>
      <c r="U174" s="14"/>
      <c r="V174" s="20">
        <f>IF(T$12=0,0,T174/T$12)</f>
        <v>0.44001854930451978</v>
      </c>
      <c r="W174" s="15"/>
      <c r="X174" s="21">
        <f>+P174-T174</f>
        <v>-1012122.8800000092</v>
      </c>
      <c r="Y174" s="15"/>
      <c r="Z174" s="20">
        <f>IF(T174=0,0,X174/T174)</f>
        <v>-0.17410209258347115</v>
      </c>
    </row>
    <row r="175" spans="1:26" x14ac:dyDescent="0.25">
      <c r="A175" s="9"/>
      <c r="B175" s="10"/>
      <c r="C175" s="9"/>
      <c r="D175" s="1"/>
      <c r="E175" s="1"/>
      <c r="F175" s="5"/>
      <c r="G175" s="1"/>
      <c r="H175" s="1"/>
      <c r="I175" s="1"/>
      <c r="J175" s="5"/>
      <c r="K175" s="1"/>
      <c r="L175" s="1"/>
      <c r="M175" s="1"/>
      <c r="N175" s="5"/>
      <c r="O175" s="37"/>
      <c r="P175" s="1"/>
      <c r="Q175" s="1"/>
      <c r="R175" s="5"/>
      <c r="S175" s="1"/>
      <c r="T175" s="1"/>
      <c r="U175" s="1"/>
      <c r="V175" s="5"/>
      <c r="W175" s="1"/>
      <c r="X175" s="1"/>
      <c r="Y175" s="1"/>
      <c r="Z175" s="5"/>
    </row>
    <row r="176" spans="1:26" s="23" customFormat="1" x14ac:dyDescent="0.25">
      <c r="A176" s="10"/>
      <c r="B176" s="29" t="s">
        <v>9</v>
      </c>
      <c r="C176" s="10"/>
      <c r="D176" s="22">
        <f>SUM(OSRRefD22x_0)</f>
        <v>287261.1399999999</v>
      </c>
      <c r="E176" s="22"/>
      <c r="F176" s="35">
        <f t="shared" ref="F176:F186" si="35">IF(D$12=0,0,D176/D$12)</f>
        <v>1.7422240384721517</v>
      </c>
      <c r="G176" s="22"/>
      <c r="H176" s="22">
        <f>SUM(OSRRefH22x_0)</f>
        <v>469282.89000000025</v>
      </c>
      <c r="I176" s="22"/>
      <c r="J176" s="35">
        <f t="shared" ref="J176:J186" si="36">IF(H$12=0,0,H176/H$12)</f>
        <v>0.50427700626743677</v>
      </c>
      <c r="K176" s="4"/>
      <c r="L176" s="22">
        <f t="shared" ref="L176:L186" si="37">+D176-H176</f>
        <v>-182021.75000000035</v>
      </c>
      <c r="M176" s="4"/>
      <c r="N176" s="35">
        <f t="shared" ref="N176:N186" si="38">IF(H176=0,0,L176/H176)</f>
        <v>-0.3878721212273481</v>
      </c>
      <c r="O176" s="10"/>
      <c r="P176" s="22">
        <f>SUM(OSRRefP22x_0)</f>
        <v>4644888.9800000004</v>
      </c>
      <c r="Q176" s="22"/>
      <c r="R176" s="35">
        <f t="shared" ref="R176:R186" si="39">IF(P$12=0,0,P176/P$12)</f>
        <v>0.41741659972242245</v>
      </c>
      <c r="S176" s="22"/>
      <c r="T176" s="22">
        <f>SUM(OSRRefT22x_0)</f>
        <v>4944068.8999999985</v>
      </c>
      <c r="U176" s="22"/>
      <c r="V176" s="35">
        <f t="shared" ref="V176:V186" si="40">IF(T$12=0,0,T176/T$12)</f>
        <v>0.37421935658357702</v>
      </c>
      <c r="W176" s="4"/>
      <c r="X176" s="22">
        <f t="shared" ref="X176:X186" si="41">+P176-T176</f>
        <v>-299179.91999999806</v>
      </c>
      <c r="Y176" s="4"/>
      <c r="Z176" s="35">
        <f t="shared" ref="Z176:Z186" si="42">IF(T176=0,0,X176/T176)</f>
        <v>-6.0512894551287132E-2</v>
      </c>
    </row>
    <row r="177" spans="1:26" s="25" customFormat="1" outlineLevel="1" collapsed="1" x14ac:dyDescent="0.25">
      <c r="A177" s="26"/>
      <c r="B177" s="13" t="str">
        <f>CONCATENATE("     ","*Benefits                                         ")</f>
        <v xml:space="preserve">     *Benefits                                         </v>
      </c>
      <c r="C177" s="13"/>
      <c r="D177" s="1">
        <f>SUM(OSRRefD22_0x_0)</f>
        <v>34112.730000000003</v>
      </c>
      <c r="E177" s="1"/>
      <c r="F177" s="5">
        <f t="shared" si="35"/>
        <v>0.20689195282003736</v>
      </c>
      <c r="G177" s="1"/>
      <c r="H177" s="1">
        <f>SUM(OSRRefH22_0x_0)</f>
        <v>57870.720000000001</v>
      </c>
      <c r="I177" s="1"/>
      <c r="J177" s="5">
        <f t="shared" si="36"/>
        <v>6.2186101505088034E-2</v>
      </c>
      <c r="K177" s="1"/>
      <c r="L177" s="1">
        <f t="shared" si="37"/>
        <v>-23757.989999999998</v>
      </c>
      <c r="M177" s="1"/>
      <c r="N177" s="5">
        <f t="shared" si="38"/>
        <v>-0.41053558690819808</v>
      </c>
      <c r="O177" s="13"/>
      <c r="P177" s="1">
        <f>SUM(OSRRefP22_0x_0)</f>
        <v>579042.68999999994</v>
      </c>
      <c r="Q177" s="1"/>
      <c r="R177" s="5">
        <f t="shared" si="39"/>
        <v>5.2036126545682196E-2</v>
      </c>
      <c r="S177" s="1"/>
      <c r="T177" s="1">
        <f>SUM(OSRRefT22_0x_0)</f>
        <v>634745.31000000006</v>
      </c>
      <c r="U177" s="1"/>
      <c r="V177" s="5">
        <f t="shared" si="40"/>
        <v>4.8044229622820026E-2</v>
      </c>
      <c r="W177" s="1"/>
      <c r="X177" s="1">
        <f t="shared" si="41"/>
        <v>-55702.620000000112</v>
      </c>
      <c r="Y177" s="1"/>
      <c r="Z177" s="5">
        <f t="shared" si="42"/>
        <v>-8.77558591177304E-2</v>
      </c>
    </row>
    <row r="178" spans="1:26" s="24" customFormat="1" hidden="1" outlineLevel="2" x14ac:dyDescent="0.25">
      <c r="A178" s="27"/>
      <c r="B178" s="11" t="str">
        <f>CONCATENATE("          ", "6111", " - ", "F.I.C.A.")</f>
        <v xml:space="preserve">          6111 - F.I.C.A.</v>
      </c>
      <c r="C178" s="11"/>
      <c r="D178" s="6">
        <v>9729.24</v>
      </c>
      <c r="E178" s="2"/>
      <c r="F178" s="7">
        <f t="shared" si="35"/>
        <v>5.90073401646488E-2</v>
      </c>
      <c r="G178" s="2"/>
      <c r="H178" s="6">
        <v>8792.83</v>
      </c>
      <c r="I178" s="2"/>
      <c r="J178" s="7">
        <f t="shared" si="36"/>
        <v>9.4485055464487606E-3</v>
      </c>
      <c r="K178" s="2"/>
      <c r="L178" s="6">
        <f t="shared" si="37"/>
        <v>936.40999999999985</v>
      </c>
      <c r="M178" s="2"/>
      <c r="N178" s="7">
        <f t="shared" si="38"/>
        <v>0.10649699812233375</v>
      </c>
      <c r="O178" s="11"/>
      <c r="P178" s="6">
        <v>115851.84</v>
      </c>
      <c r="Q178" s="2"/>
      <c r="R178" s="7">
        <f t="shared" si="39"/>
        <v>1.041111667740789E-2</v>
      </c>
      <c r="S178" s="2"/>
      <c r="T178" s="6">
        <v>112520.08</v>
      </c>
      <c r="U178" s="2"/>
      <c r="V178" s="7">
        <f t="shared" si="40"/>
        <v>8.5167081592112566E-3</v>
      </c>
      <c r="W178" s="2"/>
      <c r="X178" s="6">
        <f t="shared" si="41"/>
        <v>3331.7599999999948</v>
      </c>
      <c r="Y178" s="2"/>
      <c r="Z178" s="7">
        <f t="shared" si="42"/>
        <v>2.9610359324308999E-2</v>
      </c>
    </row>
    <row r="179" spans="1:26" s="24" customFormat="1" hidden="1" outlineLevel="2" x14ac:dyDescent="0.25">
      <c r="A179" s="27"/>
      <c r="B179" s="11" t="str">
        <f>CONCATENATE("          ", "6112", " - ", "COMPENSATION INSURANCE")</f>
        <v xml:space="preserve">          6112 - COMPENSATION INSURANCE</v>
      </c>
      <c r="C179" s="11"/>
      <c r="D179" s="6">
        <v>1460.79</v>
      </c>
      <c r="E179" s="2"/>
      <c r="F179" s="7">
        <f t="shared" si="35"/>
        <v>8.8596162124808635E-3</v>
      </c>
      <c r="G179" s="2"/>
      <c r="H179" s="6">
        <v>2027.88</v>
      </c>
      <c r="I179" s="2"/>
      <c r="J179" s="7">
        <f t="shared" si="36"/>
        <v>2.1790976770314579E-3</v>
      </c>
      <c r="K179" s="2"/>
      <c r="L179" s="6">
        <f t="shared" si="37"/>
        <v>-567.09000000000015</v>
      </c>
      <c r="M179" s="2"/>
      <c r="N179" s="7">
        <f t="shared" si="38"/>
        <v>-0.27964672465826385</v>
      </c>
      <c r="O179" s="11"/>
      <c r="P179" s="6">
        <v>33273.980000000003</v>
      </c>
      <c r="Q179" s="2"/>
      <c r="R179" s="7">
        <f t="shared" si="39"/>
        <v>2.9901923707188133E-3</v>
      </c>
      <c r="S179" s="2"/>
      <c r="T179" s="6">
        <v>22171.37</v>
      </c>
      <c r="U179" s="2"/>
      <c r="V179" s="7">
        <f t="shared" si="40"/>
        <v>1.6781634689549782E-3</v>
      </c>
      <c r="W179" s="2"/>
      <c r="X179" s="6">
        <f t="shared" si="41"/>
        <v>11102.610000000004</v>
      </c>
      <c r="Y179" s="2"/>
      <c r="Z179" s="7">
        <f t="shared" si="42"/>
        <v>0.50076337186200059</v>
      </c>
    </row>
    <row r="180" spans="1:26" s="24" customFormat="1" hidden="1" outlineLevel="2" x14ac:dyDescent="0.25">
      <c r="A180" s="27"/>
      <c r="B180" s="11" t="str">
        <f>CONCATENATE("          ", "6113", " - ", "GROUP INSURANCE")</f>
        <v xml:space="preserve">          6113 - GROUP INSURANCE</v>
      </c>
      <c r="C180" s="11"/>
      <c r="D180" s="6">
        <v>18033.84</v>
      </c>
      <c r="E180" s="2"/>
      <c r="F180" s="7">
        <f t="shared" si="35"/>
        <v>0.10937431200739731</v>
      </c>
      <c r="G180" s="2"/>
      <c r="H180" s="6">
        <v>26740.25</v>
      </c>
      <c r="I180" s="2"/>
      <c r="J180" s="7">
        <f t="shared" si="36"/>
        <v>2.873425284446833E-2</v>
      </c>
      <c r="K180" s="2"/>
      <c r="L180" s="6">
        <f t="shared" si="37"/>
        <v>-8706.41</v>
      </c>
      <c r="M180" s="2"/>
      <c r="N180" s="7">
        <f t="shared" si="38"/>
        <v>-0.32559194472751751</v>
      </c>
      <c r="O180" s="11"/>
      <c r="P180" s="6">
        <v>231933.51</v>
      </c>
      <c r="Q180" s="2"/>
      <c r="R180" s="7">
        <f t="shared" si="39"/>
        <v>2.0842887208444422E-2</v>
      </c>
      <c r="S180" s="2"/>
      <c r="T180" s="6">
        <v>256274.34</v>
      </c>
      <c r="U180" s="2"/>
      <c r="V180" s="7">
        <f t="shared" si="40"/>
        <v>1.9397548975031653E-2</v>
      </c>
      <c r="W180" s="2"/>
      <c r="X180" s="6">
        <f t="shared" si="41"/>
        <v>-24340.829999999987</v>
      </c>
      <c r="Y180" s="2"/>
      <c r="Z180" s="7">
        <f t="shared" si="42"/>
        <v>-9.4979583207589133E-2</v>
      </c>
    </row>
    <row r="181" spans="1:26" s="24" customFormat="1" hidden="1" outlineLevel="2" x14ac:dyDescent="0.25">
      <c r="A181" s="27"/>
      <c r="B181" s="11" t="str">
        <f>CONCATENATE("          ", "6114", " - ", "STATE UNEMPLOYMENT INSURANCE")</f>
        <v xml:space="preserve">          6114 - STATE UNEMPLOYMENT INSURANCE</v>
      </c>
      <c r="C181" s="11"/>
      <c r="D181" s="6">
        <v>256.85000000000002</v>
      </c>
      <c r="E181" s="2"/>
      <c r="F181" s="7">
        <f t="shared" si="35"/>
        <v>1.5577820386063091E-3</v>
      </c>
      <c r="G181" s="2"/>
      <c r="H181" s="6">
        <v>522.82000000000005</v>
      </c>
      <c r="I181" s="2"/>
      <c r="J181" s="7">
        <f t="shared" si="36"/>
        <v>5.6180634332681759E-4</v>
      </c>
      <c r="K181" s="2"/>
      <c r="L181" s="6">
        <f t="shared" si="37"/>
        <v>-265.97000000000003</v>
      </c>
      <c r="M181" s="2"/>
      <c r="N181" s="7">
        <f t="shared" si="38"/>
        <v>-0.50872193106614128</v>
      </c>
      <c r="O181" s="11"/>
      <c r="P181" s="6">
        <v>6116.54</v>
      </c>
      <c r="Q181" s="2"/>
      <c r="R181" s="7">
        <f t="shared" si="39"/>
        <v>5.4966767555899383E-4</v>
      </c>
      <c r="S181" s="2"/>
      <c r="T181" s="6">
        <v>6342.69</v>
      </c>
      <c r="U181" s="2"/>
      <c r="V181" s="7">
        <f t="shared" si="40"/>
        <v>4.8008177450947108E-4</v>
      </c>
      <c r="W181" s="2"/>
      <c r="X181" s="6">
        <f t="shared" si="41"/>
        <v>-226.14999999999964</v>
      </c>
      <c r="Y181" s="2"/>
      <c r="Z181" s="7">
        <f t="shared" si="42"/>
        <v>-3.5655218842478451E-2</v>
      </c>
    </row>
    <row r="182" spans="1:26" s="24" customFormat="1" hidden="1" outlineLevel="2" x14ac:dyDescent="0.25">
      <c r="A182" s="27"/>
      <c r="B182" s="11" t="str">
        <f>CONCATENATE("          ", "6115", " - ", "P.E.R.S.")</f>
        <v xml:space="preserve">          6115 - P.E.R.S.</v>
      </c>
      <c r="C182" s="11"/>
      <c r="D182" s="6">
        <v>6050.5</v>
      </c>
      <c r="E182" s="2"/>
      <c r="F182" s="7">
        <f t="shared" si="35"/>
        <v>3.669597128513713E-2</v>
      </c>
      <c r="G182" s="2"/>
      <c r="H182" s="6">
        <v>6893.91</v>
      </c>
      <c r="I182" s="2"/>
      <c r="J182" s="7">
        <f t="shared" si="36"/>
        <v>7.4079843317474093E-3</v>
      </c>
      <c r="K182" s="2"/>
      <c r="L182" s="6">
        <f t="shared" si="37"/>
        <v>-843.40999999999985</v>
      </c>
      <c r="M182" s="2"/>
      <c r="N182" s="7">
        <f t="shared" si="38"/>
        <v>-0.1223413128398833</v>
      </c>
      <c r="O182" s="11"/>
      <c r="P182" s="6">
        <v>85202.01999999999</v>
      </c>
      <c r="Q182" s="2"/>
      <c r="R182" s="7">
        <f t="shared" si="39"/>
        <v>7.6567465080471797E-3</v>
      </c>
      <c r="S182" s="2"/>
      <c r="T182" s="6">
        <v>81808.760000000009</v>
      </c>
      <c r="U182" s="2"/>
      <c r="V182" s="7">
        <f t="shared" si="40"/>
        <v>6.1921510701641487E-3</v>
      </c>
      <c r="W182" s="2"/>
      <c r="X182" s="6">
        <f t="shared" si="41"/>
        <v>3393.2599999999802</v>
      </c>
      <c r="Y182" s="2"/>
      <c r="Z182" s="7">
        <f t="shared" si="42"/>
        <v>4.1477954194636124E-2</v>
      </c>
    </row>
    <row r="183" spans="1:26" s="24" customFormat="1" hidden="1" outlineLevel="2" x14ac:dyDescent="0.25">
      <c r="A183" s="27"/>
      <c r="B183" s="11" t="str">
        <f>CONCATENATE("          ", "6117", " - ", "RETIREMENT STAFF HOURLY")</f>
        <v xml:space="preserve">          6117 - RETIREMENT STAFF HOURLY</v>
      </c>
      <c r="C183" s="11"/>
      <c r="D183" s="6">
        <v>442.21</v>
      </c>
      <c r="E183" s="2"/>
      <c r="F183" s="7">
        <f t="shared" si="35"/>
        <v>2.6819809043881482E-3</v>
      </c>
      <c r="G183" s="2"/>
      <c r="H183" s="6">
        <v>386.43</v>
      </c>
      <c r="I183" s="2"/>
      <c r="J183" s="7">
        <f t="shared" si="36"/>
        <v>4.1524583078646974E-4</v>
      </c>
      <c r="K183" s="2"/>
      <c r="L183" s="6">
        <f t="shared" si="37"/>
        <v>55.779999999999973</v>
      </c>
      <c r="M183" s="2"/>
      <c r="N183" s="7">
        <f t="shared" si="38"/>
        <v>0.14434697099086502</v>
      </c>
      <c r="O183" s="11"/>
      <c r="P183" s="6">
        <v>1616.32</v>
      </c>
      <c r="Q183" s="2"/>
      <c r="R183" s="7">
        <f t="shared" si="39"/>
        <v>1.4525186745439626E-4</v>
      </c>
      <c r="S183" s="2"/>
      <c r="T183" s="6">
        <v>2948.23</v>
      </c>
      <c r="U183" s="2"/>
      <c r="V183" s="7">
        <f t="shared" si="40"/>
        <v>2.2315318737981172E-4</v>
      </c>
      <c r="W183" s="2"/>
      <c r="X183" s="6">
        <f t="shared" si="41"/>
        <v>-1331.91</v>
      </c>
      <c r="Y183" s="2"/>
      <c r="Z183" s="7">
        <f t="shared" si="42"/>
        <v>-0.45176597483914077</v>
      </c>
    </row>
    <row r="184" spans="1:26" s="24" customFormat="1" hidden="1" outlineLevel="2" x14ac:dyDescent="0.25">
      <c r="A184" s="27"/>
      <c r="B184" s="11" t="str">
        <f>CONCATENATE("          ", "6118", " - ", "VACATION")</f>
        <v xml:space="preserve">          6118 - VACATION</v>
      </c>
      <c r="C184" s="11"/>
      <c r="D184" s="6">
        <v>7652.09</v>
      </c>
      <c r="E184" s="2"/>
      <c r="F184" s="7">
        <f t="shared" si="35"/>
        <v>4.6409532255397901E-2</v>
      </c>
      <c r="G184" s="2"/>
      <c r="H184" s="6">
        <v>5949.12</v>
      </c>
      <c r="I184" s="2"/>
      <c r="J184" s="7">
        <f t="shared" si="36"/>
        <v>6.3927419632233591E-3</v>
      </c>
      <c r="K184" s="2"/>
      <c r="L184" s="6">
        <f t="shared" si="37"/>
        <v>1702.9700000000003</v>
      </c>
      <c r="M184" s="2"/>
      <c r="N184" s="7">
        <f t="shared" si="38"/>
        <v>0.28625578236781241</v>
      </c>
      <c r="O184" s="11"/>
      <c r="P184" s="6">
        <v>70296.399999999994</v>
      </c>
      <c r="Q184" s="2"/>
      <c r="R184" s="7">
        <f t="shared" si="39"/>
        <v>6.3172412488376184E-3</v>
      </c>
      <c r="S184" s="2"/>
      <c r="T184" s="6">
        <v>71554.34</v>
      </c>
      <c r="U184" s="2"/>
      <c r="V184" s="7">
        <f t="shared" si="40"/>
        <v>5.4159882512079304E-3</v>
      </c>
      <c r="W184" s="2"/>
      <c r="X184" s="6">
        <f t="shared" si="41"/>
        <v>-1257.9400000000023</v>
      </c>
      <c r="Y184" s="2"/>
      <c r="Z184" s="7">
        <f t="shared" si="42"/>
        <v>-1.7580205477403639E-2</v>
      </c>
    </row>
    <row r="185" spans="1:26" s="24" customFormat="1" hidden="1" outlineLevel="2" x14ac:dyDescent="0.25">
      <c r="A185" s="27"/>
      <c r="B185" s="11" t="str">
        <f>CONCATENATE("          ", "6119", " - ", "SICK LEAVE")</f>
        <v xml:space="preserve">          6119 - SICK LEAVE</v>
      </c>
      <c r="C185" s="11"/>
      <c r="D185" s="6">
        <v>-9944.67</v>
      </c>
      <c r="E185" s="2"/>
      <c r="F185" s="7">
        <f t="shared" si="35"/>
        <v>-6.0313912033743436E-2</v>
      </c>
      <c r="G185" s="2"/>
      <c r="H185" s="6">
        <v>4105.3100000000004</v>
      </c>
      <c r="I185" s="2"/>
      <c r="J185" s="7">
        <f t="shared" si="36"/>
        <v>4.4114402649535547E-3</v>
      </c>
      <c r="K185" s="2"/>
      <c r="L185" s="6">
        <f t="shared" si="37"/>
        <v>-14049.98</v>
      </c>
      <c r="M185" s="2"/>
      <c r="N185" s="7">
        <f t="shared" si="38"/>
        <v>-3.4223919752710508</v>
      </c>
      <c r="O185" s="11"/>
      <c r="P185" s="6">
        <v>11418.09</v>
      </c>
      <c r="Q185" s="2"/>
      <c r="R185" s="7">
        <f t="shared" si="39"/>
        <v>1.0260956340714508E-3</v>
      </c>
      <c r="S185" s="2"/>
      <c r="T185" s="6">
        <v>55531.18</v>
      </c>
      <c r="U185" s="2"/>
      <c r="V185" s="7">
        <f t="shared" si="40"/>
        <v>4.2031862561476051E-3</v>
      </c>
      <c r="W185" s="2"/>
      <c r="X185" s="6">
        <f t="shared" si="41"/>
        <v>-44113.09</v>
      </c>
      <c r="Y185" s="2"/>
      <c r="Z185" s="7">
        <f t="shared" si="42"/>
        <v>-0.7943841639957947</v>
      </c>
    </row>
    <row r="186" spans="1:26" s="24" customFormat="1" hidden="1" outlineLevel="2" x14ac:dyDescent="0.25">
      <c r="A186" s="27"/>
      <c r="B186" s="11" t="str">
        <f>CONCATENATE("          ", "6156", " - ", "EMPLOYEE MEALS")</f>
        <v xml:space="preserve">          6156 - EMPLOYEE MEALS</v>
      </c>
      <c r="C186" s="11"/>
      <c r="D186" s="6">
        <v>431.88</v>
      </c>
      <c r="E186" s="2"/>
      <c r="F186" s="7">
        <f t="shared" si="35"/>
        <v>2.6193299857243243E-3</v>
      </c>
      <c r="G186" s="2"/>
      <c r="H186" s="6">
        <v>2452.17</v>
      </c>
      <c r="I186" s="2"/>
      <c r="J186" s="7">
        <f t="shared" si="36"/>
        <v>2.6350267031018748E-3</v>
      </c>
      <c r="K186" s="2"/>
      <c r="L186" s="6">
        <f t="shared" si="37"/>
        <v>-2020.29</v>
      </c>
      <c r="M186" s="2"/>
      <c r="N186" s="7">
        <f t="shared" si="38"/>
        <v>-0.82387844235921648</v>
      </c>
      <c r="O186" s="11"/>
      <c r="P186" s="6">
        <v>23333.99</v>
      </c>
      <c r="Q186" s="2"/>
      <c r="R186" s="7">
        <f t="shared" si="39"/>
        <v>2.0969273551414373E-3</v>
      </c>
      <c r="S186" s="2"/>
      <c r="T186" s="6">
        <v>25594.32</v>
      </c>
      <c r="U186" s="2"/>
      <c r="V186" s="7">
        <f t="shared" si="40"/>
        <v>1.937248480213166E-3</v>
      </c>
      <c r="W186" s="2"/>
      <c r="X186" s="6">
        <f t="shared" si="41"/>
        <v>-2260.3299999999981</v>
      </c>
      <c r="Y186" s="2"/>
      <c r="Z186" s="7">
        <f t="shared" si="42"/>
        <v>-8.83137352350052E-2</v>
      </c>
    </row>
    <row r="187" spans="1:26" s="25" customFormat="1" outlineLevel="1" collapsed="1" x14ac:dyDescent="0.25">
      <c r="A187" s="26"/>
      <c r="B187" s="13" t="str">
        <f>CONCATENATE("     ","*Payroll                                          ")</f>
        <v xml:space="preserve">     *Payroll                                          </v>
      </c>
      <c r="C187" s="13"/>
      <c r="D187" s="1">
        <f>SUM(OSRRefD22_1x_0)</f>
        <v>93386.76</v>
      </c>
      <c r="E187" s="1"/>
      <c r="F187" s="5">
        <f t="shared" ref="F187:F194" si="43">IF(D$12=0,0,D187/D$12)</f>
        <v>0.56638589593785515</v>
      </c>
      <c r="G187" s="1"/>
      <c r="H187" s="1">
        <f>SUM(OSRRefH22_1x_0)</f>
        <v>191309.57</v>
      </c>
      <c r="I187" s="1"/>
      <c r="J187" s="5">
        <f t="shared" ref="J187:J194" si="44">IF(H$12=0,0,H187/H$12)</f>
        <v>0.2055753987321178</v>
      </c>
      <c r="K187" s="1"/>
      <c r="L187" s="1">
        <f t="shared" ref="L187:L194" si="45">+D187-H187</f>
        <v>-97922.810000000012</v>
      </c>
      <c r="M187" s="1"/>
      <c r="N187" s="5">
        <f t="shared" ref="N187:N194" si="46">IF(H187=0,0,L187/H187)</f>
        <v>-0.51185526160557471</v>
      </c>
      <c r="O187" s="13"/>
      <c r="P187" s="1">
        <f>SUM(OSRRefP22_1x_0)</f>
        <v>2209436.5300000003</v>
      </c>
      <c r="Q187" s="1"/>
      <c r="R187" s="5">
        <f t="shared" ref="R187:R194" si="47">IF(P$12=0,0,P187/P$12)</f>
        <v>0.1985527506956922</v>
      </c>
      <c r="S187" s="1"/>
      <c r="T187" s="1">
        <f>SUM(OSRRefT22_1x_0)</f>
        <v>2252891.42</v>
      </c>
      <c r="U187" s="1"/>
      <c r="V187" s="5">
        <f t="shared" ref="V187:V194" si="48">IF(T$12=0,0,T187/T$12)</f>
        <v>0.1705226190608026</v>
      </c>
      <c r="W187" s="1"/>
      <c r="X187" s="1">
        <f t="shared" ref="X187:X194" si="49">+P187-T187</f>
        <v>-43454.889999999665</v>
      </c>
      <c r="Y187" s="1"/>
      <c r="Z187" s="5">
        <f t="shared" ref="Z187:Z194" si="50">IF(T187=0,0,X187/T187)</f>
        <v>-1.9288497268101657E-2</v>
      </c>
    </row>
    <row r="188" spans="1:26" s="24" customFormat="1" hidden="1" outlineLevel="2" x14ac:dyDescent="0.25">
      <c r="A188" s="27"/>
      <c r="B188" s="11" t="str">
        <f>CONCATENATE("          ", "6001", " - ", "ADMINISTRATIVE SALARIES")</f>
        <v xml:space="preserve">          6001 - ADMINISTRATIVE SALARIES</v>
      </c>
      <c r="C188" s="11"/>
      <c r="D188" s="6"/>
      <c r="E188" s="2"/>
      <c r="F188" s="7">
        <f t="shared" si="43"/>
        <v>0</v>
      </c>
      <c r="G188" s="2"/>
      <c r="H188" s="6">
        <v>7803.75</v>
      </c>
      <c r="I188" s="2"/>
      <c r="J188" s="7">
        <f t="shared" si="44"/>
        <v>8.3856705017724114E-3</v>
      </c>
      <c r="K188" s="2"/>
      <c r="L188" s="6">
        <f t="shared" si="45"/>
        <v>-7803.75</v>
      </c>
      <c r="M188" s="2"/>
      <c r="N188" s="7">
        <f t="shared" si="46"/>
        <v>-1</v>
      </c>
      <c r="O188" s="11"/>
      <c r="P188" s="6">
        <v>93238.31</v>
      </c>
      <c r="Q188" s="2"/>
      <c r="R188" s="7">
        <f t="shared" si="47"/>
        <v>8.3789340265491407E-3</v>
      </c>
      <c r="S188" s="2"/>
      <c r="T188" s="6">
        <v>106651</v>
      </c>
      <c r="U188" s="2"/>
      <c r="V188" s="7">
        <f t="shared" si="48"/>
        <v>8.0724741920556731E-3</v>
      </c>
      <c r="W188" s="2"/>
      <c r="X188" s="6">
        <f t="shared" si="49"/>
        <v>-13412.690000000002</v>
      </c>
      <c r="Y188" s="2"/>
      <c r="Z188" s="7">
        <f t="shared" si="50"/>
        <v>-0.12576244010839094</v>
      </c>
    </row>
    <row r="189" spans="1:26" s="24" customFormat="1" hidden="1" outlineLevel="2" x14ac:dyDescent="0.25">
      <c r="A189" s="27"/>
      <c r="B189" s="11" t="str">
        <f>CONCATENATE("          ", "6002", " - ", "STAFF SALARIES")</f>
        <v xml:space="preserve">          6002 - STAFF SALARIES</v>
      </c>
      <c r="C189" s="11"/>
      <c r="D189" s="6">
        <v>55252.02</v>
      </c>
      <c r="E189" s="2"/>
      <c r="F189" s="7">
        <f t="shared" si="43"/>
        <v>0.3351006593448182</v>
      </c>
      <c r="G189" s="2"/>
      <c r="H189" s="6">
        <v>60112.460000000006</v>
      </c>
      <c r="I189" s="2"/>
      <c r="J189" s="7">
        <f t="shared" si="44"/>
        <v>6.4595006581576048E-2</v>
      </c>
      <c r="K189" s="2"/>
      <c r="L189" s="6">
        <f t="shared" si="45"/>
        <v>-4860.4400000000096</v>
      </c>
      <c r="M189" s="2"/>
      <c r="N189" s="7">
        <f t="shared" si="46"/>
        <v>-8.0855782644729715E-2</v>
      </c>
      <c r="O189" s="11"/>
      <c r="P189" s="6">
        <v>718142.72</v>
      </c>
      <c r="Q189" s="2"/>
      <c r="R189" s="7">
        <f t="shared" si="47"/>
        <v>6.4536460093780681E-2</v>
      </c>
      <c r="S189" s="2"/>
      <c r="T189" s="6">
        <v>717310.1</v>
      </c>
      <c r="U189" s="2"/>
      <c r="V189" s="7">
        <f t="shared" si="48"/>
        <v>5.4293605029028087E-2</v>
      </c>
      <c r="W189" s="2"/>
      <c r="X189" s="6">
        <f t="shared" si="49"/>
        <v>832.61999999999534</v>
      </c>
      <c r="Y189" s="2"/>
      <c r="Z189" s="7">
        <f t="shared" si="50"/>
        <v>1.1607532084101358E-3</v>
      </c>
    </row>
    <row r="190" spans="1:26" s="24" customFormat="1" hidden="1" outlineLevel="2" x14ac:dyDescent="0.25">
      <c r="A190" s="27"/>
      <c r="B190" s="11" t="str">
        <f>CONCATENATE("          ", "6004", " - ", "STAFF HOURLY")</f>
        <v xml:space="preserve">          6004 - STAFF HOURLY</v>
      </c>
      <c r="C190" s="11"/>
      <c r="D190" s="6">
        <v>9634.3700000000008</v>
      </c>
      <c r="E190" s="2"/>
      <c r="F190" s="7">
        <f t="shared" si="43"/>
        <v>5.8431958494403212E-2</v>
      </c>
      <c r="G190" s="2"/>
      <c r="H190" s="6">
        <v>5731.18</v>
      </c>
      <c r="I190" s="2"/>
      <c r="J190" s="7">
        <f t="shared" si="44"/>
        <v>6.1585503208519002E-3</v>
      </c>
      <c r="K190" s="2"/>
      <c r="L190" s="6">
        <f t="shared" si="45"/>
        <v>3903.1900000000005</v>
      </c>
      <c r="M190" s="2"/>
      <c r="N190" s="7">
        <f t="shared" si="46"/>
        <v>0.68104474122257552</v>
      </c>
      <c r="O190" s="11"/>
      <c r="P190" s="6">
        <v>48412.639999999999</v>
      </c>
      <c r="Q190" s="2"/>
      <c r="R190" s="7">
        <f t="shared" si="47"/>
        <v>4.3506399527305254E-3</v>
      </c>
      <c r="S190" s="2"/>
      <c r="T190" s="6">
        <v>58484.380000000005</v>
      </c>
      <c r="U190" s="2"/>
      <c r="V190" s="7">
        <f t="shared" si="48"/>
        <v>4.4267156256235481E-3</v>
      </c>
      <c r="W190" s="2"/>
      <c r="X190" s="6">
        <f t="shared" si="49"/>
        <v>-10071.740000000005</v>
      </c>
      <c r="Y190" s="2"/>
      <c r="Z190" s="7">
        <f t="shared" si="50"/>
        <v>-0.17221247793000463</v>
      </c>
    </row>
    <row r="191" spans="1:26" s="24" customFormat="1" hidden="1" outlineLevel="2" x14ac:dyDescent="0.25">
      <c r="A191" s="27"/>
      <c r="B191" s="11" t="str">
        <f>CONCATENATE("          ", "6005", " - ", "TEMPORARY WAGES-HOURLY")</f>
        <v xml:space="preserve">          6005 - TEMPORARY WAGES-HOURLY</v>
      </c>
      <c r="C191" s="11"/>
      <c r="D191" s="6">
        <v>13759.87</v>
      </c>
      <c r="E191" s="2"/>
      <c r="F191" s="7">
        <f t="shared" si="43"/>
        <v>8.3452903794268229E-2</v>
      </c>
      <c r="G191" s="2"/>
      <c r="H191" s="6">
        <v>22522.070000000003</v>
      </c>
      <c r="I191" s="2"/>
      <c r="J191" s="7">
        <f t="shared" si="44"/>
        <v>2.4201525937895679E-2</v>
      </c>
      <c r="K191" s="2"/>
      <c r="L191" s="6">
        <f t="shared" si="45"/>
        <v>-8762.2000000000025</v>
      </c>
      <c r="M191" s="2"/>
      <c r="N191" s="7">
        <f t="shared" si="46"/>
        <v>-0.3890494967824894</v>
      </c>
      <c r="O191" s="11"/>
      <c r="P191" s="6">
        <v>247583.12</v>
      </c>
      <c r="Q191" s="2"/>
      <c r="R191" s="7">
        <f t="shared" si="47"/>
        <v>2.2249251713884553E-2</v>
      </c>
      <c r="S191" s="2"/>
      <c r="T191" s="6">
        <v>247855.14</v>
      </c>
      <c r="U191" s="2"/>
      <c r="V191" s="7">
        <f t="shared" si="48"/>
        <v>1.8760294990373703E-2</v>
      </c>
      <c r="W191" s="2"/>
      <c r="X191" s="6">
        <f t="shared" si="49"/>
        <v>-272.02000000001863</v>
      </c>
      <c r="Y191" s="2"/>
      <c r="Z191" s="7">
        <f t="shared" si="50"/>
        <v>-1.0974959002263121E-3</v>
      </c>
    </row>
    <row r="192" spans="1:26" s="24" customFormat="1" hidden="1" outlineLevel="2" x14ac:dyDescent="0.25">
      <c r="A192" s="27"/>
      <c r="B192" s="11" t="str">
        <f>CONCATENATE("          ", "6006", " - ", "TEMPORARY PART TIME")</f>
        <v xml:space="preserve">          6006 - TEMPORARY PART TIME</v>
      </c>
      <c r="C192" s="11"/>
      <c r="D192" s="6">
        <v>3309.56</v>
      </c>
      <c r="E192" s="2"/>
      <c r="F192" s="7">
        <f t="shared" si="43"/>
        <v>2.0072311168736211E-2</v>
      </c>
      <c r="G192" s="2"/>
      <c r="H192" s="6">
        <v>6045.29</v>
      </c>
      <c r="I192" s="2"/>
      <c r="J192" s="7">
        <f t="shared" si="44"/>
        <v>6.4960832968329E-3</v>
      </c>
      <c r="K192" s="2"/>
      <c r="L192" s="6">
        <f t="shared" si="45"/>
        <v>-2735.73</v>
      </c>
      <c r="M192" s="2"/>
      <c r="N192" s="7">
        <f t="shared" si="46"/>
        <v>-0.45253908414650085</v>
      </c>
      <c r="O192" s="11"/>
      <c r="P192" s="6">
        <v>54941.85</v>
      </c>
      <c r="Q192" s="2"/>
      <c r="R192" s="7">
        <f t="shared" si="47"/>
        <v>4.9373925422560635E-3</v>
      </c>
      <c r="S192" s="2"/>
      <c r="T192" s="6">
        <v>86834.13</v>
      </c>
      <c r="U192" s="2"/>
      <c r="V192" s="7">
        <f t="shared" si="48"/>
        <v>6.5725241527468791E-3</v>
      </c>
      <c r="W192" s="2"/>
      <c r="X192" s="6">
        <f t="shared" si="49"/>
        <v>-31892.280000000006</v>
      </c>
      <c r="Y192" s="2"/>
      <c r="Z192" s="7">
        <f t="shared" si="50"/>
        <v>-0.36727816585483153</v>
      </c>
    </row>
    <row r="193" spans="1:26" s="24" customFormat="1" hidden="1" outlineLevel="2" x14ac:dyDescent="0.25">
      <c r="A193" s="27"/>
      <c r="B193" s="11" t="str">
        <f>CONCATENATE("          ", "6007", " - ", "STUDENT HOURLY")</f>
        <v xml:space="preserve">          6007 - STUDENT HOURLY</v>
      </c>
      <c r="C193" s="11"/>
      <c r="D193" s="6">
        <v>11274.94</v>
      </c>
      <c r="E193" s="2"/>
      <c r="F193" s="7">
        <f t="shared" si="43"/>
        <v>6.838193115968004E-2</v>
      </c>
      <c r="G193" s="2"/>
      <c r="H193" s="6">
        <v>85045.37999999999</v>
      </c>
      <c r="I193" s="2"/>
      <c r="J193" s="7">
        <f t="shared" si="44"/>
        <v>9.1387158017366701E-2</v>
      </c>
      <c r="K193" s="2"/>
      <c r="L193" s="6">
        <f t="shared" si="45"/>
        <v>-73770.439999999988</v>
      </c>
      <c r="M193" s="2"/>
      <c r="N193" s="7">
        <f t="shared" si="46"/>
        <v>-0.86742442681777654</v>
      </c>
      <c r="O193" s="11"/>
      <c r="P193" s="6">
        <v>1020801.0800000001</v>
      </c>
      <c r="Q193" s="2"/>
      <c r="R193" s="7">
        <f t="shared" si="47"/>
        <v>9.1735091547134578E-2</v>
      </c>
      <c r="S193" s="2"/>
      <c r="T193" s="6">
        <v>988289.75999999989</v>
      </c>
      <c r="U193" s="2"/>
      <c r="V193" s="7">
        <f t="shared" si="48"/>
        <v>7.4804207948100762E-2</v>
      </c>
      <c r="W193" s="2"/>
      <c r="X193" s="6">
        <f t="shared" si="49"/>
        <v>32511.320000000182</v>
      </c>
      <c r="Y193" s="2"/>
      <c r="Z193" s="7">
        <f t="shared" si="50"/>
        <v>3.2896546454149425E-2</v>
      </c>
    </row>
    <row r="194" spans="1:26" s="24" customFormat="1" hidden="1" outlineLevel="2" x14ac:dyDescent="0.25">
      <c r="A194" s="27"/>
      <c r="B194" s="11" t="str">
        <f>CONCATENATE("          ", "6008", " - ", "STUDENT HOURLY-FICA EXEMPT")</f>
        <v xml:space="preserve">          6008 - STUDENT HOURLY-FICA EXEMPT</v>
      </c>
      <c r="C194" s="11"/>
      <c r="D194" s="6">
        <v>156</v>
      </c>
      <c r="E194" s="2"/>
      <c r="F194" s="7">
        <f t="shared" si="43"/>
        <v>9.4613197594932527E-4</v>
      </c>
      <c r="G194" s="2"/>
      <c r="H194" s="6">
        <v>4049.44</v>
      </c>
      <c r="I194" s="2"/>
      <c r="J194" s="7">
        <f t="shared" si="44"/>
        <v>4.351404075822172E-3</v>
      </c>
      <c r="K194" s="2"/>
      <c r="L194" s="6">
        <f t="shared" si="45"/>
        <v>-3893.44</v>
      </c>
      <c r="M194" s="2"/>
      <c r="N194" s="7">
        <f t="shared" si="46"/>
        <v>-0.96147615472756731</v>
      </c>
      <c r="O194" s="11"/>
      <c r="P194" s="6">
        <v>26316.809999999998</v>
      </c>
      <c r="Q194" s="2"/>
      <c r="R194" s="7">
        <f t="shared" si="47"/>
        <v>2.3649808193566433E-3</v>
      </c>
      <c r="S194" s="2"/>
      <c r="T194" s="6">
        <v>47466.91</v>
      </c>
      <c r="U194" s="2"/>
      <c r="V194" s="7">
        <f t="shared" si="48"/>
        <v>3.592797122873948E-3</v>
      </c>
      <c r="W194" s="2"/>
      <c r="X194" s="6">
        <f t="shared" si="49"/>
        <v>-21150.100000000006</v>
      </c>
      <c r="Y194" s="2"/>
      <c r="Z194" s="7">
        <f t="shared" si="50"/>
        <v>-0.44557566523710945</v>
      </c>
    </row>
    <row r="195" spans="1:26" s="25" customFormat="1" outlineLevel="1" collapsed="1" x14ac:dyDescent="0.25">
      <c r="A195" s="26"/>
      <c r="B195" s="13" t="str">
        <f>CONCATENATE("     ","Advertising/Promo                                 ")</f>
        <v xml:space="preserve">     Advertising/Promo                                 </v>
      </c>
      <c r="C195" s="13"/>
      <c r="D195" s="1">
        <f>SUM(OSRRefD22_2x_0)</f>
        <v>799.5</v>
      </c>
      <c r="E195" s="1"/>
      <c r="F195" s="5">
        <f t="shared" ref="F195:F199" si="51">IF(D$12=0,0,D195/D$12)</f>
        <v>4.8489263767402917E-3</v>
      </c>
      <c r="G195" s="1"/>
      <c r="H195" s="1">
        <f>SUM(OSRRefH22_2x_0)</f>
        <v>4434.93</v>
      </c>
      <c r="I195" s="1"/>
      <c r="J195" s="5">
        <f t="shared" ref="J195:J199" si="52">IF(H$12=0,0,H195/H$12)</f>
        <v>4.765639811427266E-3</v>
      </c>
      <c r="K195" s="1"/>
      <c r="L195" s="1">
        <f t="shared" ref="L195:L199" si="53">+D195-H195</f>
        <v>-3635.4300000000003</v>
      </c>
      <c r="M195" s="1"/>
      <c r="N195" s="5">
        <f t="shared" ref="N195:N199" si="54">IF(H195=0,0,L195/H195)</f>
        <v>-0.81972657967544016</v>
      </c>
      <c r="O195" s="13"/>
      <c r="P195" s="1">
        <f>SUM(OSRRefP22_2x_0)</f>
        <v>48049.68</v>
      </c>
      <c r="Q195" s="1"/>
      <c r="R195" s="5">
        <f t="shared" ref="R195:R199" si="55">IF(P$12=0,0,P195/P$12)</f>
        <v>4.3180222669930175E-3</v>
      </c>
      <c r="S195" s="1"/>
      <c r="T195" s="1">
        <f>SUM(OSRRefT22_2x_0)</f>
        <v>65208.05</v>
      </c>
      <c r="U195" s="1"/>
      <c r="V195" s="5">
        <f t="shared" ref="V195:V199" si="56">IF(T$12=0,0,T195/T$12)</f>
        <v>4.9356339906730922E-3</v>
      </c>
      <c r="W195" s="1"/>
      <c r="X195" s="1">
        <f t="shared" ref="X195:X199" si="57">+P195-T195</f>
        <v>-17158.370000000003</v>
      </c>
      <c r="Y195" s="1"/>
      <c r="Z195" s="5">
        <f t="shared" ref="Z195:Z199" si="58">IF(T195=0,0,X195/T195)</f>
        <v>-0.26313269603982947</v>
      </c>
    </row>
    <row r="196" spans="1:26" s="24" customFormat="1" hidden="1" outlineLevel="2" x14ac:dyDescent="0.25">
      <c r="A196" s="27"/>
      <c r="B196" s="11" t="str">
        <f>CONCATENATE("          ", "6362", " - ", "ADVERTISING EXPENSE")</f>
        <v xml:space="preserve">          6362 - ADVERTISING EXPENSE</v>
      </c>
      <c r="C196" s="11"/>
      <c r="D196" s="6">
        <v>799.5</v>
      </c>
      <c r="E196" s="2"/>
      <c r="F196" s="7">
        <f t="shared" si="51"/>
        <v>4.8489263767402917E-3</v>
      </c>
      <c r="G196" s="2"/>
      <c r="H196" s="6">
        <v>4434.93</v>
      </c>
      <c r="I196" s="2"/>
      <c r="J196" s="7">
        <f t="shared" si="52"/>
        <v>4.765639811427266E-3</v>
      </c>
      <c r="K196" s="2"/>
      <c r="L196" s="6">
        <f t="shared" si="53"/>
        <v>-3635.4300000000003</v>
      </c>
      <c r="M196" s="2"/>
      <c r="N196" s="7">
        <f t="shared" si="54"/>
        <v>-0.81972657967544016</v>
      </c>
      <c r="O196" s="11"/>
      <c r="P196" s="6">
        <v>48049.68</v>
      </c>
      <c r="Q196" s="2"/>
      <c r="R196" s="7">
        <f t="shared" si="55"/>
        <v>4.3180222669930175E-3</v>
      </c>
      <c r="S196" s="2"/>
      <c r="T196" s="6">
        <v>65208.05</v>
      </c>
      <c r="U196" s="2"/>
      <c r="V196" s="7">
        <f t="shared" si="56"/>
        <v>4.9356339906730922E-3</v>
      </c>
      <c r="W196" s="2"/>
      <c r="X196" s="6">
        <f t="shared" si="57"/>
        <v>-17158.370000000003</v>
      </c>
      <c r="Y196" s="2"/>
      <c r="Z196" s="7">
        <f t="shared" si="58"/>
        <v>-0.26313269603982947</v>
      </c>
    </row>
    <row r="197" spans="1:26" s="25" customFormat="1" outlineLevel="1" collapsed="1" x14ac:dyDescent="0.25">
      <c r="A197" s="26"/>
      <c r="B197" s="13" t="str">
        <f>CONCATENATE("     ","Bad Debts/Over/Short                              ")</f>
        <v xml:space="preserve">     Bad Debts/Over/Short                              </v>
      </c>
      <c r="C197" s="13"/>
      <c r="D197" s="1">
        <f>SUM(OSRRefD22_3x_0)</f>
        <v>4.6500000000000004</v>
      </c>
      <c r="E197" s="1"/>
      <c r="F197" s="5">
        <f t="shared" si="51"/>
        <v>2.8202010821566427E-5</v>
      </c>
      <c r="G197" s="1"/>
      <c r="H197" s="1">
        <f>SUM(OSRRefH22_3x_0)</f>
        <v>-156.99</v>
      </c>
      <c r="I197" s="1"/>
      <c r="J197" s="5">
        <f t="shared" si="52"/>
        <v>-1.6869664098327741E-4</v>
      </c>
      <c r="K197" s="1"/>
      <c r="L197" s="1">
        <f t="shared" si="53"/>
        <v>161.64000000000001</v>
      </c>
      <c r="M197" s="1"/>
      <c r="N197" s="5">
        <f t="shared" si="54"/>
        <v>-1.0296197210013378</v>
      </c>
      <c r="O197" s="13"/>
      <c r="P197" s="1">
        <f>SUM(OSRRefP22_3x_0)</f>
        <v>-455.28999999999996</v>
      </c>
      <c r="Q197" s="1"/>
      <c r="R197" s="5">
        <f t="shared" si="55"/>
        <v>-4.0914993771847197E-5</v>
      </c>
      <c r="S197" s="1"/>
      <c r="T197" s="1">
        <f>SUM(OSRRefT22_3x_0)</f>
        <v>417.57</v>
      </c>
      <c r="U197" s="1"/>
      <c r="V197" s="5">
        <f t="shared" si="56"/>
        <v>3.1606108225677093E-5</v>
      </c>
      <c r="W197" s="1"/>
      <c r="X197" s="1">
        <f t="shared" si="57"/>
        <v>-872.8599999999999</v>
      </c>
      <c r="Y197" s="1"/>
      <c r="Z197" s="5">
        <f t="shared" si="58"/>
        <v>-2.0903321598773856</v>
      </c>
    </row>
    <row r="198" spans="1:26" s="24" customFormat="1" hidden="1" outlineLevel="2" x14ac:dyDescent="0.25">
      <c r="A198" s="27"/>
      <c r="B198" s="11" t="str">
        <f>CONCATENATE("          ", "6272", " - ", "CASH (OVER/SHORT)")</f>
        <v xml:space="preserve">          6272 - CASH (OVER/SHORT)</v>
      </c>
      <c r="C198" s="11"/>
      <c r="D198" s="6">
        <v>4.6500000000000004</v>
      </c>
      <c r="E198" s="2"/>
      <c r="F198" s="7">
        <f t="shared" si="51"/>
        <v>2.8202010821566427E-5</v>
      </c>
      <c r="G198" s="2"/>
      <c r="H198" s="6">
        <v>-156.99</v>
      </c>
      <c r="I198" s="2"/>
      <c r="J198" s="7">
        <f t="shared" si="52"/>
        <v>-1.6869664098327741E-4</v>
      </c>
      <c r="K198" s="2"/>
      <c r="L198" s="6">
        <f t="shared" si="53"/>
        <v>161.64000000000001</v>
      </c>
      <c r="M198" s="2"/>
      <c r="N198" s="7">
        <f t="shared" si="54"/>
        <v>-1.0296197210013378</v>
      </c>
      <c r="O198" s="11"/>
      <c r="P198" s="6">
        <v>-500.09</v>
      </c>
      <c r="Q198" s="2"/>
      <c r="R198" s="7">
        <f t="shared" si="55"/>
        <v>-4.4940980990935592E-5</v>
      </c>
      <c r="S198" s="2"/>
      <c r="T198" s="6">
        <v>417.57</v>
      </c>
      <c r="U198" s="2"/>
      <c r="V198" s="7">
        <f t="shared" si="56"/>
        <v>3.1606108225677093E-5</v>
      </c>
      <c r="W198" s="2"/>
      <c r="X198" s="6">
        <f t="shared" si="57"/>
        <v>-917.66</v>
      </c>
      <c r="Y198" s="2"/>
      <c r="Z198" s="7">
        <f t="shared" si="58"/>
        <v>-2.1976195607922024</v>
      </c>
    </row>
    <row r="199" spans="1:26" s="24" customFormat="1" hidden="1" outlineLevel="2" x14ac:dyDescent="0.25">
      <c r="A199" s="27"/>
      <c r="B199" s="11" t="str">
        <f>CONCATENATE("          ", "6342", " - ", "BAD DEBT")</f>
        <v xml:space="preserve">          6342 - BAD DEBT</v>
      </c>
      <c r="C199" s="11"/>
      <c r="D199" s="6"/>
      <c r="E199" s="2"/>
      <c r="F199" s="7">
        <f t="shared" si="51"/>
        <v>0</v>
      </c>
      <c r="G199" s="2"/>
      <c r="H199" s="6"/>
      <c r="I199" s="2"/>
      <c r="J199" s="7">
        <f t="shared" si="52"/>
        <v>0</v>
      </c>
      <c r="K199" s="2"/>
      <c r="L199" s="6">
        <f t="shared" si="53"/>
        <v>0</v>
      </c>
      <c r="M199" s="2"/>
      <c r="N199" s="7">
        <f t="shared" si="54"/>
        <v>0</v>
      </c>
      <c r="O199" s="11"/>
      <c r="P199" s="6">
        <v>44.8</v>
      </c>
      <c r="Q199" s="2"/>
      <c r="R199" s="7">
        <f t="shared" si="55"/>
        <v>4.0259872190883934E-6</v>
      </c>
      <c r="S199" s="2"/>
      <c r="T199" s="6"/>
      <c r="U199" s="2"/>
      <c r="V199" s="7">
        <f t="shared" si="56"/>
        <v>0</v>
      </c>
      <c r="W199" s="2"/>
      <c r="X199" s="6">
        <f t="shared" si="57"/>
        <v>44.8</v>
      </c>
      <c r="Y199" s="2"/>
      <c r="Z199" s="7">
        <f t="shared" si="58"/>
        <v>0</v>
      </c>
    </row>
    <row r="200" spans="1:26" s="25" customFormat="1" outlineLevel="1" collapsed="1" x14ac:dyDescent="0.25">
      <c r="A200" s="26"/>
      <c r="B200" s="13" t="str">
        <f>CONCATENATE("     ","Bank/card Fees                                    ")</f>
        <v xml:space="preserve">     Bank/card Fees                                    </v>
      </c>
      <c r="C200" s="13"/>
      <c r="D200" s="1">
        <f>SUM(OSRRefD22_4x_0)</f>
        <v>2743.78</v>
      </c>
      <c r="E200" s="1"/>
      <c r="F200" s="5">
        <f t="shared" ref="F200:F204" si="59">IF(D$12=0,0,D200/D$12)</f>
        <v>1.6640884570322052E-2</v>
      </c>
      <c r="G200" s="1"/>
      <c r="H200" s="1">
        <f>SUM(OSRRefH22_4x_0)</f>
        <v>17013.18</v>
      </c>
      <c r="I200" s="1"/>
      <c r="J200" s="5">
        <f t="shared" ref="J200:J204" si="60">IF(H$12=0,0,H200/H$12)</f>
        <v>1.8281841636052457E-2</v>
      </c>
      <c r="K200" s="1"/>
      <c r="L200" s="1">
        <f t="shared" ref="L200:L204" si="61">+D200-H200</f>
        <v>-14269.4</v>
      </c>
      <c r="M200" s="1"/>
      <c r="N200" s="5">
        <f t="shared" ref="N200:N204" si="62">IF(H200=0,0,L200/H200)</f>
        <v>-0.83872621109046042</v>
      </c>
      <c r="O200" s="13"/>
      <c r="P200" s="1">
        <f>SUM(OSRRefP22_4x_0)</f>
        <v>228992.32</v>
      </c>
      <c r="Q200" s="1"/>
      <c r="R200" s="5">
        <f t="shared" ref="R200:R204" si="63">IF(P$12=0,0,P200/P$12)</f>
        <v>2.0578574856906239E-2</v>
      </c>
      <c r="S200" s="1"/>
      <c r="T200" s="1">
        <f>SUM(OSRRefT22_4x_0)</f>
        <v>243191.72999999998</v>
      </c>
      <c r="U200" s="1"/>
      <c r="V200" s="5">
        <f t="shared" ref="V200:V204" si="64">IF(T$12=0,0,T200/T$12)</f>
        <v>1.8407318863830357E-2</v>
      </c>
      <c r="W200" s="1"/>
      <c r="X200" s="1">
        <f t="shared" ref="X200:X204" si="65">+P200-T200</f>
        <v>-14199.409999999974</v>
      </c>
      <c r="Y200" s="1"/>
      <c r="Z200" s="5">
        <f t="shared" ref="Z200:Z204" si="66">IF(T200=0,0,X200/T200)</f>
        <v>-5.8387717378382789E-2</v>
      </c>
    </row>
    <row r="201" spans="1:26" s="24" customFormat="1" hidden="1" outlineLevel="2" x14ac:dyDescent="0.25">
      <c r="A201" s="27"/>
      <c r="B201" s="11" t="str">
        <f>CONCATENATE("          ", "6381", " - ", "BANK/CREDIT CARD FEES")</f>
        <v xml:space="preserve">          6381 - BANK/CREDIT CARD FEES</v>
      </c>
      <c r="C201" s="11"/>
      <c r="D201" s="6">
        <v>2743.78</v>
      </c>
      <c r="E201" s="2"/>
      <c r="F201" s="7">
        <f t="shared" si="59"/>
        <v>1.6640884570322052E-2</v>
      </c>
      <c r="G201" s="2"/>
      <c r="H201" s="6">
        <v>17013.18</v>
      </c>
      <c r="I201" s="2"/>
      <c r="J201" s="7">
        <f t="shared" si="60"/>
        <v>1.8281841636052457E-2</v>
      </c>
      <c r="K201" s="2"/>
      <c r="L201" s="6">
        <f t="shared" si="61"/>
        <v>-14269.4</v>
      </c>
      <c r="M201" s="2"/>
      <c r="N201" s="7">
        <f t="shared" si="62"/>
        <v>-0.83872621109046042</v>
      </c>
      <c r="O201" s="11"/>
      <c r="P201" s="6">
        <v>228992.32</v>
      </c>
      <c r="Q201" s="2"/>
      <c r="R201" s="7">
        <f t="shared" si="63"/>
        <v>2.0578574856906239E-2</v>
      </c>
      <c r="S201" s="2"/>
      <c r="T201" s="6">
        <v>243191.72999999998</v>
      </c>
      <c r="U201" s="2"/>
      <c r="V201" s="7">
        <f t="shared" si="64"/>
        <v>1.8407318863830357E-2</v>
      </c>
      <c r="W201" s="2"/>
      <c r="X201" s="6">
        <f t="shared" si="65"/>
        <v>-14199.409999999974</v>
      </c>
      <c r="Y201" s="2"/>
      <c r="Z201" s="7">
        <f t="shared" si="66"/>
        <v>-5.8387717378382789E-2</v>
      </c>
    </row>
    <row r="202" spans="1:26" s="25" customFormat="1" outlineLevel="1" collapsed="1" x14ac:dyDescent="0.25">
      <c r="A202" s="26"/>
      <c r="B202" s="13" t="str">
        <f>CONCATENATE("     ","Depreciation                                      ")</f>
        <v xml:space="preserve">     Depreciation                                      </v>
      </c>
      <c r="C202" s="13"/>
      <c r="D202" s="1">
        <f>SUM(OSRRefD22_5x_0)</f>
        <v>39340.210000000006</v>
      </c>
      <c r="E202" s="1"/>
      <c r="F202" s="5">
        <f t="shared" si="59"/>
        <v>0.23859635013821417</v>
      </c>
      <c r="G202" s="1"/>
      <c r="H202" s="1">
        <f>SUM(OSRRefH22_5x_0)</f>
        <v>38417.31</v>
      </c>
      <c r="I202" s="1"/>
      <c r="J202" s="5">
        <f t="shared" si="60"/>
        <v>4.1282063523875867E-2</v>
      </c>
      <c r="K202" s="1"/>
      <c r="L202" s="1">
        <f t="shared" si="61"/>
        <v>922.90000000000873</v>
      </c>
      <c r="M202" s="1"/>
      <c r="N202" s="5">
        <f t="shared" si="62"/>
        <v>2.4023025037411751E-2</v>
      </c>
      <c r="O202" s="13"/>
      <c r="P202" s="1">
        <f>SUM(OSRRefP22_5x_0)</f>
        <v>384411.17</v>
      </c>
      <c r="Q202" s="1"/>
      <c r="R202" s="5">
        <f t="shared" si="63"/>
        <v>3.4545411993187849E-2</v>
      </c>
      <c r="S202" s="1"/>
      <c r="T202" s="1">
        <f>SUM(OSRRefT22_5x_0)</f>
        <v>377976.69999999995</v>
      </c>
      <c r="U202" s="1"/>
      <c r="V202" s="5">
        <f t="shared" si="64"/>
        <v>2.8609269073411121E-2</v>
      </c>
      <c r="W202" s="1"/>
      <c r="X202" s="1">
        <f t="shared" si="65"/>
        <v>6434.4700000000303</v>
      </c>
      <c r="Y202" s="1"/>
      <c r="Z202" s="5">
        <f t="shared" si="66"/>
        <v>1.7023456736883599E-2</v>
      </c>
    </row>
    <row r="203" spans="1:26" s="24" customFormat="1" hidden="1" outlineLevel="2" x14ac:dyDescent="0.25">
      <c r="A203" s="27"/>
      <c r="B203" s="11" t="str">
        <f>CONCATENATE("          ", "6321", " - ", "BUILDING DEPRECIATION")</f>
        <v xml:space="preserve">          6321 - BUILDING DEPRECIATION</v>
      </c>
      <c r="C203" s="11"/>
      <c r="D203" s="6">
        <v>21477.030000000002</v>
      </c>
      <c r="E203" s="2"/>
      <c r="F203" s="7">
        <f t="shared" si="59"/>
        <v>0.13025708225271115</v>
      </c>
      <c r="G203" s="2"/>
      <c r="H203" s="6">
        <v>21533.89</v>
      </c>
      <c r="I203" s="2"/>
      <c r="J203" s="7">
        <f t="shared" si="60"/>
        <v>2.3139658005627027E-2</v>
      </c>
      <c r="K203" s="2"/>
      <c r="L203" s="6">
        <f t="shared" si="61"/>
        <v>-56.859999999996944</v>
      </c>
      <c r="M203" s="2"/>
      <c r="N203" s="7">
        <f t="shared" si="62"/>
        <v>-2.6404890152219103E-3</v>
      </c>
      <c r="O203" s="11"/>
      <c r="P203" s="6">
        <v>214770.3</v>
      </c>
      <c r="Q203" s="2"/>
      <c r="R203" s="7">
        <f t="shared" si="63"/>
        <v>1.9300501849102231E-2</v>
      </c>
      <c r="S203" s="2"/>
      <c r="T203" s="6">
        <v>215338.9</v>
      </c>
      <c r="U203" s="2"/>
      <c r="V203" s="7">
        <f t="shared" si="64"/>
        <v>1.6299122491075166E-2</v>
      </c>
      <c r="W203" s="2"/>
      <c r="X203" s="6">
        <f t="shared" si="65"/>
        <v>-568.60000000000582</v>
      </c>
      <c r="Y203" s="2"/>
      <c r="Z203" s="7">
        <f t="shared" si="66"/>
        <v>-2.6404890152220794E-3</v>
      </c>
    </row>
    <row r="204" spans="1:26" s="24" customFormat="1" hidden="1" outlineLevel="2" x14ac:dyDescent="0.25">
      <c r="A204" s="27"/>
      <c r="B204" s="11" t="str">
        <f>CONCATENATE("          ", "6322", " - ", "EQUIPMENT DEPRECIATION EXPENSE")</f>
        <v xml:space="preserve">          6322 - EQUIPMENT DEPRECIATION EXPENSE</v>
      </c>
      <c r="C204" s="11"/>
      <c r="D204" s="6">
        <v>17863.18</v>
      </c>
      <c r="E204" s="2"/>
      <c r="F204" s="7">
        <f t="shared" si="59"/>
        <v>0.10833926788550301</v>
      </c>
      <c r="G204" s="2"/>
      <c r="H204" s="6">
        <v>16883.419999999998</v>
      </c>
      <c r="I204" s="2"/>
      <c r="J204" s="7">
        <f t="shared" si="60"/>
        <v>1.8142405518248837E-2</v>
      </c>
      <c r="K204" s="2"/>
      <c r="L204" s="6">
        <f t="shared" si="61"/>
        <v>979.76000000000204</v>
      </c>
      <c r="M204" s="2"/>
      <c r="N204" s="7">
        <f t="shared" si="62"/>
        <v>5.8030896583749152E-2</v>
      </c>
      <c r="O204" s="11"/>
      <c r="P204" s="6">
        <v>169640.87</v>
      </c>
      <c r="Q204" s="2"/>
      <c r="R204" s="7">
        <f t="shared" si="63"/>
        <v>1.5244910144085617E-2</v>
      </c>
      <c r="S204" s="2"/>
      <c r="T204" s="6">
        <v>162637.79999999999</v>
      </c>
      <c r="U204" s="2"/>
      <c r="V204" s="7">
        <f t="shared" si="64"/>
        <v>1.2310146582335956E-2</v>
      </c>
      <c r="W204" s="2"/>
      <c r="X204" s="6">
        <f t="shared" si="65"/>
        <v>7003.070000000007</v>
      </c>
      <c r="Y204" s="2"/>
      <c r="Z204" s="7">
        <f t="shared" si="66"/>
        <v>4.3059301097284931E-2</v>
      </c>
    </row>
    <row r="205" spans="1:26" s="25" customFormat="1" outlineLevel="1" collapsed="1" x14ac:dyDescent="0.25">
      <c r="A205" s="26"/>
      <c r="B205" s="13" t="str">
        <f>CONCATENATE("     ","Discounts and Markdowns                           ")</f>
        <v xml:space="preserve">     Discounts and Markdowns                           </v>
      </c>
      <c r="C205" s="13"/>
      <c r="D205" s="1">
        <f>SUM(OSRRefD22_6x_0)</f>
        <v>31843.850000000002</v>
      </c>
      <c r="E205" s="1"/>
      <c r="F205" s="5">
        <f t="shared" ref="F205:F207" si="67">IF(D$12=0,0,D205/D$12)</f>
        <v>0.19313131232265335</v>
      </c>
      <c r="G205" s="1"/>
      <c r="H205" s="1">
        <f>SUM(OSRRefH22_6x_0)</f>
        <v>35873.410000000003</v>
      </c>
      <c r="I205" s="1"/>
      <c r="J205" s="5">
        <f t="shared" ref="J205:J207" si="68">IF(H$12=0,0,H205/H$12)</f>
        <v>3.8548466575042448E-2</v>
      </c>
      <c r="K205" s="1"/>
      <c r="L205" s="1">
        <f t="shared" ref="L205:L207" si="69">+D205-H205</f>
        <v>-4029.5600000000013</v>
      </c>
      <c r="M205" s="1"/>
      <c r="N205" s="5">
        <f t="shared" ref="N205:N207" si="70">IF(H205=0,0,L205/H205)</f>
        <v>-0.11232720836965321</v>
      </c>
      <c r="O205" s="13"/>
      <c r="P205" s="1">
        <f>SUM(OSRRefP22_6x_0)</f>
        <v>304020.44</v>
      </c>
      <c r="Q205" s="1"/>
      <c r="R205" s="5">
        <f t="shared" ref="R205:R207" si="71">IF(P$12=0,0,P205/P$12)</f>
        <v>2.732103584333995E-2</v>
      </c>
      <c r="S205" s="1"/>
      <c r="T205" s="1">
        <f>SUM(OSRRefT22_6x_0)</f>
        <v>314652.23</v>
      </c>
      <c r="U205" s="1"/>
      <c r="V205" s="5">
        <f t="shared" ref="V205:V207" si="72">IF(T$12=0,0,T205/T$12)</f>
        <v>2.3816204312643724E-2</v>
      </c>
      <c r="W205" s="1"/>
      <c r="X205" s="1">
        <f t="shared" ref="X205:X207" si="73">+P205-T205</f>
        <v>-10631.789999999979</v>
      </c>
      <c r="Y205" s="1"/>
      <c r="Z205" s="5">
        <f t="shared" ref="Z205:Z207" si="74">IF(T205=0,0,X205/T205)</f>
        <v>-3.378901843473342E-2</v>
      </c>
    </row>
    <row r="206" spans="1:26" s="24" customFormat="1" hidden="1" outlineLevel="2" x14ac:dyDescent="0.25">
      <c r="A206" s="27"/>
      <c r="B206" s="11" t="str">
        <f>CONCATENATE("          ", "6382", " - ", "DISCOUNTS/MARK DOWNS")</f>
        <v xml:space="preserve">          6382 - DISCOUNTS/MARK DOWNS</v>
      </c>
      <c r="C206" s="11"/>
      <c r="D206" s="6">
        <v>31843.99</v>
      </c>
      <c r="E206" s="2"/>
      <c r="F206" s="7">
        <f t="shared" si="67"/>
        <v>0.19313216141545228</v>
      </c>
      <c r="G206" s="2"/>
      <c r="H206" s="6">
        <v>36222.630000000005</v>
      </c>
      <c r="I206" s="2"/>
      <c r="J206" s="7">
        <f t="shared" si="68"/>
        <v>3.89237276806172E-2</v>
      </c>
      <c r="K206" s="2"/>
      <c r="L206" s="6">
        <f t="shared" si="69"/>
        <v>-4378.6400000000031</v>
      </c>
      <c r="M206" s="2"/>
      <c r="N206" s="7">
        <f t="shared" si="70"/>
        <v>-0.12088133854444039</v>
      </c>
      <c r="O206" s="11"/>
      <c r="P206" s="6">
        <v>307252.06</v>
      </c>
      <c r="Q206" s="2"/>
      <c r="R206" s="7">
        <f t="shared" si="71"/>
        <v>2.7611447915146879E-2</v>
      </c>
      <c r="S206" s="2"/>
      <c r="T206" s="6">
        <v>319146.59999999998</v>
      </c>
      <c r="U206" s="2"/>
      <c r="V206" s="7">
        <f t="shared" si="72"/>
        <v>2.4156385706484845E-2</v>
      </c>
      <c r="W206" s="2"/>
      <c r="X206" s="6">
        <f t="shared" si="73"/>
        <v>-11894.539999999979</v>
      </c>
      <c r="Y206" s="2"/>
      <c r="Z206" s="7">
        <f t="shared" si="74"/>
        <v>-3.7269831481833049E-2</v>
      </c>
    </row>
    <row r="207" spans="1:26" s="24" customFormat="1" hidden="1" outlineLevel="2" x14ac:dyDescent="0.25">
      <c r="A207" s="27"/>
      <c r="B207" s="11" t="str">
        <f>CONCATENATE("          ", "9175", " - ", "EARNED DISCOUNTS")</f>
        <v xml:space="preserve">          9175 - EARNED DISCOUNTS</v>
      </c>
      <c r="C207" s="11"/>
      <c r="D207" s="6">
        <v>-0.14000000000000001</v>
      </c>
      <c r="E207" s="2"/>
      <c r="F207" s="7">
        <f t="shared" si="67"/>
        <v>-8.4909279892888171E-7</v>
      </c>
      <c r="G207" s="2"/>
      <c r="H207" s="6">
        <v>-349.22</v>
      </c>
      <c r="I207" s="2"/>
      <c r="J207" s="7">
        <f t="shared" si="68"/>
        <v>-3.7526110557475087E-4</v>
      </c>
      <c r="K207" s="2"/>
      <c r="L207" s="6">
        <f t="shared" si="69"/>
        <v>349.08000000000004</v>
      </c>
      <c r="M207" s="2"/>
      <c r="N207" s="7">
        <f t="shared" si="70"/>
        <v>-0.9995991065803792</v>
      </c>
      <c r="O207" s="11"/>
      <c r="P207" s="6">
        <v>-3231.62</v>
      </c>
      <c r="Q207" s="2"/>
      <c r="R207" s="7">
        <f t="shared" si="71"/>
        <v>-2.9041207180692931E-4</v>
      </c>
      <c r="S207" s="2"/>
      <c r="T207" s="6">
        <v>-4494.37</v>
      </c>
      <c r="U207" s="2"/>
      <c r="V207" s="7">
        <f t="shared" si="72"/>
        <v>-3.4018139384111971E-4</v>
      </c>
      <c r="W207" s="2"/>
      <c r="X207" s="6">
        <f t="shared" si="73"/>
        <v>1262.75</v>
      </c>
      <c r="Y207" s="2"/>
      <c r="Z207" s="7">
        <f t="shared" si="74"/>
        <v>-0.28096262657502608</v>
      </c>
    </row>
    <row r="208" spans="1:26" s="25" customFormat="1" outlineLevel="1" collapsed="1" x14ac:dyDescent="0.25">
      <c r="A208" s="26"/>
      <c r="B208" s="13" t="str">
        <f>CONCATENATE("     ","Donations                                         ")</f>
        <v xml:space="preserve">     Donations                                         </v>
      </c>
      <c r="C208" s="13"/>
      <c r="D208" s="1">
        <f>SUM(OSRRefD22_7x_0)</f>
        <v>0</v>
      </c>
      <c r="E208" s="1"/>
      <c r="F208" s="5">
        <f t="shared" ref="F208:F216" si="75">IF(D$12=0,0,D208/D$12)</f>
        <v>0</v>
      </c>
      <c r="G208" s="1"/>
      <c r="H208" s="1">
        <f>SUM(OSRRefH22_7x_0)</f>
        <v>851.01</v>
      </c>
      <c r="I208" s="1"/>
      <c r="J208" s="5">
        <f t="shared" ref="J208:J216" si="76">IF(H$12=0,0,H208/H$12)</f>
        <v>9.1446925564162614E-4</v>
      </c>
      <c r="K208" s="1"/>
      <c r="L208" s="1">
        <f t="shared" ref="L208:L216" si="77">+D208-H208</f>
        <v>-851.01</v>
      </c>
      <c r="M208" s="1"/>
      <c r="N208" s="5">
        <f t="shared" ref="N208:N216" si="78">IF(H208=0,0,L208/H208)</f>
        <v>-1</v>
      </c>
      <c r="O208" s="13"/>
      <c r="P208" s="1">
        <f>SUM(OSRRefP22_7x_0)</f>
        <v>12371.45</v>
      </c>
      <c r="Q208" s="1"/>
      <c r="R208" s="5">
        <f t="shared" ref="R208:R216" si="79">IF(P$12=0,0,P208/P$12)</f>
        <v>1.1117700799462302E-3</v>
      </c>
      <c r="S208" s="1"/>
      <c r="T208" s="1">
        <f>SUM(OSRRefT22_7x_0)</f>
        <v>8887.06</v>
      </c>
      <c r="U208" s="1"/>
      <c r="V208" s="5">
        <f t="shared" ref="V208:V216" si="80">IF(T$12=0,0,T208/T$12)</f>
        <v>6.7266657127687773E-4</v>
      </c>
      <c r="W208" s="1"/>
      <c r="X208" s="1">
        <f t="shared" ref="X208:X216" si="81">+P208-T208</f>
        <v>3484.3900000000012</v>
      </c>
      <c r="Y208" s="1"/>
      <c r="Z208" s="5">
        <f t="shared" ref="Z208:Z216" si="82">IF(T208=0,0,X208/T208)</f>
        <v>0.39207454433749761</v>
      </c>
    </row>
    <row r="209" spans="1:26" s="24" customFormat="1" hidden="1" outlineLevel="2" x14ac:dyDescent="0.25">
      <c r="A209" s="27"/>
      <c r="B209" s="11" t="str">
        <f>CONCATENATE("          ", "6399", " - ", "DONATION-ON CAMPUS")</f>
        <v xml:space="preserve">          6399 - DONATION-ON CAMPUS</v>
      </c>
      <c r="C209" s="11"/>
      <c r="D209" s="6"/>
      <c r="E209" s="2"/>
      <c r="F209" s="7">
        <f t="shared" si="75"/>
        <v>0</v>
      </c>
      <c r="G209" s="2"/>
      <c r="H209" s="6">
        <v>851.01</v>
      </c>
      <c r="I209" s="2"/>
      <c r="J209" s="7">
        <f t="shared" si="76"/>
        <v>9.1446925564162614E-4</v>
      </c>
      <c r="K209" s="2"/>
      <c r="L209" s="6">
        <f t="shared" si="77"/>
        <v>-851.01</v>
      </c>
      <c r="M209" s="2"/>
      <c r="N209" s="7">
        <f t="shared" si="78"/>
        <v>-1</v>
      </c>
      <c r="O209" s="11"/>
      <c r="P209" s="6">
        <v>12371.45</v>
      </c>
      <c r="Q209" s="2"/>
      <c r="R209" s="7">
        <f t="shared" si="79"/>
        <v>1.1117700799462302E-3</v>
      </c>
      <c r="S209" s="2"/>
      <c r="T209" s="6">
        <v>8887.06</v>
      </c>
      <c r="U209" s="2"/>
      <c r="V209" s="7">
        <f t="shared" si="80"/>
        <v>6.7266657127687773E-4</v>
      </c>
      <c r="W209" s="2"/>
      <c r="X209" s="6">
        <f t="shared" si="81"/>
        <v>3484.3900000000012</v>
      </c>
      <c r="Y209" s="2"/>
      <c r="Z209" s="7">
        <f t="shared" si="82"/>
        <v>0.39207454433749761</v>
      </c>
    </row>
    <row r="210" spans="1:26" s="25" customFormat="1" outlineLevel="1" collapsed="1" x14ac:dyDescent="0.25">
      <c r="A210" s="26"/>
      <c r="B210" s="13" t="str">
        <f>CONCATENATE("     ","Employees' Appreciation                           ")</f>
        <v xml:space="preserve">     Employees' Appreciation                           </v>
      </c>
      <c r="C210" s="13"/>
      <c r="D210" s="1">
        <f>SUM(OSRRefD22_8x_0)</f>
        <v>30.15</v>
      </c>
      <c r="E210" s="1"/>
      <c r="F210" s="5">
        <f t="shared" si="75"/>
        <v>1.8285819919789843E-4</v>
      </c>
      <c r="G210" s="1"/>
      <c r="H210" s="1">
        <f>SUM(OSRRefH22_8x_0)</f>
        <v>192.45</v>
      </c>
      <c r="I210" s="1"/>
      <c r="J210" s="5">
        <f t="shared" si="76"/>
        <v>2.0680086984668916E-4</v>
      </c>
      <c r="K210" s="1"/>
      <c r="L210" s="1">
        <f t="shared" si="77"/>
        <v>-162.29999999999998</v>
      </c>
      <c r="M210" s="1"/>
      <c r="N210" s="5">
        <f t="shared" si="78"/>
        <v>-0.84333593141075602</v>
      </c>
      <c r="O210" s="13"/>
      <c r="P210" s="1">
        <f>SUM(OSRRefP22_8x_0)</f>
        <v>1718.11</v>
      </c>
      <c r="Q210" s="1"/>
      <c r="R210" s="5">
        <f t="shared" si="79"/>
        <v>1.543993058256241E-4</v>
      </c>
      <c r="S210" s="1"/>
      <c r="T210" s="1">
        <f>SUM(OSRRefT22_8x_0)</f>
        <v>4166.78</v>
      </c>
      <c r="U210" s="1"/>
      <c r="V210" s="5">
        <f t="shared" si="80"/>
        <v>3.1538592243836192E-4</v>
      </c>
      <c r="W210" s="1"/>
      <c r="X210" s="1">
        <f t="shared" si="81"/>
        <v>-2448.67</v>
      </c>
      <c r="Y210" s="1"/>
      <c r="Z210" s="5">
        <f t="shared" si="82"/>
        <v>-0.58766481551701799</v>
      </c>
    </row>
    <row r="211" spans="1:26" s="24" customFormat="1" hidden="1" outlineLevel="2" x14ac:dyDescent="0.25">
      <c r="A211" s="27"/>
      <c r="B211" s="11" t="str">
        <f>CONCATENATE("          ", "6277", " - ", "EMPLOYEE APPRECIATION")</f>
        <v xml:space="preserve">          6277 - EMPLOYEE APPRECIATION</v>
      </c>
      <c r="C211" s="11"/>
      <c r="D211" s="6">
        <v>30.15</v>
      </c>
      <c r="E211" s="2"/>
      <c r="F211" s="7">
        <f t="shared" si="75"/>
        <v>1.8285819919789843E-4</v>
      </c>
      <c r="G211" s="2"/>
      <c r="H211" s="6">
        <v>192.45</v>
      </c>
      <c r="I211" s="2"/>
      <c r="J211" s="7">
        <f t="shared" si="76"/>
        <v>2.0680086984668916E-4</v>
      </c>
      <c r="K211" s="2"/>
      <c r="L211" s="6">
        <f t="shared" si="77"/>
        <v>-162.29999999999998</v>
      </c>
      <c r="M211" s="2"/>
      <c r="N211" s="7">
        <f t="shared" si="78"/>
        <v>-0.84333593141075602</v>
      </c>
      <c r="O211" s="11"/>
      <c r="P211" s="6">
        <v>1718.11</v>
      </c>
      <c r="Q211" s="2"/>
      <c r="R211" s="7">
        <f t="shared" si="79"/>
        <v>1.543993058256241E-4</v>
      </c>
      <c r="S211" s="2"/>
      <c r="T211" s="6">
        <v>4166.78</v>
      </c>
      <c r="U211" s="2"/>
      <c r="V211" s="7">
        <f t="shared" si="80"/>
        <v>3.1538592243836192E-4</v>
      </c>
      <c r="W211" s="2"/>
      <c r="X211" s="6">
        <f t="shared" si="81"/>
        <v>-2448.67</v>
      </c>
      <c r="Y211" s="2"/>
      <c r="Z211" s="7">
        <f t="shared" si="82"/>
        <v>-0.58766481551701799</v>
      </c>
    </row>
    <row r="212" spans="1:26" s="25" customFormat="1" outlineLevel="1" collapsed="1" x14ac:dyDescent="0.25">
      <c r="A212" s="26"/>
      <c r="B212" s="13" t="str">
        <f>CONCATENATE("     ","Equipment Rental                                  ")</f>
        <v xml:space="preserve">     Equipment Rental                                  </v>
      </c>
      <c r="C212" s="13"/>
      <c r="D212" s="1">
        <f>SUM(OSRRefD22_9x_0)</f>
        <v>1545.78</v>
      </c>
      <c r="E212" s="1"/>
      <c r="F212" s="5">
        <f t="shared" si="75"/>
        <v>9.3750761909163326E-3</v>
      </c>
      <c r="G212" s="1"/>
      <c r="H212" s="1">
        <f>SUM(OSRRefH22_9x_0)</f>
        <v>3618.23</v>
      </c>
      <c r="I212" s="1"/>
      <c r="J212" s="5">
        <f t="shared" si="76"/>
        <v>3.8880390299058779E-3</v>
      </c>
      <c r="K212" s="1"/>
      <c r="L212" s="1">
        <f t="shared" si="77"/>
        <v>-2072.4499999999998</v>
      </c>
      <c r="M212" s="1"/>
      <c r="N212" s="5">
        <f t="shared" si="78"/>
        <v>-0.57278006096903733</v>
      </c>
      <c r="O212" s="13"/>
      <c r="P212" s="1">
        <f>SUM(OSRRefP22_9x_0)</f>
        <v>17713.98</v>
      </c>
      <c r="Q212" s="1"/>
      <c r="R212" s="5">
        <f t="shared" si="79"/>
        <v>1.5918807383747192E-3</v>
      </c>
      <c r="S212" s="1"/>
      <c r="T212" s="1">
        <f>SUM(OSRRefT22_9x_0)</f>
        <v>35318.85</v>
      </c>
      <c r="U212" s="1"/>
      <c r="V212" s="5">
        <f t="shared" si="80"/>
        <v>2.6733036269522602E-3</v>
      </c>
      <c r="W212" s="1"/>
      <c r="X212" s="1">
        <f t="shared" si="81"/>
        <v>-17604.87</v>
      </c>
      <c r="Y212" s="1"/>
      <c r="Z212" s="5">
        <f t="shared" si="82"/>
        <v>-0.49845535740829611</v>
      </c>
    </row>
    <row r="213" spans="1:26" s="24" customFormat="1" hidden="1" outlineLevel="2" x14ac:dyDescent="0.25">
      <c r="A213" s="27"/>
      <c r="B213" s="11" t="str">
        <f>CONCATENATE("          ", "6351", " - ", "EQUIPMENT RENTAL")</f>
        <v xml:space="preserve">          6351 - EQUIPMENT RENTAL</v>
      </c>
      <c r="C213" s="11"/>
      <c r="D213" s="6">
        <v>1545.78</v>
      </c>
      <c r="E213" s="2"/>
      <c r="F213" s="7">
        <f t="shared" si="75"/>
        <v>9.3750761909163326E-3</v>
      </c>
      <c r="G213" s="2"/>
      <c r="H213" s="6">
        <v>3618.23</v>
      </c>
      <c r="I213" s="2"/>
      <c r="J213" s="7">
        <f t="shared" si="76"/>
        <v>3.8880390299058779E-3</v>
      </c>
      <c r="K213" s="2"/>
      <c r="L213" s="6">
        <f t="shared" si="77"/>
        <v>-2072.4499999999998</v>
      </c>
      <c r="M213" s="2"/>
      <c r="N213" s="7">
        <f t="shared" si="78"/>
        <v>-0.57278006096903733</v>
      </c>
      <c r="O213" s="11"/>
      <c r="P213" s="6">
        <v>17713.98</v>
      </c>
      <c r="Q213" s="2"/>
      <c r="R213" s="7">
        <f t="shared" si="79"/>
        <v>1.5918807383747192E-3</v>
      </c>
      <c r="S213" s="2"/>
      <c r="T213" s="6">
        <v>35318.85</v>
      </c>
      <c r="U213" s="2"/>
      <c r="V213" s="7">
        <f t="shared" si="80"/>
        <v>2.6733036269522602E-3</v>
      </c>
      <c r="W213" s="2"/>
      <c r="X213" s="6">
        <f t="shared" si="81"/>
        <v>-17604.87</v>
      </c>
      <c r="Y213" s="2"/>
      <c r="Z213" s="7">
        <f t="shared" si="82"/>
        <v>-0.49845535740829611</v>
      </c>
    </row>
    <row r="214" spans="1:26" s="25" customFormat="1" outlineLevel="1" collapsed="1" x14ac:dyDescent="0.25">
      <c r="A214" s="26"/>
      <c r="B214" s="13" t="str">
        <f>CONCATENATE("     ","Freight out/Postage                               ")</f>
        <v xml:space="preserve">     Freight out/Postage                               </v>
      </c>
      <c r="C214" s="13"/>
      <c r="D214" s="1">
        <f>SUM(OSRRefD22_10x_0)</f>
        <v>9042.8799999999992</v>
      </c>
      <c r="E214" s="1"/>
      <c r="F214" s="5">
        <f t="shared" si="75"/>
        <v>5.4844602068414315E-2</v>
      </c>
      <c r="G214" s="1"/>
      <c r="H214" s="1">
        <f>SUM(OSRRefH22_10x_0)</f>
        <v>6368.41</v>
      </c>
      <c r="I214" s="1"/>
      <c r="J214" s="5">
        <f t="shared" si="76"/>
        <v>6.8432981425843274E-3</v>
      </c>
      <c r="K214" s="1"/>
      <c r="L214" s="1">
        <f t="shared" si="77"/>
        <v>2674.4699999999993</v>
      </c>
      <c r="M214" s="1"/>
      <c r="N214" s="5">
        <f t="shared" si="78"/>
        <v>0.41995882802771795</v>
      </c>
      <c r="O214" s="13"/>
      <c r="P214" s="1">
        <f>SUM(OSRRefP22_10x_0)</f>
        <v>10225.379999999997</v>
      </c>
      <c r="Q214" s="1"/>
      <c r="R214" s="5">
        <f t="shared" si="79"/>
        <v>9.1891181228397469E-4</v>
      </c>
      <c r="S214" s="1"/>
      <c r="T214" s="1">
        <f>SUM(OSRRefT22_10x_0)</f>
        <v>-3649.5899999999965</v>
      </c>
      <c r="U214" s="1"/>
      <c r="V214" s="5">
        <f t="shared" si="80"/>
        <v>-2.762395203662829E-4</v>
      </c>
      <c r="W214" s="1"/>
      <c r="X214" s="1">
        <f t="shared" si="81"/>
        <v>13874.969999999994</v>
      </c>
      <c r="Y214" s="1"/>
      <c r="Z214" s="5">
        <f t="shared" si="82"/>
        <v>-3.8017886940724868</v>
      </c>
    </row>
    <row r="215" spans="1:26" s="24" customFormat="1" hidden="1" outlineLevel="2" x14ac:dyDescent="0.25">
      <c r="A215" s="27"/>
      <c r="B215" s="11" t="str">
        <f>CONCATENATE("          ", "6305", " - ", "FREIGHT OUT")</f>
        <v xml:space="preserve">          6305 - FREIGHT OUT</v>
      </c>
      <c r="C215" s="11"/>
      <c r="D215" s="6">
        <v>10602.72</v>
      </c>
      <c r="E215" s="2"/>
      <c r="F215" s="7">
        <f t="shared" si="75"/>
        <v>6.4304951436137361E-2</v>
      </c>
      <c r="G215" s="2"/>
      <c r="H215" s="6">
        <v>8460.33</v>
      </c>
      <c r="I215" s="2"/>
      <c r="J215" s="7">
        <f t="shared" si="76"/>
        <v>9.0912112402704078E-3</v>
      </c>
      <c r="K215" s="2"/>
      <c r="L215" s="6">
        <f t="shared" si="77"/>
        <v>2142.3899999999994</v>
      </c>
      <c r="M215" s="2"/>
      <c r="N215" s="7">
        <f t="shared" si="78"/>
        <v>0.25322771097581293</v>
      </c>
      <c r="O215" s="11"/>
      <c r="P215" s="6">
        <v>62656.37</v>
      </c>
      <c r="Q215" s="2"/>
      <c r="R215" s="7">
        <f t="shared" si="79"/>
        <v>5.6306639467516399E-3</v>
      </c>
      <c r="S215" s="2"/>
      <c r="T215" s="6">
        <v>68085.61</v>
      </c>
      <c r="U215" s="2"/>
      <c r="V215" s="7">
        <f t="shared" si="80"/>
        <v>5.153438125993828E-3</v>
      </c>
      <c r="W215" s="2"/>
      <c r="X215" s="6">
        <f t="shared" si="81"/>
        <v>-5429.239999999998</v>
      </c>
      <c r="Y215" s="2"/>
      <c r="Z215" s="7">
        <f t="shared" si="82"/>
        <v>-7.9741372663034049E-2</v>
      </c>
    </row>
    <row r="216" spans="1:26" s="24" customFormat="1" hidden="1" outlineLevel="2" x14ac:dyDescent="0.25">
      <c r="A216" s="27"/>
      <c r="B216" s="11" t="str">
        <f>CONCATENATE("          ", "6307", " - ", "POSTAGE")</f>
        <v xml:space="preserve">          6307 - POSTAGE</v>
      </c>
      <c r="C216" s="11"/>
      <c r="D216" s="6">
        <v>-1559.84</v>
      </c>
      <c r="E216" s="2"/>
      <c r="F216" s="7">
        <f t="shared" si="75"/>
        <v>-9.460349367723048E-3</v>
      </c>
      <c r="G216" s="2"/>
      <c r="H216" s="6">
        <v>-2091.92</v>
      </c>
      <c r="I216" s="2"/>
      <c r="J216" s="7">
        <f t="shared" si="76"/>
        <v>-2.2479130976860795E-3</v>
      </c>
      <c r="K216" s="2"/>
      <c r="L216" s="6">
        <f t="shared" si="77"/>
        <v>532.08000000000015</v>
      </c>
      <c r="M216" s="2"/>
      <c r="N216" s="7">
        <f t="shared" si="78"/>
        <v>-0.25435007074840343</v>
      </c>
      <c r="O216" s="11"/>
      <c r="P216" s="6">
        <v>-52430.990000000005</v>
      </c>
      <c r="Q216" s="2"/>
      <c r="R216" s="7">
        <f t="shared" si="79"/>
        <v>-4.7117521344676649E-3</v>
      </c>
      <c r="S216" s="2"/>
      <c r="T216" s="6">
        <v>-71735.199999999997</v>
      </c>
      <c r="U216" s="2"/>
      <c r="V216" s="7">
        <f t="shared" si="80"/>
        <v>-5.4296776463601103E-3</v>
      </c>
      <c r="W216" s="2"/>
      <c r="X216" s="6">
        <f t="shared" si="81"/>
        <v>19304.209999999992</v>
      </c>
      <c r="Y216" s="2"/>
      <c r="Z216" s="7">
        <f t="shared" si="82"/>
        <v>-0.26910373150141065</v>
      </c>
    </row>
    <row r="217" spans="1:26" s="25" customFormat="1" outlineLevel="1" collapsed="1" x14ac:dyDescent="0.25">
      <c r="A217" s="26"/>
      <c r="B217" s="13" t="str">
        <f>CONCATENATE("     ","General                                           ")</f>
        <v xml:space="preserve">     General                                           </v>
      </c>
      <c r="C217" s="13"/>
      <c r="D217" s="1">
        <f>SUM(OSRRefD22_11x_0)</f>
        <v>-660.03</v>
      </c>
      <c r="E217" s="1"/>
      <c r="F217" s="5">
        <f t="shared" ref="F217:F233" si="83">IF(D$12=0,0,D217/D$12)</f>
        <v>-4.0030480005502122E-3</v>
      </c>
      <c r="G217" s="1"/>
      <c r="H217" s="1">
        <f>SUM(OSRRefH22_11x_0)</f>
        <v>11034.17</v>
      </c>
      <c r="I217" s="1"/>
      <c r="J217" s="5">
        <f t="shared" ref="J217:J233" si="84">IF(H$12=0,0,H217/H$12)</f>
        <v>1.1856980795200011E-2</v>
      </c>
      <c r="K217" s="1"/>
      <c r="L217" s="1">
        <f t="shared" ref="L217:L233" si="85">+D217-H217</f>
        <v>-11694.2</v>
      </c>
      <c r="M217" s="1"/>
      <c r="N217" s="5">
        <f t="shared" ref="N217:N233" si="86">IF(H217=0,0,L217/H217)</f>
        <v>-1.0598169141856615</v>
      </c>
      <c r="O217" s="13"/>
      <c r="P217" s="1">
        <f>SUM(OSRRefP22_11x_0)</f>
        <v>9089.52</v>
      </c>
      <c r="Q217" s="1"/>
      <c r="R217" s="5">
        <f t="shared" ref="R217:R233" si="87">IF(P$12=0,0,P217/P$12)</f>
        <v>8.1683686043857893E-4</v>
      </c>
      <c r="S217" s="1"/>
      <c r="T217" s="1">
        <f>SUM(OSRRefT22_11x_0)</f>
        <v>33045.699999999997</v>
      </c>
      <c r="U217" s="1"/>
      <c r="V217" s="5">
        <f t="shared" ref="V217:V233" si="88">IF(T$12=0,0,T217/T$12)</f>
        <v>2.501247624573742E-3</v>
      </c>
      <c r="W217" s="1"/>
      <c r="X217" s="1">
        <f t="shared" ref="X217:X233" si="89">+P217-T217</f>
        <v>-23956.179999999997</v>
      </c>
      <c r="Y217" s="1"/>
      <c r="Z217" s="5">
        <f t="shared" ref="Z217:Z233" si="90">IF(T217=0,0,X217/T217)</f>
        <v>-0.72494091515688874</v>
      </c>
    </row>
    <row r="218" spans="1:26" s="24" customFormat="1" hidden="1" outlineLevel="2" x14ac:dyDescent="0.25">
      <c r="A218" s="27"/>
      <c r="B218" s="11" t="str">
        <f>CONCATENATE("          ", "6279", " - ", "GENERAL EXPENSE")</f>
        <v xml:space="preserve">          6279 - GENERAL EXPENSE</v>
      </c>
      <c r="C218" s="11"/>
      <c r="D218" s="6">
        <v>-660.03</v>
      </c>
      <c r="E218" s="2"/>
      <c r="F218" s="7">
        <f t="shared" si="83"/>
        <v>-4.0030480005502122E-3</v>
      </c>
      <c r="G218" s="2"/>
      <c r="H218" s="6">
        <v>11034.17</v>
      </c>
      <c r="I218" s="2"/>
      <c r="J218" s="7">
        <f t="shared" si="84"/>
        <v>1.1856980795200011E-2</v>
      </c>
      <c r="K218" s="2"/>
      <c r="L218" s="6">
        <f t="shared" si="85"/>
        <v>-11694.2</v>
      </c>
      <c r="M218" s="2"/>
      <c r="N218" s="7">
        <f t="shared" si="86"/>
        <v>-1.0598169141856615</v>
      </c>
      <c r="O218" s="11"/>
      <c r="P218" s="6">
        <v>9089.52</v>
      </c>
      <c r="Q218" s="2"/>
      <c r="R218" s="7">
        <f t="shared" si="87"/>
        <v>8.1683686043857893E-4</v>
      </c>
      <c r="S218" s="2"/>
      <c r="T218" s="6">
        <v>33045.699999999997</v>
      </c>
      <c r="U218" s="2"/>
      <c r="V218" s="7">
        <f t="shared" si="88"/>
        <v>2.501247624573742E-3</v>
      </c>
      <c r="W218" s="2"/>
      <c r="X218" s="6">
        <f t="shared" si="89"/>
        <v>-23956.179999999997</v>
      </c>
      <c r="Y218" s="2"/>
      <c r="Z218" s="7">
        <f t="shared" si="90"/>
        <v>-0.72494091515688874</v>
      </c>
    </row>
    <row r="219" spans="1:26" s="25" customFormat="1" outlineLevel="1" collapsed="1" x14ac:dyDescent="0.25">
      <c r="A219" s="26"/>
      <c r="B219" s="13" t="str">
        <f>CONCATENATE("     ","Insurance                                         ")</f>
        <v xml:space="preserve">     Insurance                                         </v>
      </c>
      <c r="C219" s="13"/>
      <c r="D219" s="1">
        <f>SUM(OSRRefD22_12x_0)</f>
        <v>4288.28</v>
      </c>
      <c r="E219" s="1"/>
      <c r="F219" s="5">
        <f t="shared" si="83"/>
        <v>2.6008197627076745E-2</v>
      </c>
      <c r="G219" s="1"/>
      <c r="H219" s="1">
        <f>SUM(OSRRefH22_12x_0)</f>
        <v>4039.41</v>
      </c>
      <c r="I219" s="1"/>
      <c r="J219" s="5">
        <f t="shared" si="84"/>
        <v>4.3406261453230177E-3</v>
      </c>
      <c r="K219" s="1"/>
      <c r="L219" s="1">
        <f t="shared" si="85"/>
        <v>248.86999999999989</v>
      </c>
      <c r="M219" s="1"/>
      <c r="N219" s="5">
        <f t="shared" si="86"/>
        <v>6.1610482719010921E-2</v>
      </c>
      <c r="O219" s="13"/>
      <c r="P219" s="1">
        <f>SUM(OSRRefP22_12x_0)</f>
        <v>42882.8</v>
      </c>
      <c r="Q219" s="1"/>
      <c r="R219" s="5">
        <f t="shared" si="87"/>
        <v>3.8536965339000841E-3</v>
      </c>
      <c r="S219" s="1"/>
      <c r="T219" s="1">
        <f>SUM(OSRRefT22_12x_0)</f>
        <v>33195.939999999995</v>
      </c>
      <c r="U219" s="1"/>
      <c r="V219" s="5">
        <f t="shared" si="88"/>
        <v>2.512619374699052E-3</v>
      </c>
      <c r="W219" s="1"/>
      <c r="X219" s="1">
        <f t="shared" si="89"/>
        <v>9686.8600000000079</v>
      </c>
      <c r="Y219" s="1"/>
      <c r="Z219" s="5">
        <f t="shared" si="90"/>
        <v>0.29180857659099302</v>
      </c>
    </row>
    <row r="220" spans="1:26" s="24" customFormat="1" hidden="1" outlineLevel="2" x14ac:dyDescent="0.25">
      <c r="A220" s="27"/>
      <c r="B220" s="11" t="str">
        <f>CONCATENATE("          ", "6314", " - ", "LIABILITY INSURANCE")</f>
        <v xml:space="preserve">          6314 - LIABILITY INSURANCE</v>
      </c>
      <c r="C220" s="11"/>
      <c r="D220" s="6">
        <v>4288.28</v>
      </c>
      <c r="E220" s="2"/>
      <c r="F220" s="7">
        <f t="shared" si="83"/>
        <v>2.6008197627076745E-2</v>
      </c>
      <c r="G220" s="2"/>
      <c r="H220" s="6">
        <v>4039.41</v>
      </c>
      <c r="I220" s="2"/>
      <c r="J220" s="7">
        <f t="shared" si="84"/>
        <v>4.3406261453230177E-3</v>
      </c>
      <c r="K220" s="2"/>
      <c r="L220" s="6">
        <f t="shared" si="85"/>
        <v>248.86999999999989</v>
      </c>
      <c r="M220" s="2"/>
      <c r="N220" s="7">
        <f t="shared" si="86"/>
        <v>6.1610482719010921E-2</v>
      </c>
      <c r="O220" s="11"/>
      <c r="P220" s="6">
        <v>42882.8</v>
      </c>
      <c r="Q220" s="2"/>
      <c r="R220" s="7">
        <f t="shared" si="87"/>
        <v>3.8536965339000841E-3</v>
      </c>
      <c r="S220" s="2"/>
      <c r="T220" s="6">
        <v>33195.939999999995</v>
      </c>
      <c r="U220" s="2"/>
      <c r="V220" s="7">
        <f t="shared" si="88"/>
        <v>2.512619374699052E-3</v>
      </c>
      <c r="W220" s="2"/>
      <c r="X220" s="6">
        <f t="shared" si="89"/>
        <v>9686.8600000000079</v>
      </c>
      <c r="Y220" s="2"/>
      <c r="Z220" s="7">
        <f t="shared" si="90"/>
        <v>0.29180857659099302</v>
      </c>
    </row>
    <row r="221" spans="1:26" s="25" customFormat="1" outlineLevel="1" collapsed="1" x14ac:dyDescent="0.25">
      <c r="A221" s="26"/>
      <c r="B221" s="13" t="str">
        <f>CONCATENATE("     ","Interest                                          ")</f>
        <v xml:space="preserve">     Interest                                          </v>
      </c>
      <c r="C221" s="13"/>
      <c r="D221" s="1">
        <f>SUM(OSRRefD22_13x_0)</f>
        <v>3124.82</v>
      </c>
      <c r="E221" s="1"/>
      <c r="F221" s="5">
        <f t="shared" si="83"/>
        <v>1.8951872571063913E-2</v>
      </c>
      <c r="G221" s="1"/>
      <c r="H221" s="1">
        <f>SUM(OSRRefH22_13x_0)</f>
        <v>3650.5</v>
      </c>
      <c r="I221" s="1"/>
      <c r="J221" s="5">
        <f t="shared" si="84"/>
        <v>3.922715382568661E-3</v>
      </c>
      <c r="K221" s="1"/>
      <c r="L221" s="1">
        <f t="shared" si="85"/>
        <v>-525.67999999999984</v>
      </c>
      <c r="M221" s="1"/>
      <c r="N221" s="5">
        <f t="shared" si="86"/>
        <v>-0.14400219148061905</v>
      </c>
      <c r="O221" s="13"/>
      <c r="P221" s="1">
        <f>SUM(OSRRefP22_13x_0)</f>
        <v>40493.769999999997</v>
      </c>
      <c r="Q221" s="1"/>
      <c r="R221" s="5">
        <f t="shared" si="87"/>
        <v>3.6390044748371652E-3</v>
      </c>
      <c r="S221" s="1"/>
      <c r="T221" s="1">
        <f>SUM(OSRRefT22_13x_0)</f>
        <v>41955.4</v>
      </c>
      <c r="U221" s="1"/>
      <c r="V221" s="5">
        <f t="shared" si="88"/>
        <v>3.1756278301879274E-3</v>
      </c>
      <c r="W221" s="1"/>
      <c r="X221" s="1">
        <f t="shared" si="89"/>
        <v>-1461.6300000000047</v>
      </c>
      <c r="Y221" s="1"/>
      <c r="Z221" s="5">
        <f t="shared" si="90"/>
        <v>-3.4837708614385864E-2</v>
      </c>
    </row>
    <row r="222" spans="1:26" s="24" customFormat="1" hidden="1" outlineLevel="2" x14ac:dyDescent="0.25">
      <c r="A222" s="27"/>
      <c r="B222" s="11" t="str">
        <f>CONCATENATE("          ", "6401", " - ", "INTEREST EXPENSE")</f>
        <v xml:space="preserve">          6401 - INTEREST EXPENSE</v>
      </c>
      <c r="C222" s="11"/>
      <c r="D222" s="6">
        <v>3124.82</v>
      </c>
      <c r="E222" s="2"/>
      <c r="F222" s="7">
        <f t="shared" si="83"/>
        <v>1.8951872571063913E-2</v>
      </c>
      <c r="G222" s="2"/>
      <c r="H222" s="6">
        <v>3650.5</v>
      </c>
      <c r="I222" s="2"/>
      <c r="J222" s="7">
        <f t="shared" si="84"/>
        <v>3.922715382568661E-3</v>
      </c>
      <c r="K222" s="2"/>
      <c r="L222" s="6">
        <f t="shared" si="85"/>
        <v>-525.67999999999984</v>
      </c>
      <c r="M222" s="2"/>
      <c r="N222" s="7">
        <f t="shared" si="86"/>
        <v>-0.14400219148061905</v>
      </c>
      <c r="O222" s="11"/>
      <c r="P222" s="6">
        <v>40493.769999999997</v>
      </c>
      <c r="Q222" s="2"/>
      <c r="R222" s="7">
        <f t="shared" si="87"/>
        <v>3.6390044748371652E-3</v>
      </c>
      <c r="S222" s="2"/>
      <c r="T222" s="6">
        <v>41955.4</v>
      </c>
      <c r="U222" s="2"/>
      <c r="V222" s="7">
        <f t="shared" si="88"/>
        <v>3.1756278301879274E-3</v>
      </c>
      <c r="W222" s="2"/>
      <c r="X222" s="6">
        <f t="shared" si="89"/>
        <v>-1461.6300000000047</v>
      </c>
      <c r="Y222" s="2"/>
      <c r="Z222" s="7">
        <f t="shared" si="90"/>
        <v>-3.4837708614385864E-2</v>
      </c>
    </row>
    <row r="223" spans="1:26" s="25" customFormat="1" outlineLevel="1" collapsed="1" x14ac:dyDescent="0.25">
      <c r="A223" s="26"/>
      <c r="B223" s="13" t="str">
        <f>CONCATENATE("     ","Inventory Adjustment                              ")</f>
        <v xml:space="preserve">     Inventory Adjustment                              </v>
      </c>
      <c r="C223" s="13"/>
      <c r="D223" s="1">
        <f>SUM(OSRRefD22_14x_0)</f>
        <v>4550</v>
      </c>
      <c r="E223" s="1"/>
      <c r="F223" s="5">
        <f t="shared" si="83"/>
        <v>2.7595515965188652E-2</v>
      </c>
      <c r="G223" s="1"/>
      <c r="H223" s="1">
        <f>SUM(OSRRefH22_14x_0)</f>
        <v>9050</v>
      </c>
      <c r="I223" s="1"/>
      <c r="J223" s="5">
        <f t="shared" si="84"/>
        <v>9.7248525441025573E-3</v>
      </c>
      <c r="K223" s="1"/>
      <c r="L223" s="1">
        <f t="shared" si="85"/>
        <v>-4500</v>
      </c>
      <c r="M223" s="1"/>
      <c r="N223" s="5">
        <f t="shared" si="86"/>
        <v>-0.49723756906077349</v>
      </c>
      <c r="O223" s="13"/>
      <c r="P223" s="1">
        <f>SUM(OSRRefP22_14x_0)</f>
        <v>48800</v>
      </c>
      <c r="Q223" s="1"/>
      <c r="R223" s="5">
        <f t="shared" si="87"/>
        <v>4.3854503636498576E-3</v>
      </c>
      <c r="S223" s="1"/>
      <c r="T223" s="1">
        <f>SUM(OSRRefT22_14x_0)</f>
        <v>87700</v>
      </c>
      <c r="U223" s="1"/>
      <c r="V223" s="5">
        <f t="shared" si="88"/>
        <v>6.638062340186989E-3</v>
      </c>
      <c r="W223" s="1"/>
      <c r="X223" s="1">
        <f t="shared" si="89"/>
        <v>-38900</v>
      </c>
      <c r="Y223" s="1"/>
      <c r="Z223" s="5">
        <f t="shared" si="90"/>
        <v>-0.44355758266818701</v>
      </c>
    </row>
    <row r="224" spans="1:26" s="24" customFormat="1" hidden="1" outlineLevel="2" x14ac:dyDescent="0.25">
      <c r="A224" s="27"/>
      <c r="B224" s="11" t="str">
        <f>CONCATENATE("          ", "6408", " - ", "INVENTORY ADJUSTMENT")</f>
        <v xml:space="preserve">          6408 - INVENTORY ADJUSTMENT</v>
      </c>
      <c r="C224" s="11"/>
      <c r="D224" s="6">
        <v>4550</v>
      </c>
      <c r="E224" s="2"/>
      <c r="F224" s="7">
        <f t="shared" si="83"/>
        <v>2.7595515965188652E-2</v>
      </c>
      <c r="G224" s="2"/>
      <c r="H224" s="6">
        <v>9050</v>
      </c>
      <c r="I224" s="2"/>
      <c r="J224" s="7">
        <f t="shared" si="84"/>
        <v>9.7248525441025573E-3</v>
      </c>
      <c r="K224" s="2"/>
      <c r="L224" s="6">
        <f t="shared" si="85"/>
        <v>-4500</v>
      </c>
      <c r="M224" s="2"/>
      <c r="N224" s="7">
        <f t="shared" si="86"/>
        <v>-0.49723756906077349</v>
      </c>
      <c r="O224" s="11"/>
      <c r="P224" s="6">
        <v>48800</v>
      </c>
      <c r="Q224" s="2"/>
      <c r="R224" s="7">
        <f t="shared" si="87"/>
        <v>4.3854503636498576E-3</v>
      </c>
      <c r="S224" s="2"/>
      <c r="T224" s="6">
        <v>87700</v>
      </c>
      <c r="U224" s="2"/>
      <c r="V224" s="7">
        <f t="shared" si="88"/>
        <v>6.638062340186989E-3</v>
      </c>
      <c r="W224" s="2"/>
      <c r="X224" s="6">
        <f t="shared" si="89"/>
        <v>-38900</v>
      </c>
      <c r="Y224" s="2"/>
      <c r="Z224" s="7">
        <f t="shared" si="90"/>
        <v>-0.44355758266818701</v>
      </c>
    </row>
    <row r="225" spans="1:26" s="25" customFormat="1" outlineLevel="1" collapsed="1" x14ac:dyDescent="0.25">
      <c r="A225" s="26"/>
      <c r="B225" s="13" t="str">
        <f>CONCATENATE("     ","Professional Services                             ")</f>
        <v xml:space="preserve">     Professional Services                             </v>
      </c>
      <c r="C225" s="13"/>
      <c r="D225" s="1">
        <f>SUM(OSRRefD22_15x_0)</f>
        <v>2930</v>
      </c>
      <c r="E225" s="1"/>
      <c r="F225" s="5">
        <f t="shared" si="83"/>
        <v>1.7770299291868737E-2</v>
      </c>
      <c r="G225" s="1"/>
      <c r="H225" s="1">
        <f>SUM(OSRRefH22_15x_0)</f>
        <v>0</v>
      </c>
      <c r="I225" s="1"/>
      <c r="J225" s="5">
        <f t="shared" si="84"/>
        <v>0</v>
      </c>
      <c r="K225" s="1"/>
      <c r="L225" s="1">
        <f t="shared" si="85"/>
        <v>2930</v>
      </c>
      <c r="M225" s="1"/>
      <c r="N225" s="5">
        <f t="shared" si="86"/>
        <v>0</v>
      </c>
      <c r="O225" s="13"/>
      <c r="P225" s="1">
        <f>SUM(OSRRefP22_15x_0)</f>
        <v>9129.56</v>
      </c>
      <c r="Q225" s="1"/>
      <c r="R225" s="5">
        <f t="shared" si="87"/>
        <v>8.2043508651563905E-4</v>
      </c>
      <c r="S225" s="1"/>
      <c r="T225" s="1">
        <f>SUM(OSRRefT22_15x_0)</f>
        <v>8276.43</v>
      </c>
      <c r="U225" s="1"/>
      <c r="V225" s="5">
        <f t="shared" si="88"/>
        <v>6.2644764303527718E-4</v>
      </c>
      <c r="W225" s="1"/>
      <c r="X225" s="1">
        <f t="shared" si="89"/>
        <v>853.1299999999992</v>
      </c>
      <c r="Y225" s="1"/>
      <c r="Z225" s="5">
        <f t="shared" si="90"/>
        <v>0.10307946783818617</v>
      </c>
    </row>
    <row r="226" spans="1:26" s="24" customFormat="1" hidden="1" outlineLevel="2" x14ac:dyDescent="0.25">
      <c r="A226" s="27"/>
      <c r="B226" s="11" t="str">
        <f>CONCATENATE("          ", "6336", " - ", "PROFESSIONAL SERVICES")</f>
        <v xml:space="preserve">          6336 - PROFESSIONAL SERVICES</v>
      </c>
      <c r="C226" s="11"/>
      <c r="D226" s="6">
        <v>2930</v>
      </c>
      <c r="E226" s="2"/>
      <c r="F226" s="7">
        <f t="shared" si="83"/>
        <v>1.7770299291868737E-2</v>
      </c>
      <c r="G226" s="2"/>
      <c r="H226" s="6"/>
      <c r="I226" s="2"/>
      <c r="J226" s="7">
        <f t="shared" si="84"/>
        <v>0</v>
      </c>
      <c r="K226" s="2"/>
      <c r="L226" s="6">
        <f t="shared" si="85"/>
        <v>2930</v>
      </c>
      <c r="M226" s="2"/>
      <c r="N226" s="7">
        <f t="shared" si="86"/>
        <v>0</v>
      </c>
      <c r="O226" s="11"/>
      <c r="P226" s="6">
        <v>9129.56</v>
      </c>
      <c r="Q226" s="2"/>
      <c r="R226" s="7">
        <f t="shared" si="87"/>
        <v>8.2043508651563905E-4</v>
      </c>
      <c r="S226" s="2"/>
      <c r="T226" s="6">
        <v>8276.43</v>
      </c>
      <c r="U226" s="2"/>
      <c r="V226" s="7">
        <f t="shared" si="88"/>
        <v>6.2644764303527718E-4</v>
      </c>
      <c r="W226" s="2"/>
      <c r="X226" s="6">
        <f t="shared" si="89"/>
        <v>853.1299999999992</v>
      </c>
      <c r="Y226" s="2"/>
      <c r="Z226" s="7">
        <f t="shared" si="90"/>
        <v>0.10307946783818617</v>
      </c>
    </row>
    <row r="227" spans="1:26" s="25" customFormat="1" outlineLevel="1" collapsed="1" x14ac:dyDescent="0.25">
      <c r="A227" s="26"/>
      <c r="B227" s="13" t="str">
        <f>CONCATENATE("     ","Rent                                              ")</f>
        <v xml:space="preserve">     Rent                                              </v>
      </c>
      <c r="C227" s="13"/>
      <c r="D227" s="1">
        <f>SUM(OSRRefD22_16x_0)</f>
        <v>7250</v>
      </c>
      <c r="E227" s="1"/>
      <c r="F227" s="5">
        <f t="shared" si="83"/>
        <v>4.3970877087388512E-2</v>
      </c>
      <c r="G227" s="1"/>
      <c r="H227" s="1">
        <f>SUM(OSRRefH22_16x_0)</f>
        <v>7250</v>
      </c>
      <c r="I227" s="1"/>
      <c r="J227" s="5">
        <f t="shared" si="84"/>
        <v>7.790627728700943E-3</v>
      </c>
      <c r="K227" s="1"/>
      <c r="L227" s="1">
        <f t="shared" si="85"/>
        <v>0</v>
      </c>
      <c r="M227" s="1"/>
      <c r="N227" s="5">
        <f t="shared" si="86"/>
        <v>0</v>
      </c>
      <c r="O227" s="13"/>
      <c r="P227" s="1">
        <f>SUM(OSRRefP22_16x_0)</f>
        <v>74100</v>
      </c>
      <c r="Q227" s="1"/>
      <c r="R227" s="5">
        <f t="shared" si="87"/>
        <v>6.6590547530011148E-3</v>
      </c>
      <c r="S227" s="1"/>
      <c r="T227" s="1">
        <f>SUM(OSRRefT22_16x_0)</f>
        <v>73401.08</v>
      </c>
      <c r="U227" s="1"/>
      <c r="V227" s="5">
        <f t="shared" si="88"/>
        <v>5.5557690407873712E-3</v>
      </c>
      <c r="W227" s="1"/>
      <c r="X227" s="1">
        <f t="shared" si="89"/>
        <v>698.91999999999825</v>
      </c>
      <c r="Y227" s="1"/>
      <c r="Z227" s="5">
        <f t="shared" si="90"/>
        <v>9.5219307399836382E-3</v>
      </c>
    </row>
    <row r="228" spans="1:26" s="24" customFormat="1" hidden="1" outlineLevel="2" x14ac:dyDescent="0.25">
      <c r="A228" s="27"/>
      <c r="B228" s="11" t="str">
        <f>CONCATENATE("          ", "6273", " - ", "RENT")</f>
        <v xml:space="preserve">          6273 - RENT</v>
      </c>
      <c r="C228" s="11"/>
      <c r="D228" s="6">
        <v>7250</v>
      </c>
      <c r="E228" s="2"/>
      <c r="F228" s="7">
        <f t="shared" si="83"/>
        <v>4.3970877087388512E-2</v>
      </c>
      <c r="G228" s="2"/>
      <c r="H228" s="6">
        <v>7250</v>
      </c>
      <c r="I228" s="2"/>
      <c r="J228" s="7">
        <f t="shared" si="84"/>
        <v>7.790627728700943E-3</v>
      </c>
      <c r="K228" s="2"/>
      <c r="L228" s="6">
        <f t="shared" si="85"/>
        <v>0</v>
      </c>
      <c r="M228" s="2"/>
      <c r="N228" s="7">
        <f t="shared" si="86"/>
        <v>0</v>
      </c>
      <c r="O228" s="11"/>
      <c r="P228" s="6">
        <v>74100</v>
      </c>
      <c r="Q228" s="2"/>
      <c r="R228" s="7">
        <f t="shared" si="87"/>
        <v>6.6590547530011148E-3</v>
      </c>
      <c r="S228" s="2"/>
      <c r="T228" s="6">
        <v>73401.08</v>
      </c>
      <c r="U228" s="2"/>
      <c r="V228" s="7">
        <f t="shared" si="88"/>
        <v>5.5557690407873712E-3</v>
      </c>
      <c r="W228" s="2"/>
      <c r="X228" s="6">
        <f t="shared" si="89"/>
        <v>698.91999999999825</v>
      </c>
      <c r="Y228" s="2"/>
      <c r="Z228" s="7">
        <f t="shared" si="90"/>
        <v>9.5219307399836382E-3</v>
      </c>
    </row>
    <row r="229" spans="1:26" s="25" customFormat="1" outlineLevel="1" collapsed="1" x14ac:dyDescent="0.25">
      <c r="A229" s="26"/>
      <c r="B229" s="13" t="str">
        <f>CONCATENATE("     ","Repair and Maintenance                            ")</f>
        <v xml:space="preserve">     Repair and Maintenance                            </v>
      </c>
      <c r="C229" s="13"/>
      <c r="D229" s="1">
        <f>SUM(OSRRefD22_17x_0)</f>
        <v>7476.9100000000008</v>
      </c>
      <c r="E229" s="1"/>
      <c r="F229" s="5">
        <f t="shared" si="83"/>
        <v>4.5347074565995321E-2</v>
      </c>
      <c r="G229" s="1"/>
      <c r="H229" s="1">
        <f>SUM(OSRRefH22_17x_0)</f>
        <v>12311.16</v>
      </c>
      <c r="I229" s="1"/>
      <c r="J229" s="5">
        <f t="shared" si="84"/>
        <v>1.3229195099099849E-2</v>
      </c>
      <c r="K229" s="1"/>
      <c r="L229" s="1">
        <f t="shared" si="85"/>
        <v>-4834.2499999999991</v>
      </c>
      <c r="M229" s="1"/>
      <c r="N229" s="5">
        <f t="shared" si="86"/>
        <v>-0.39267217711409802</v>
      </c>
      <c r="O229" s="13"/>
      <c r="P229" s="1">
        <f>SUM(OSRRefP22_17x_0)</f>
        <v>145866.93</v>
      </c>
      <c r="Q229" s="1"/>
      <c r="R229" s="5">
        <f t="shared" si="87"/>
        <v>1.3108446336331726E-2</v>
      </c>
      <c r="S229" s="1"/>
      <c r="T229" s="1">
        <f>SUM(OSRRefT22_17x_0)</f>
        <v>169561.73</v>
      </c>
      <c r="U229" s="1"/>
      <c r="V229" s="5">
        <f t="shared" si="88"/>
        <v>1.283422273945216E-2</v>
      </c>
      <c r="W229" s="1"/>
      <c r="X229" s="1">
        <f t="shared" si="89"/>
        <v>-23694.800000000017</v>
      </c>
      <c r="Y229" s="1"/>
      <c r="Z229" s="5">
        <f t="shared" si="90"/>
        <v>-0.13974143811814149</v>
      </c>
    </row>
    <row r="230" spans="1:26" s="24" customFormat="1" hidden="1" outlineLevel="2" x14ac:dyDescent="0.25">
      <c r="A230" s="27"/>
      <c r="B230" s="11" t="str">
        <f>CONCATENATE("          ", "6371", " - ", "COMPUTER SOFTWARE MAINTENANCE")</f>
        <v xml:space="preserve">          6371 - COMPUTER SOFTWARE MAINTENANCE</v>
      </c>
      <c r="C230" s="11"/>
      <c r="D230" s="6">
        <v>631.04999999999995</v>
      </c>
      <c r="E230" s="2"/>
      <c r="F230" s="7">
        <f t="shared" si="83"/>
        <v>3.8272857911719337E-3</v>
      </c>
      <c r="G230" s="2"/>
      <c r="H230" s="6">
        <v>601</v>
      </c>
      <c r="I230" s="2"/>
      <c r="J230" s="7">
        <f t="shared" si="84"/>
        <v>6.45816174475761E-4</v>
      </c>
      <c r="K230" s="2"/>
      <c r="L230" s="6">
        <f t="shared" si="85"/>
        <v>30.049999999999955</v>
      </c>
      <c r="M230" s="2"/>
      <c r="N230" s="7">
        <f t="shared" si="86"/>
        <v>4.9999999999999926E-2</v>
      </c>
      <c r="O230" s="11"/>
      <c r="P230" s="6">
        <v>17729.43</v>
      </c>
      <c r="Q230" s="2"/>
      <c r="R230" s="7">
        <f t="shared" si="87"/>
        <v>1.5932691647705878E-3</v>
      </c>
      <c r="S230" s="2"/>
      <c r="T230" s="6">
        <v>46290.83</v>
      </c>
      <c r="U230" s="2"/>
      <c r="V230" s="7">
        <f t="shared" si="88"/>
        <v>3.5037789660091003E-3</v>
      </c>
      <c r="W230" s="2"/>
      <c r="X230" s="6">
        <f t="shared" si="89"/>
        <v>-28561.4</v>
      </c>
      <c r="Y230" s="2"/>
      <c r="Z230" s="7">
        <f t="shared" si="90"/>
        <v>-0.61699909031659184</v>
      </c>
    </row>
    <row r="231" spans="1:26" s="24" customFormat="1" hidden="1" outlineLevel="2" x14ac:dyDescent="0.25">
      <c r="A231" s="27"/>
      <c r="B231" s="11" t="str">
        <f>CONCATENATE("          ", "6372", " - ", "COMPUTER HARDWARE MAINTENANCE")</f>
        <v xml:space="preserve">          6372 - COMPUTER HARDWARE MAINTENANCE</v>
      </c>
      <c r="C231" s="11"/>
      <c r="D231" s="6"/>
      <c r="E231" s="2"/>
      <c r="F231" s="7">
        <f t="shared" si="83"/>
        <v>0</v>
      </c>
      <c r="G231" s="2"/>
      <c r="H231" s="6"/>
      <c r="I231" s="2"/>
      <c r="J231" s="7">
        <f t="shared" si="84"/>
        <v>0</v>
      </c>
      <c r="K231" s="2"/>
      <c r="L231" s="6">
        <f t="shared" si="85"/>
        <v>0</v>
      </c>
      <c r="M231" s="2"/>
      <c r="N231" s="7">
        <f t="shared" si="86"/>
        <v>0</v>
      </c>
      <c r="O231" s="11"/>
      <c r="P231" s="6">
        <v>52.32</v>
      </c>
      <c r="Q231" s="2"/>
      <c r="R231" s="7">
        <f t="shared" si="87"/>
        <v>4.7017779308639455E-6</v>
      </c>
      <c r="S231" s="2"/>
      <c r="T231" s="6">
        <v>51.79</v>
      </c>
      <c r="U231" s="2"/>
      <c r="V231" s="7">
        <f t="shared" si="88"/>
        <v>3.9200142371526129E-6</v>
      </c>
      <c r="W231" s="2"/>
      <c r="X231" s="6">
        <f t="shared" si="89"/>
        <v>0.53000000000000114</v>
      </c>
      <c r="Y231" s="2"/>
      <c r="Z231" s="7">
        <f t="shared" si="90"/>
        <v>1.0233635837034199E-2</v>
      </c>
    </row>
    <row r="232" spans="1:26" s="24" customFormat="1" hidden="1" outlineLevel="2" x14ac:dyDescent="0.25">
      <c r="A232" s="27"/>
      <c r="B232" s="11" t="str">
        <f>CONCATENATE("          ", "6373", " - ", "MAINTENANCE CONTRACTS")</f>
        <v xml:space="preserve">          6373 - MAINTENANCE CONTRACTS</v>
      </c>
      <c r="C232" s="11"/>
      <c r="D232" s="6">
        <v>5481.56</v>
      </c>
      <c r="E232" s="2"/>
      <c r="F232" s="7">
        <f t="shared" si="83"/>
        <v>3.3245379449261432E-2</v>
      </c>
      <c r="G232" s="2"/>
      <c r="H232" s="6">
        <v>6844.45</v>
      </c>
      <c r="I232" s="2"/>
      <c r="J232" s="7">
        <f t="shared" si="84"/>
        <v>7.3548361320975404E-3</v>
      </c>
      <c r="K232" s="2"/>
      <c r="L232" s="6">
        <f t="shared" si="85"/>
        <v>-1362.8899999999994</v>
      </c>
      <c r="M232" s="2"/>
      <c r="N232" s="7">
        <f t="shared" si="86"/>
        <v>-0.19912337733492091</v>
      </c>
      <c r="O232" s="11"/>
      <c r="P232" s="6">
        <v>75814.19</v>
      </c>
      <c r="Q232" s="2"/>
      <c r="R232" s="7">
        <f t="shared" si="87"/>
        <v>6.8131017849450692E-3</v>
      </c>
      <c r="S232" s="2"/>
      <c r="T232" s="6">
        <v>82978.33</v>
      </c>
      <c r="U232" s="2"/>
      <c r="V232" s="7">
        <f t="shared" si="88"/>
        <v>6.2806764814664568E-3</v>
      </c>
      <c r="W232" s="2"/>
      <c r="X232" s="6">
        <f t="shared" si="89"/>
        <v>-7164.1399999999994</v>
      </c>
      <c r="Y232" s="2"/>
      <c r="Z232" s="7">
        <f t="shared" si="90"/>
        <v>-8.6337481123083579E-2</v>
      </c>
    </row>
    <row r="233" spans="1:26" s="24" customFormat="1" hidden="1" outlineLevel="2" x14ac:dyDescent="0.25">
      <c r="A233" s="27"/>
      <c r="B233" s="11" t="str">
        <f>CONCATENATE("          ", "6375", " - ", "OUTSIDE REPAIRS &amp; MAINTENANCE")</f>
        <v xml:space="preserve">          6375 - OUTSIDE REPAIRS &amp; MAINTENANCE</v>
      </c>
      <c r="C233" s="11"/>
      <c r="D233" s="6">
        <v>1364.3</v>
      </c>
      <c r="E233" s="2"/>
      <c r="F233" s="7">
        <f t="shared" si="83"/>
        <v>8.2744093255619506E-3</v>
      </c>
      <c r="G233" s="2"/>
      <c r="H233" s="6">
        <v>4865.71</v>
      </c>
      <c r="I233" s="2"/>
      <c r="J233" s="7">
        <f t="shared" si="84"/>
        <v>5.2285427925265471E-3</v>
      </c>
      <c r="K233" s="2"/>
      <c r="L233" s="6">
        <f t="shared" si="85"/>
        <v>-3501.41</v>
      </c>
      <c r="M233" s="2"/>
      <c r="N233" s="7">
        <f t="shared" si="86"/>
        <v>-0.71960926565701611</v>
      </c>
      <c r="O233" s="11"/>
      <c r="P233" s="6">
        <v>52270.990000000005</v>
      </c>
      <c r="Q233" s="2"/>
      <c r="R233" s="7">
        <f t="shared" si="87"/>
        <v>4.6973736086852068E-3</v>
      </c>
      <c r="S233" s="2"/>
      <c r="T233" s="6">
        <v>40240.780000000006</v>
      </c>
      <c r="U233" s="2"/>
      <c r="V233" s="7">
        <f t="shared" si="88"/>
        <v>3.0458472777394508E-3</v>
      </c>
      <c r="W233" s="2"/>
      <c r="X233" s="6">
        <f t="shared" si="89"/>
        <v>12030.21</v>
      </c>
      <c r="Y233" s="2"/>
      <c r="Z233" s="7">
        <f t="shared" si="90"/>
        <v>0.29895568624663832</v>
      </c>
    </row>
    <row r="234" spans="1:26" s="25" customFormat="1" outlineLevel="1" collapsed="1" x14ac:dyDescent="0.25">
      <c r="A234" s="26"/>
      <c r="B234" s="13" t="str">
        <f>CONCATENATE("     ","Royalty &amp; Commissions                             ")</f>
        <v xml:space="preserve">     Royalty &amp; Commissions                             </v>
      </c>
      <c r="C234" s="13"/>
      <c r="D234" s="1">
        <f>SUM(OSRRefD22_18x_0)</f>
        <v>20337.45</v>
      </c>
      <c r="E234" s="1"/>
      <c r="F234" s="5">
        <f t="shared" ref="F234:F237" si="91">IF(D$12=0,0,D234/D$12)</f>
        <v>0.12334558816840131</v>
      </c>
      <c r="G234" s="1"/>
      <c r="H234" s="1">
        <f>SUM(OSRRefH22_18x_0)</f>
        <v>32462.28</v>
      </c>
      <c r="I234" s="1"/>
      <c r="J234" s="5">
        <f t="shared" ref="J234:J237" si="92">IF(H$12=0,0,H234/H$12)</f>
        <v>3.4882970855841938E-2</v>
      </c>
      <c r="K234" s="1"/>
      <c r="L234" s="1">
        <f t="shared" ref="L234:L237" si="93">+D234-H234</f>
        <v>-12124.829999999998</v>
      </c>
      <c r="M234" s="1"/>
      <c r="N234" s="5">
        <f t="shared" ref="N234:N237" si="94">IF(H234=0,0,L234/H234)</f>
        <v>-0.37350518817532219</v>
      </c>
      <c r="O234" s="13"/>
      <c r="P234" s="1">
        <f>SUM(OSRRefP22_18x_0)</f>
        <v>148005.54</v>
      </c>
      <c r="Q234" s="1"/>
      <c r="R234" s="5">
        <f t="shared" ref="R234:R237" si="95">IF(P$12=0,0,P234/P$12)</f>
        <v>1.3300634205229376E-2</v>
      </c>
      <c r="S234" s="1"/>
      <c r="T234" s="1">
        <f>SUM(OSRRefT22_18x_0)</f>
        <v>180650.47999999998</v>
      </c>
      <c r="U234" s="1"/>
      <c r="V234" s="5">
        <f t="shared" ref="V234:V237" si="96">IF(T$12=0,0,T234/T$12)</f>
        <v>1.3673536465504023E-2</v>
      </c>
      <c r="W234" s="1"/>
      <c r="X234" s="1">
        <f t="shared" ref="X234:X237" si="97">+P234-T234</f>
        <v>-32644.939999999973</v>
      </c>
      <c r="Y234" s="1"/>
      <c r="Z234" s="5">
        <f t="shared" ref="Z234:Z237" si="98">IF(T234=0,0,X234/T234)</f>
        <v>-0.18070774016210739</v>
      </c>
    </row>
    <row r="235" spans="1:26" s="24" customFormat="1" hidden="1" outlineLevel="2" x14ac:dyDescent="0.25">
      <c r="A235" s="27"/>
      <c r="B235" s="11" t="str">
        <f>CONCATENATE("          ", "6253", " - ", "ROYALTY DUE ATHLETICS-LRG")</f>
        <v xml:space="preserve">          6253 - ROYALTY DUE ATHLETICS-LRG</v>
      </c>
      <c r="C235" s="11"/>
      <c r="D235" s="6">
        <v>14555.51</v>
      </c>
      <c r="E235" s="2"/>
      <c r="F235" s="7">
        <f t="shared" si="91"/>
        <v>8.8278419469552324E-2</v>
      </c>
      <c r="G235" s="2"/>
      <c r="H235" s="6">
        <v>6150.32</v>
      </c>
      <c r="I235" s="2"/>
      <c r="J235" s="7">
        <f t="shared" si="92"/>
        <v>6.6089453148115837E-3</v>
      </c>
      <c r="K235" s="2"/>
      <c r="L235" s="6">
        <f t="shared" si="93"/>
        <v>8405.19</v>
      </c>
      <c r="M235" s="2"/>
      <c r="N235" s="7">
        <f t="shared" si="94"/>
        <v>1.3666264519569715</v>
      </c>
      <c r="O235" s="11"/>
      <c r="P235" s="6">
        <v>32870.44</v>
      </c>
      <c r="Q235" s="2"/>
      <c r="R235" s="7">
        <f t="shared" si="95"/>
        <v>2.9539279313797301E-3</v>
      </c>
      <c r="S235" s="2"/>
      <c r="T235" s="6">
        <v>41365.990000000005</v>
      </c>
      <c r="U235" s="2"/>
      <c r="V235" s="7">
        <f t="shared" si="96"/>
        <v>3.1310150556847394E-3</v>
      </c>
      <c r="W235" s="2"/>
      <c r="X235" s="6">
        <f t="shared" si="97"/>
        <v>-8495.5500000000029</v>
      </c>
      <c r="Y235" s="2"/>
      <c r="Z235" s="7">
        <f t="shared" si="98"/>
        <v>-0.20537523700025073</v>
      </c>
    </row>
    <row r="236" spans="1:26" s="24" customFormat="1" hidden="1" outlineLevel="2" x14ac:dyDescent="0.25">
      <c r="A236" s="27"/>
      <c r="B236" s="11" t="str">
        <f>CONCATENATE("          ", "6254", " - ", "ROYALTY &amp; COMMISSIONS")</f>
        <v xml:space="preserve">          6254 - ROYALTY &amp; COMMISSIONS</v>
      </c>
      <c r="C236" s="11"/>
      <c r="D236" s="6"/>
      <c r="E236" s="2"/>
      <c r="F236" s="7">
        <f t="shared" si="91"/>
        <v>0</v>
      </c>
      <c r="G236" s="2"/>
      <c r="H236" s="6">
        <v>2754</v>
      </c>
      <c r="I236" s="2"/>
      <c r="J236" s="7">
        <f t="shared" si="92"/>
        <v>2.9593639675644687E-3</v>
      </c>
      <c r="K236" s="2"/>
      <c r="L236" s="6">
        <f t="shared" si="93"/>
        <v>-2754</v>
      </c>
      <c r="M236" s="2"/>
      <c r="N236" s="7">
        <f t="shared" si="94"/>
        <v>-1</v>
      </c>
      <c r="O236" s="11"/>
      <c r="P236" s="6">
        <v>32527.360000000001</v>
      </c>
      <c r="Q236" s="2"/>
      <c r="R236" s="7">
        <f t="shared" si="95"/>
        <v>2.9230967774706929E-3</v>
      </c>
      <c r="S236" s="2"/>
      <c r="T236" s="6">
        <v>36445.58</v>
      </c>
      <c r="U236" s="2"/>
      <c r="V236" s="7">
        <f t="shared" si="96"/>
        <v>2.758586454552704E-3</v>
      </c>
      <c r="W236" s="2"/>
      <c r="X236" s="6">
        <f t="shared" si="97"/>
        <v>-3918.2200000000012</v>
      </c>
      <c r="Y236" s="2"/>
      <c r="Z236" s="7">
        <f t="shared" si="98"/>
        <v>-0.1075087843299517</v>
      </c>
    </row>
    <row r="237" spans="1:26" s="24" customFormat="1" hidden="1" outlineLevel="2" x14ac:dyDescent="0.25">
      <c r="A237" s="27"/>
      <c r="B237" s="11" t="str">
        <f>CONCATENATE("          ", "6259", " - ", "ROYALTY &amp; COMMISSIONS")</f>
        <v xml:space="preserve">          6259 - ROYALTY &amp; COMMISSIONS</v>
      </c>
      <c r="C237" s="11"/>
      <c r="D237" s="6">
        <v>5781.94</v>
      </c>
      <c r="E237" s="2"/>
      <c r="F237" s="7">
        <f t="shared" si="91"/>
        <v>3.5067168698848981E-2</v>
      </c>
      <c r="G237" s="2"/>
      <c r="H237" s="6">
        <v>23557.96</v>
      </c>
      <c r="I237" s="2"/>
      <c r="J237" s="7">
        <f t="shared" si="92"/>
        <v>2.5314661573465885E-2</v>
      </c>
      <c r="K237" s="2"/>
      <c r="L237" s="6">
        <f t="shared" si="93"/>
        <v>-17776.02</v>
      </c>
      <c r="M237" s="2"/>
      <c r="N237" s="7">
        <f t="shared" si="94"/>
        <v>-0.75456533587797925</v>
      </c>
      <c r="O237" s="11"/>
      <c r="P237" s="6">
        <v>82607.740000000005</v>
      </c>
      <c r="Q237" s="2"/>
      <c r="R237" s="7">
        <f t="shared" si="95"/>
        <v>7.4236094963789521E-3</v>
      </c>
      <c r="S237" s="2"/>
      <c r="T237" s="6">
        <v>102838.90999999999</v>
      </c>
      <c r="U237" s="2"/>
      <c r="V237" s="7">
        <f t="shared" si="96"/>
        <v>7.7839349552665804E-3</v>
      </c>
      <c r="W237" s="2"/>
      <c r="X237" s="6">
        <f t="shared" si="97"/>
        <v>-20231.169999999984</v>
      </c>
      <c r="Y237" s="2"/>
      <c r="Z237" s="7">
        <f t="shared" si="98"/>
        <v>-0.19672680311372404</v>
      </c>
    </row>
    <row r="238" spans="1:26" s="25" customFormat="1" outlineLevel="1" collapsed="1" x14ac:dyDescent="0.25">
      <c r="A238" s="26"/>
      <c r="B238" s="13" t="str">
        <f>CONCATENATE("     ","Services                                          ")</f>
        <v xml:space="preserve">     Services                                          </v>
      </c>
      <c r="C238" s="13"/>
      <c r="D238" s="1">
        <f>SUM(OSRRefD22_19x_0)</f>
        <v>5120.0499999999993</v>
      </c>
      <c r="E238" s="1"/>
      <c r="F238" s="5">
        <f t="shared" ref="F238:F243" si="99">IF(D$12=0,0,D238/D$12)</f>
        <v>3.105283989397014E-2</v>
      </c>
      <c r="G238" s="1"/>
      <c r="H238" s="1">
        <f>SUM(OSRRefH22_19x_0)</f>
        <v>6475.97</v>
      </c>
      <c r="I238" s="1"/>
      <c r="J238" s="5">
        <f t="shared" ref="J238:J243" si="100">IF(H$12=0,0,H238/H$12)</f>
        <v>6.9588788209979935E-3</v>
      </c>
      <c r="K238" s="1"/>
      <c r="L238" s="1">
        <f t="shared" ref="L238:L243" si="101">+D238-H238</f>
        <v>-1355.920000000001</v>
      </c>
      <c r="M238" s="1"/>
      <c r="N238" s="5">
        <f t="shared" ref="N238:N243" si="102">IF(H238=0,0,L238/H238)</f>
        <v>-0.20937712805958042</v>
      </c>
      <c r="O238" s="13"/>
      <c r="P238" s="1">
        <f>SUM(OSRRefP22_19x_0)</f>
        <v>62437.38</v>
      </c>
      <c r="Q238" s="1"/>
      <c r="R238" s="5">
        <f t="shared" ref="R238:R243" si="103">IF(P$12=0,0,P238/P$12)</f>
        <v>5.6109842382447601E-3</v>
      </c>
      <c r="S238" s="1"/>
      <c r="T238" s="1">
        <f>SUM(OSRRefT22_19x_0)</f>
        <v>60900.659999999996</v>
      </c>
      <c r="U238" s="1"/>
      <c r="V238" s="5">
        <f t="shared" ref="V238:V243" si="104">IF(T$12=0,0,T238/T$12)</f>
        <v>4.6096052182272767E-3</v>
      </c>
      <c r="W238" s="1"/>
      <c r="X238" s="1">
        <f t="shared" ref="X238:X243" si="105">+P238-T238</f>
        <v>1536.7200000000012</v>
      </c>
      <c r="Y238" s="1"/>
      <c r="Z238" s="5">
        <f t="shared" ref="Z238:Z243" si="106">IF(T238=0,0,X238/T238)</f>
        <v>2.5233224073433709E-2</v>
      </c>
    </row>
    <row r="239" spans="1:26" s="24" customFormat="1" hidden="1" outlineLevel="2" x14ac:dyDescent="0.25">
      <c r="A239" s="27"/>
      <c r="B239" s="11" t="str">
        <f>CONCATENATE("          ", "6282", " - ", "JANITORIAL/EXTERMINATOR EXPENS")</f>
        <v xml:space="preserve">          6282 - JANITORIAL/EXTERMINATOR EXPENS</v>
      </c>
      <c r="C239" s="11"/>
      <c r="D239" s="6">
        <v>351.5</v>
      </c>
      <c r="E239" s="2"/>
      <c r="F239" s="7">
        <f t="shared" si="99"/>
        <v>2.1318294201678706E-3</v>
      </c>
      <c r="G239" s="2"/>
      <c r="H239" s="6">
        <v>892.59</v>
      </c>
      <c r="I239" s="2"/>
      <c r="J239" s="7">
        <f t="shared" si="100"/>
        <v>9.5914984887740344E-4</v>
      </c>
      <c r="K239" s="2"/>
      <c r="L239" s="6">
        <f t="shared" si="101"/>
        <v>-541.09</v>
      </c>
      <c r="M239" s="2"/>
      <c r="N239" s="7">
        <f t="shared" si="102"/>
        <v>-0.60620217569096679</v>
      </c>
      <c r="O239" s="11"/>
      <c r="P239" s="6">
        <v>8732.11</v>
      </c>
      <c r="Q239" s="2"/>
      <c r="R239" s="7">
        <f t="shared" si="103"/>
        <v>7.8471792981415079E-4</v>
      </c>
      <c r="S239" s="2"/>
      <c r="T239" s="6">
        <v>8092.1</v>
      </c>
      <c r="U239" s="2"/>
      <c r="V239" s="7">
        <f t="shared" si="104"/>
        <v>6.1249560163086818E-4</v>
      </c>
      <c r="W239" s="2"/>
      <c r="X239" s="6">
        <f t="shared" si="105"/>
        <v>640.01000000000022</v>
      </c>
      <c r="Y239" s="2"/>
      <c r="Z239" s="7">
        <f t="shared" si="106"/>
        <v>7.9090718107784161E-2</v>
      </c>
    </row>
    <row r="240" spans="1:26" s="24" customFormat="1" hidden="1" outlineLevel="2" x14ac:dyDescent="0.25">
      <c r="A240" s="27"/>
      <c r="B240" s="11" t="str">
        <f>CONCATENATE("          ", "6283", " - ", "PLANT SERVICE")</f>
        <v xml:space="preserve">          6283 - PLANT SERVICE</v>
      </c>
      <c r="C240" s="11"/>
      <c r="D240" s="6"/>
      <c r="E240" s="2"/>
      <c r="F240" s="7">
        <f t="shared" si="99"/>
        <v>0</v>
      </c>
      <c r="G240" s="2"/>
      <c r="H240" s="6">
        <v>173</v>
      </c>
      <c r="I240" s="2"/>
      <c r="J240" s="7">
        <f t="shared" si="100"/>
        <v>1.8590049614693286E-4</v>
      </c>
      <c r="K240" s="2"/>
      <c r="L240" s="6">
        <f t="shared" si="101"/>
        <v>-173</v>
      </c>
      <c r="M240" s="2"/>
      <c r="N240" s="7">
        <f t="shared" si="102"/>
        <v>-1</v>
      </c>
      <c r="O240" s="11"/>
      <c r="P240" s="6">
        <v>541.98</v>
      </c>
      <c r="Q240" s="2"/>
      <c r="R240" s="7">
        <f t="shared" si="103"/>
        <v>4.8705458772355529E-5</v>
      </c>
      <c r="S240" s="2"/>
      <c r="T240" s="6">
        <v>1852.5</v>
      </c>
      <c r="U240" s="2"/>
      <c r="V240" s="7">
        <f t="shared" si="104"/>
        <v>1.4021676722002734E-4</v>
      </c>
      <c r="W240" s="2"/>
      <c r="X240" s="6">
        <f t="shared" si="105"/>
        <v>-1310.52</v>
      </c>
      <c r="Y240" s="2"/>
      <c r="Z240" s="7">
        <f t="shared" si="106"/>
        <v>-0.70743319838056684</v>
      </c>
    </row>
    <row r="241" spans="1:26" s="24" customFormat="1" hidden="1" outlineLevel="2" x14ac:dyDescent="0.25">
      <c r="A241" s="27"/>
      <c r="B241" s="11" t="str">
        <f>CONCATENATE("          ", "6284", " - ", "TRASH REMOVAL EXPENSE")</f>
        <v xml:space="preserve">          6284 - TRASH REMOVAL EXPENSE</v>
      </c>
      <c r="C241" s="11"/>
      <c r="D241" s="6">
        <v>423.82</v>
      </c>
      <c r="E241" s="2"/>
      <c r="F241" s="7">
        <f t="shared" si="99"/>
        <v>2.5704465003002757E-3</v>
      </c>
      <c r="G241" s="2"/>
      <c r="H241" s="6">
        <v>358.46</v>
      </c>
      <c r="I241" s="2"/>
      <c r="J241" s="7">
        <f t="shared" si="100"/>
        <v>3.8519012629381242E-4</v>
      </c>
      <c r="K241" s="2"/>
      <c r="L241" s="6">
        <f t="shared" si="101"/>
        <v>65.360000000000014</v>
      </c>
      <c r="M241" s="2"/>
      <c r="N241" s="7">
        <f t="shared" si="102"/>
        <v>0.18233554650449149</v>
      </c>
      <c r="O241" s="11"/>
      <c r="P241" s="6">
        <v>4237.2</v>
      </c>
      <c r="Q241" s="2"/>
      <c r="R241" s="7">
        <f t="shared" si="103"/>
        <v>3.8077930903395851E-4</v>
      </c>
      <c r="S241" s="2"/>
      <c r="T241" s="6">
        <v>4155.33</v>
      </c>
      <c r="U241" s="2"/>
      <c r="V241" s="7">
        <f t="shared" si="104"/>
        <v>3.1451926549657012E-4</v>
      </c>
      <c r="W241" s="2"/>
      <c r="X241" s="6">
        <f t="shared" si="105"/>
        <v>81.869999999999891</v>
      </c>
      <c r="Y241" s="2"/>
      <c r="Z241" s="7">
        <f t="shared" si="106"/>
        <v>1.9702406307080277E-2</v>
      </c>
    </row>
    <row r="242" spans="1:26" s="24" customFormat="1" hidden="1" outlineLevel="2" x14ac:dyDescent="0.25">
      <c r="A242" s="27"/>
      <c r="B242" s="11" t="str">
        <f>CONCATENATE("          ", "6285", " - ", "JANITORIAL SERVICES")</f>
        <v xml:space="preserve">          6285 - JANITORIAL SERVICES</v>
      </c>
      <c r="C242" s="11"/>
      <c r="D242" s="6">
        <v>4344.7299999999996</v>
      </c>
      <c r="E242" s="2"/>
      <c r="F242" s="7">
        <f t="shared" si="99"/>
        <v>2.6350563973501998E-2</v>
      </c>
      <c r="G242" s="2"/>
      <c r="H242" s="6">
        <v>4240.96</v>
      </c>
      <c r="I242" s="2"/>
      <c r="J242" s="7">
        <f t="shared" si="100"/>
        <v>4.5572055961809041E-3</v>
      </c>
      <c r="K242" s="2"/>
      <c r="L242" s="6">
        <f t="shared" si="101"/>
        <v>103.76999999999953</v>
      </c>
      <c r="M242" s="2"/>
      <c r="N242" s="7">
        <f t="shared" si="102"/>
        <v>2.446851656228767E-2</v>
      </c>
      <c r="O242" s="11"/>
      <c r="P242" s="6">
        <v>42868.45</v>
      </c>
      <c r="Q242" s="2"/>
      <c r="R242" s="7">
        <f t="shared" si="103"/>
        <v>3.8524069598689695E-3</v>
      </c>
      <c r="S242" s="2"/>
      <c r="T242" s="6">
        <v>40209.919999999998</v>
      </c>
      <c r="U242" s="2"/>
      <c r="V242" s="7">
        <f t="shared" si="104"/>
        <v>3.0435114669775556E-3</v>
      </c>
      <c r="W242" s="2"/>
      <c r="X242" s="6">
        <f t="shared" si="105"/>
        <v>2658.5299999999988</v>
      </c>
      <c r="Y242" s="2"/>
      <c r="Z242" s="7">
        <f t="shared" si="106"/>
        <v>6.6116271805564369E-2</v>
      </c>
    </row>
    <row r="243" spans="1:26" s="24" customFormat="1" hidden="1" outlineLevel="2" x14ac:dyDescent="0.25">
      <c r="A243" s="27"/>
      <c r="B243" s="11" t="str">
        <f>CONCATENATE("          ", "6286", " - ", "LAUNDRY EXPENSE")</f>
        <v xml:space="preserve">          6286 - LAUNDRY EXPENSE</v>
      </c>
      <c r="C243" s="11"/>
      <c r="D243" s="6"/>
      <c r="E243" s="2"/>
      <c r="F243" s="7">
        <f t="shared" si="99"/>
        <v>0</v>
      </c>
      <c r="G243" s="2"/>
      <c r="H243" s="6">
        <v>810.96</v>
      </c>
      <c r="I243" s="2"/>
      <c r="J243" s="7">
        <f t="shared" si="100"/>
        <v>8.7143275349894033E-4</v>
      </c>
      <c r="K243" s="2"/>
      <c r="L243" s="6">
        <f t="shared" si="101"/>
        <v>-810.96</v>
      </c>
      <c r="M243" s="2"/>
      <c r="N243" s="7">
        <f t="shared" si="102"/>
        <v>-1</v>
      </c>
      <c r="O243" s="11"/>
      <c r="P243" s="6">
        <v>6057.64</v>
      </c>
      <c r="Q243" s="2"/>
      <c r="R243" s="7">
        <f t="shared" si="103"/>
        <v>5.4437458075532624E-4</v>
      </c>
      <c r="S243" s="2"/>
      <c r="T243" s="6">
        <v>6590.81</v>
      </c>
      <c r="U243" s="2"/>
      <c r="V243" s="7">
        <f t="shared" si="104"/>
        <v>4.9886211690225554E-4</v>
      </c>
      <c r="W243" s="2"/>
      <c r="X243" s="6">
        <f t="shared" si="105"/>
        <v>-533.17000000000007</v>
      </c>
      <c r="Y243" s="2"/>
      <c r="Z243" s="7">
        <f t="shared" si="106"/>
        <v>-8.0895974849828786E-2</v>
      </c>
    </row>
    <row r="244" spans="1:26" s="25" customFormat="1" outlineLevel="1" collapsed="1" x14ac:dyDescent="0.25">
      <c r="A244" s="26"/>
      <c r="B244" s="13" t="str">
        <f>CONCATENATE("     ","Subscriptions &amp; Dues                              ")</f>
        <v xml:space="preserve">     Subscriptions &amp; Dues                              </v>
      </c>
      <c r="C244" s="13"/>
      <c r="D244" s="1">
        <f>SUM(OSRRefD22_20x_0)</f>
        <v>2177.08</v>
      </c>
      <c r="E244" s="1"/>
      <c r="F244" s="5">
        <f t="shared" ref="F244:F246" si="107">IF(D$12=0,0,D244/D$12)</f>
        <v>1.3203878219229212E-2</v>
      </c>
      <c r="G244" s="1"/>
      <c r="H244" s="1">
        <f>SUM(OSRRefH22_20x_0)</f>
        <v>942.59</v>
      </c>
      <c r="I244" s="1"/>
      <c r="J244" s="5">
        <f t="shared" ref="J244:J246" si="108">IF(H$12=0,0,H244/H$12)</f>
        <v>1.0128783159718928E-3</v>
      </c>
      <c r="K244" s="1"/>
      <c r="L244" s="1">
        <f t="shared" ref="L244:L246" si="109">+D244-H244</f>
        <v>1234.4899999999998</v>
      </c>
      <c r="M244" s="1"/>
      <c r="N244" s="5">
        <f t="shared" ref="N244:N246" si="110">IF(H244=0,0,L244/H244)</f>
        <v>1.3096786513754652</v>
      </c>
      <c r="O244" s="13"/>
      <c r="P244" s="1">
        <f>SUM(OSRRefP22_20x_0)</f>
        <v>8510.0499999999993</v>
      </c>
      <c r="Q244" s="1"/>
      <c r="R244" s="5">
        <f t="shared" ref="R244:R246" si="111">IF(P$12=0,0,P244/P$12)</f>
        <v>7.6476233334382096E-4</v>
      </c>
      <c r="S244" s="1"/>
      <c r="T244" s="1">
        <f>SUM(OSRRefT22_20x_0)</f>
        <v>16490.64</v>
      </c>
      <c r="U244" s="1"/>
      <c r="V244" s="5">
        <f t="shared" ref="V244:V246" si="112">IF(T$12=0,0,T244/T$12)</f>
        <v>1.2481858192654638E-3</v>
      </c>
      <c r="W244" s="1"/>
      <c r="X244" s="1">
        <f t="shared" ref="X244:X246" si="113">+P244-T244</f>
        <v>-7980.59</v>
      </c>
      <c r="Y244" s="1"/>
      <c r="Z244" s="5">
        <f t="shared" ref="Z244:Z246" si="114">IF(T244=0,0,X244/T244)</f>
        <v>-0.48394665094865941</v>
      </c>
    </row>
    <row r="245" spans="1:26" s="24" customFormat="1" hidden="1" outlineLevel="2" x14ac:dyDescent="0.25">
      <c r="A245" s="27"/>
      <c r="B245" s="11" t="str">
        <f>CONCATENATE("          ", "6258", " - ", "MEMBERSHIP DUES")</f>
        <v xml:space="preserve">          6258 - MEMBERSHIP DUES</v>
      </c>
      <c r="C245" s="11"/>
      <c r="D245" s="6">
        <v>250</v>
      </c>
      <c r="E245" s="2"/>
      <c r="F245" s="7">
        <f t="shared" si="107"/>
        <v>1.5162371409444314E-3</v>
      </c>
      <c r="G245" s="2"/>
      <c r="H245" s="6">
        <v>474.23</v>
      </c>
      <c r="I245" s="2"/>
      <c r="J245" s="7">
        <f t="shared" si="108"/>
        <v>5.0959301900439292E-4</v>
      </c>
      <c r="K245" s="2"/>
      <c r="L245" s="6">
        <f t="shared" si="109"/>
        <v>-224.23000000000002</v>
      </c>
      <c r="M245" s="2"/>
      <c r="N245" s="7">
        <f t="shared" si="110"/>
        <v>-0.47282963962634167</v>
      </c>
      <c r="O245" s="11"/>
      <c r="P245" s="6">
        <v>4306.41</v>
      </c>
      <c r="Q245" s="2"/>
      <c r="R245" s="7">
        <f t="shared" si="111"/>
        <v>3.8699892009273323E-4</v>
      </c>
      <c r="S245" s="2"/>
      <c r="T245" s="6">
        <v>6440.8</v>
      </c>
      <c r="U245" s="2"/>
      <c r="V245" s="7">
        <f t="shared" si="112"/>
        <v>4.8750777560634394E-4</v>
      </c>
      <c r="W245" s="2"/>
      <c r="X245" s="6">
        <f t="shared" si="113"/>
        <v>-2134.3900000000003</v>
      </c>
      <c r="Y245" s="2"/>
      <c r="Z245" s="7">
        <f t="shared" si="114"/>
        <v>-0.33138585268910697</v>
      </c>
    </row>
    <row r="246" spans="1:26" s="24" customFormat="1" hidden="1" outlineLevel="2" x14ac:dyDescent="0.25">
      <c r="A246" s="27"/>
      <c r="B246" s="11" t="str">
        <f>CONCATENATE("          ", "6275", " - ", "SUBSCRIPTIONS")</f>
        <v xml:space="preserve">          6275 - SUBSCRIPTIONS</v>
      </c>
      <c r="C246" s="11"/>
      <c r="D246" s="6">
        <v>1927.08</v>
      </c>
      <c r="E246" s="2"/>
      <c r="F246" s="7">
        <f t="shared" si="107"/>
        <v>1.168764107828478E-2</v>
      </c>
      <c r="G246" s="2"/>
      <c r="H246" s="6">
        <v>468.36</v>
      </c>
      <c r="I246" s="2"/>
      <c r="J246" s="7">
        <f t="shared" si="108"/>
        <v>5.0328529696749987E-4</v>
      </c>
      <c r="K246" s="2"/>
      <c r="L246" s="6">
        <f t="shared" si="109"/>
        <v>1458.7199999999998</v>
      </c>
      <c r="M246" s="2"/>
      <c r="N246" s="7">
        <f t="shared" si="110"/>
        <v>3.1145272867025362</v>
      </c>
      <c r="O246" s="11"/>
      <c r="P246" s="6">
        <v>4203.6400000000003</v>
      </c>
      <c r="Q246" s="2"/>
      <c r="R246" s="7">
        <f t="shared" si="111"/>
        <v>3.7776341325108784E-4</v>
      </c>
      <c r="S246" s="2"/>
      <c r="T246" s="6">
        <v>10049.84</v>
      </c>
      <c r="U246" s="2"/>
      <c r="V246" s="7">
        <f t="shared" si="112"/>
        <v>7.6067804365911992E-4</v>
      </c>
      <c r="W246" s="2"/>
      <c r="X246" s="6">
        <f t="shared" si="113"/>
        <v>-5846.2</v>
      </c>
      <c r="Y246" s="2"/>
      <c r="Z246" s="7">
        <f t="shared" si="114"/>
        <v>-0.58172070401120812</v>
      </c>
    </row>
    <row r="247" spans="1:26" s="25" customFormat="1" outlineLevel="1" collapsed="1" x14ac:dyDescent="0.25">
      <c r="A247" s="26"/>
      <c r="B247" s="13" t="str">
        <f>CONCATENATE("     ","Supplies                                          ")</f>
        <v xml:space="preserve">     Supplies                                          </v>
      </c>
      <c r="C247" s="13"/>
      <c r="D247" s="1">
        <f>SUM(OSRRefD22_21x_0)</f>
        <v>5388.7699999999995</v>
      </c>
      <c r="E247" s="1"/>
      <c r="F247" s="5">
        <f t="shared" ref="F247:F255" si="115">IF(D$12=0,0,D247/D$12)</f>
        <v>3.2682612872028491E-2</v>
      </c>
      <c r="G247" s="1"/>
      <c r="H247" s="1">
        <f>SUM(OSRRefH22_21x_0)</f>
        <v>13750.460000000001</v>
      </c>
      <c r="I247" s="1"/>
      <c r="J247" s="5">
        <f t="shared" ref="J247:J255" si="116">IF(H$12=0,0,H247/H$12)</f>
        <v>1.4775822752881819E-2</v>
      </c>
      <c r="K247" s="1"/>
      <c r="L247" s="1">
        <f t="shared" ref="L247:L255" si="117">+D247-H247</f>
        <v>-8361.6900000000023</v>
      </c>
      <c r="M247" s="1"/>
      <c r="N247" s="5">
        <f t="shared" ref="N247:N255" si="118">IF(H247=0,0,L247/H247)</f>
        <v>-0.60810256529599749</v>
      </c>
      <c r="O247" s="13"/>
      <c r="P247" s="1">
        <f>SUM(OSRRefP22_21x_0)</f>
        <v>138042.44999999998</v>
      </c>
      <c r="Q247" s="1"/>
      <c r="R247" s="5">
        <f t="shared" ref="R247:R255" si="119">IF(P$12=0,0,P247/P$12)</f>
        <v>1.2405293289992155E-2</v>
      </c>
      <c r="S247" s="1"/>
      <c r="T247" s="1">
        <f>SUM(OSRRefT22_21x_0)</f>
        <v>194427.69</v>
      </c>
      <c r="U247" s="1"/>
      <c r="V247" s="5">
        <f t="shared" ref="V247:V255" si="120">IF(T$12=0,0,T247/T$12)</f>
        <v>1.4716341241488603E-2</v>
      </c>
      <c r="W247" s="1"/>
      <c r="X247" s="1">
        <f t="shared" ref="X247:X255" si="121">+P247-T247</f>
        <v>-56385.24000000002</v>
      </c>
      <c r="Y247" s="1"/>
      <c r="Z247" s="5">
        <f t="shared" ref="Z247:Z255" si="122">IF(T247=0,0,X247/T247)</f>
        <v>-0.29000622287905609</v>
      </c>
    </row>
    <row r="248" spans="1:26" s="24" customFormat="1" hidden="1" outlineLevel="2" x14ac:dyDescent="0.25">
      <c r="A248" s="27"/>
      <c r="B248" s="11" t="str">
        <f>CONCATENATE("          ", "6234", " - ", "EXPENDABLE SUPPLIES &amp; EQUIPMEN")</f>
        <v xml:space="preserve">          6234 - EXPENDABLE SUPPLIES &amp; EQUIPMEN</v>
      </c>
      <c r="C248" s="11"/>
      <c r="D248" s="6">
        <v>140.1</v>
      </c>
      <c r="E248" s="2"/>
      <c r="F248" s="7">
        <f t="shared" si="115"/>
        <v>8.4969929378525934E-4</v>
      </c>
      <c r="G248" s="2"/>
      <c r="H248" s="6">
        <v>131.38999999999999</v>
      </c>
      <c r="I248" s="2"/>
      <c r="J248" s="7">
        <f t="shared" si="116"/>
        <v>1.4118766583089888E-4</v>
      </c>
      <c r="K248" s="2"/>
      <c r="L248" s="6">
        <f t="shared" si="117"/>
        <v>8.710000000000008</v>
      </c>
      <c r="M248" s="2"/>
      <c r="N248" s="7">
        <f t="shared" si="118"/>
        <v>6.6291194154806374E-2</v>
      </c>
      <c r="O248" s="11"/>
      <c r="P248" s="6">
        <v>4534.26</v>
      </c>
      <c r="Q248" s="2"/>
      <c r="R248" s="7">
        <f t="shared" si="119"/>
        <v>4.0747483946481565E-4</v>
      </c>
      <c r="S248" s="2"/>
      <c r="T248" s="6">
        <v>4620.76</v>
      </c>
      <c r="U248" s="2"/>
      <c r="V248" s="7">
        <f t="shared" si="120"/>
        <v>3.4974792404837441E-4</v>
      </c>
      <c r="W248" s="2"/>
      <c r="X248" s="6">
        <f t="shared" si="121"/>
        <v>-86.5</v>
      </c>
      <c r="Y248" s="2"/>
      <c r="Z248" s="7">
        <f t="shared" si="122"/>
        <v>-1.8719864264752983E-2</v>
      </c>
    </row>
    <row r="249" spans="1:26" s="24" customFormat="1" hidden="1" outlineLevel="2" x14ac:dyDescent="0.25">
      <c r="A249" s="27"/>
      <c r="B249" s="11" t="str">
        <f>CONCATENATE("          ", "6237", " - ", "JANITORIAL SUPPLIES")</f>
        <v xml:space="preserve">          6237 - JANITORIAL SUPPLIES</v>
      </c>
      <c r="C249" s="11"/>
      <c r="D249" s="6">
        <v>482.39</v>
      </c>
      <c r="E249" s="2"/>
      <c r="F249" s="7">
        <f t="shared" si="115"/>
        <v>2.9256705376807372E-3</v>
      </c>
      <c r="G249" s="2"/>
      <c r="H249" s="6">
        <v>1633.21</v>
      </c>
      <c r="I249" s="2"/>
      <c r="J249" s="7">
        <f t="shared" si="116"/>
        <v>1.7549973948678163E-3</v>
      </c>
      <c r="K249" s="2"/>
      <c r="L249" s="6">
        <f t="shared" si="117"/>
        <v>-1150.8200000000002</v>
      </c>
      <c r="M249" s="2"/>
      <c r="N249" s="7">
        <f t="shared" si="118"/>
        <v>-0.70463688074405628</v>
      </c>
      <c r="O249" s="11"/>
      <c r="P249" s="6">
        <v>9724.01</v>
      </c>
      <c r="Q249" s="2"/>
      <c r="R249" s="7">
        <f t="shared" si="119"/>
        <v>8.7385580308677968E-4</v>
      </c>
      <c r="S249" s="2"/>
      <c r="T249" s="6">
        <v>12763.95</v>
      </c>
      <c r="U249" s="2"/>
      <c r="V249" s="7">
        <f t="shared" si="120"/>
        <v>9.6611055652257385E-4</v>
      </c>
      <c r="W249" s="2"/>
      <c r="X249" s="6">
        <f t="shared" si="121"/>
        <v>-3039.9400000000005</v>
      </c>
      <c r="Y249" s="2"/>
      <c r="Z249" s="7">
        <f t="shared" si="122"/>
        <v>-0.23816608495019179</v>
      </c>
    </row>
    <row r="250" spans="1:26" s="24" customFormat="1" hidden="1" outlineLevel="2" x14ac:dyDescent="0.25">
      <c r="A250" s="27"/>
      <c r="B250" s="11" t="str">
        <f>CONCATENATE("          ", "6239", " - ", "KITCHEN SUPPLIES")</f>
        <v xml:space="preserve">          6239 - KITCHEN SUPPLIES</v>
      </c>
      <c r="C250" s="11"/>
      <c r="D250" s="6"/>
      <c r="E250" s="2"/>
      <c r="F250" s="7">
        <f t="shared" si="115"/>
        <v>0</v>
      </c>
      <c r="G250" s="2"/>
      <c r="H250" s="6"/>
      <c r="I250" s="2"/>
      <c r="J250" s="7">
        <f t="shared" si="116"/>
        <v>0</v>
      </c>
      <c r="K250" s="2"/>
      <c r="L250" s="6">
        <f t="shared" si="117"/>
        <v>0</v>
      </c>
      <c r="M250" s="2"/>
      <c r="N250" s="7">
        <f t="shared" si="118"/>
        <v>0</v>
      </c>
      <c r="O250" s="11"/>
      <c r="P250" s="6">
        <v>441.2</v>
      </c>
      <c r="Q250" s="2"/>
      <c r="R250" s="7">
        <f t="shared" si="119"/>
        <v>3.9648784845129442E-5</v>
      </c>
      <c r="S250" s="2"/>
      <c r="T250" s="6">
        <v>61.06</v>
      </c>
      <c r="U250" s="2"/>
      <c r="V250" s="7">
        <f t="shared" si="120"/>
        <v>4.6216657524722645E-6</v>
      </c>
      <c r="W250" s="2"/>
      <c r="X250" s="6">
        <f t="shared" si="121"/>
        <v>380.14</v>
      </c>
      <c r="Y250" s="2"/>
      <c r="Z250" s="7">
        <f t="shared" si="122"/>
        <v>6.2256796593514574</v>
      </c>
    </row>
    <row r="251" spans="1:26" s="24" customFormat="1" hidden="1" outlineLevel="2" x14ac:dyDescent="0.25">
      <c r="A251" s="27"/>
      <c r="B251" s="11" t="str">
        <f>CONCATENATE("          ", "6241", " - ", "OFFICE EXPENSE")</f>
        <v xml:space="preserve">          6241 - OFFICE EXPENSE</v>
      </c>
      <c r="C251" s="11"/>
      <c r="D251" s="6">
        <v>674.84</v>
      </c>
      <c r="E251" s="2"/>
      <c r="F251" s="7">
        <f t="shared" si="115"/>
        <v>4.0928698887797606E-3</v>
      </c>
      <c r="G251" s="2"/>
      <c r="H251" s="6">
        <v>2499.5500000000002</v>
      </c>
      <c r="I251" s="2"/>
      <c r="J251" s="7">
        <f t="shared" si="116"/>
        <v>2.6859397985206129E-3</v>
      </c>
      <c r="K251" s="2"/>
      <c r="L251" s="6">
        <f t="shared" si="117"/>
        <v>-1824.71</v>
      </c>
      <c r="M251" s="2"/>
      <c r="N251" s="7">
        <f t="shared" si="118"/>
        <v>-0.73001540277249899</v>
      </c>
      <c r="O251" s="11"/>
      <c r="P251" s="6">
        <v>25457.89</v>
      </c>
      <c r="Q251" s="2"/>
      <c r="R251" s="7">
        <f t="shared" si="119"/>
        <v>2.2877932983249604E-3</v>
      </c>
      <c r="S251" s="2"/>
      <c r="T251" s="6">
        <v>40373</v>
      </c>
      <c r="U251" s="2"/>
      <c r="V251" s="7">
        <f t="shared" si="120"/>
        <v>3.0558550839266739E-3</v>
      </c>
      <c r="W251" s="2"/>
      <c r="X251" s="6">
        <f t="shared" si="121"/>
        <v>-14915.11</v>
      </c>
      <c r="Y251" s="2"/>
      <c r="Z251" s="7">
        <f t="shared" si="122"/>
        <v>-0.3694327892403339</v>
      </c>
    </row>
    <row r="252" spans="1:26" s="24" customFormat="1" hidden="1" outlineLevel="2" x14ac:dyDescent="0.25">
      <c r="A252" s="27"/>
      <c r="B252" s="11" t="str">
        <f>CONCATENATE("          ", "6243", " - ", "PAPER SUPPLIES")</f>
        <v xml:space="preserve">          6243 - PAPER SUPPLIES</v>
      </c>
      <c r="C252" s="11"/>
      <c r="D252" s="6">
        <v>791.44</v>
      </c>
      <c r="E252" s="2"/>
      <c r="F252" s="7">
        <f t="shared" si="115"/>
        <v>4.8000428913162439E-3</v>
      </c>
      <c r="G252" s="2"/>
      <c r="H252" s="6">
        <v>5489.3</v>
      </c>
      <c r="I252" s="2"/>
      <c r="J252" s="7">
        <f t="shared" si="116"/>
        <v>5.8986334884355987E-3</v>
      </c>
      <c r="K252" s="2"/>
      <c r="L252" s="6">
        <f t="shared" si="117"/>
        <v>-4697.8600000000006</v>
      </c>
      <c r="M252" s="2"/>
      <c r="N252" s="7">
        <f t="shared" si="118"/>
        <v>-0.85582132512342202</v>
      </c>
      <c r="O252" s="11"/>
      <c r="P252" s="6">
        <v>22853.279999999999</v>
      </c>
      <c r="Q252" s="2"/>
      <c r="R252" s="7">
        <f t="shared" si="119"/>
        <v>2.0537279730859018E-3</v>
      </c>
      <c r="S252" s="2"/>
      <c r="T252" s="6">
        <v>40134.97</v>
      </c>
      <c r="U252" s="2"/>
      <c r="V252" s="7">
        <f t="shared" si="120"/>
        <v>3.0378384593105429E-3</v>
      </c>
      <c r="W252" s="2"/>
      <c r="X252" s="6">
        <f t="shared" si="121"/>
        <v>-17281.690000000002</v>
      </c>
      <c r="Y252" s="2"/>
      <c r="Z252" s="7">
        <f t="shared" si="122"/>
        <v>-0.43058933393995313</v>
      </c>
    </row>
    <row r="253" spans="1:26" s="24" customFormat="1" hidden="1" outlineLevel="2" x14ac:dyDescent="0.25">
      <c r="A253" s="27"/>
      <c r="B253" s="11" t="str">
        <f>CONCATENATE("          ", "6245", " - ", "PRINTING")</f>
        <v xml:space="preserve">          6245 - PRINTING</v>
      </c>
      <c r="C253" s="11"/>
      <c r="D253" s="6">
        <v>485.1</v>
      </c>
      <c r="E253" s="2"/>
      <c r="F253" s="7">
        <f t="shared" si="115"/>
        <v>2.942106548288575E-3</v>
      </c>
      <c r="G253" s="2"/>
      <c r="H253" s="6">
        <v>22</v>
      </c>
      <c r="I253" s="2"/>
      <c r="J253" s="7">
        <f t="shared" si="116"/>
        <v>2.3640525521575276E-5</v>
      </c>
      <c r="K253" s="2"/>
      <c r="L253" s="6">
        <f t="shared" si="117"/>
        <v>463.1</v>
      </c>
      <c r="M253" s="2"/>
      <c r="N253" s="7">
        <f t="shared" si="118"/>
        <v>21.05</v>
      </c>
      <c r="O253" s="11"/>
      <c r="P253" s="6">
        <v>10643.19</v>
      </c>
      <c r="Q253" s="2"/>
      <c r="R253" s="7">
        <f t="shared" si="119"/>
        <v>9.5645863639128123E-4</v>
      </c>
      <c r="S253" s="2"/>
      <c r="T253" s="6">
        <v>12344.86</v>
      </c>
      <c r="U253" s="2"/>
      <c r="V253" s="7">
        <f t="shared" si="120"/>
        <v>9.3438939864174189E-4</v>
      </c>
      <c r="W253" s="2"/>
      <c r="X253" s="6">
        <f t="shared" si="121"/>
        <v>-1701.67</v>
      </c>
      <c r="Y253" s="2"/>
      <c r="Z253" s="7">
        <f t="shared" si="122"/>
        <v>-0.13784441459846447</v>
      </c>
    </row>
    <row r="254" spans="1:26" s="24" customFormat="1" hidden="1" outlineLevel="2" x14ac:dyDescent="0.25">
      <c r="A254" s="27"/>
      <c r="B254" s="11" t="str">
        <f>CONCATENATE("          ", "6247", " - ", "STORE SUPPLIES")</f>
        <v xml:space="preserve">          6247 - STORE SUPPLIES</v>
      </c>
      <c r="C254" s="11"/>
      <c r="D254" s="6">
        <v>2770.99</v>
      </c>
      <c r="E254" s="2"/>
      <c r="F254" s="7">
        <f t="shared" si="115"/>
        <v>1.6805911820742439E-2</v>
      </c>
      <c r="G254" s="2"/>
      <c r="H254" s="6">
        <v>3975.01</v>
      </c>
      <c r="I254" s="2"/>
      <c r="J254" s="7">
        <f t="shared" si="116"/>
        <v>4.2714238797053154E-3</v>
      </c>
      <c r="K254" s="2"/>
      <c r="L254" s="6">
        <f t="shared" si="117"/>
        <v>-1204.0200000000004</v>
      </c>
      <c r="M254" s="2"/>
      <c r="N254" s="7">
        <f t="shared" si="118"/>
        <v>-0.3028973512016323</v>
      </c>
      <c r="O254" s="11"/>
      <c r="P254" s="6">
        <v>64191.6</v>
      </c>
      <c r="Q254" s="2"/>
      <c r="R254" s="7">
        <f t="shared" si="119"/>
        <v>5.7686285976079133E-3</v>
      </c>
      <c r="S254" s="2"/>
      <c r="T254" s="6">
        <v>81001.13</v>
      </c>
      <c r="U254" s="2"/>
      <c r="V254" s="7">
        <f t="shared" si="120"/>
        <v>6.1310211010899727E-3</v>
      </c>
      <c r="W254" s="2"/>
      <c r="X254" s="6">
        <f t="shared" si="121"/>
        <v>-16809.530000000006</v>
      </c>
      <c r="Y254" s="2"/>
      <c r="Z254" s="7">
        <f t="shared" si="122"/>
        <v>-0.20752216666607004</v>
      </c>
    </row>
    <row r="255" spans="1:26" s="24" customFormat="1" hidden="1" outlineLevel="2" x14ac:dyDescent="0.25">
      <c r="A255" s="27"/>
      <c r="B255" s="11" t="str">
        <f>CONCATENATE("          ", "6248", " - ", "UNIFORMS")</f>
        <v xml:space="preserve">          6248 - UNIFORMS</v>
      </c>
      <c r="C255" s="11"/>
      <c r="D255" s="6">
        <v>43.91</v>
      </c>
      <c r="E255" s="2"/>
      <c r="F255" s="7">
        <f t="shared" si="115"/>
        <v>2.6631189143547994E-4</v>
      </c>
      <c r="G255" s="2"/>
      <c r="H255" s="6"/>
      <c r="I255" s="2"/>
      <c r="J255" s="7">
        <f t="shared" si="116"/>
        <v>0</v>
      </c>
      <c r="K255" s="2"/>
      <c r="L255" s="6">
        <f t="shared" si="117"/>
        <v>43.91</v>
      </c>
      <c r="M255" s="2"/>
      <c r="N255" s="7">
        <f t="shared" si="118"/>
        <v>0</v>
      </c>
      <c r="O255" s="11"/>
      <c r="P255" s="6">
        <v>197.02</v>
      </c>
      <c r="Q255" s="2"/>
      <c r="R255" s="7">
        <f t="shared" si="119"/>
        <v>1.7705357185374896E-5</v>
      </c>
      <c r="S255" s="2"/>
      <c r="T255" s="6">
        <v>3127.96</v>
      </c>
      <c r="U255" s="2"/>
      <c r="V255" s="7">
        <f t="shared" si="120"/>
        <v>2.3675705219625194E-4</v>
      </c>
      <c r="W255" s="2"/>
      <c r="X255" s="6">
        <f t="shared" si="121"/>
        <v>-2930.94</v>
      </c>
      <c r="Y255" s="2"/>
      <c r="Z255" s="7">
        <f t="shared" si="122"/>
        <v>-0.93701326103914373</v>
      </c>
    </row>
    <row r="256" spans="1:26" s="25" customFormat="1" outlineLevel="1" collapsed="1" x14ac:dyDescent="0.25">
      <c r="A256" s="26"/>
      <c r="B256" s="13" t="str">
        <f>CONCATENATE("     ","Telephone/Data Lines                              ")</f>
        <v xml:space="preserve">     Telephone/Data Lines                              </v>
      </c>
      <c r="C256" s="13"/>
      <c r="D256" s="1">
        <f>SUM(OSRRefD22_22x_0)</f>
        <v>3033.4</v>
      </c>
      <c r="E256" s="1"/>
      <c r="F256" s="5">
        <f t="shared" ref="F256:F258" si="123">IF(D$12=0,0,D256/D$12)</f>
        <v>1.8397414973363356E-2</v>
      </c>
      <c r="G256" s="1"/>
      <c r="H256" s="1">
        <f>SUM(OSRRefH22_22x_0)</f>
        <v>3258.9</v>
      </c>
      <c r="I256" s="1"/>
      <c r="J256" s="5">
        <f t="shared" ref="J256:J258" si="124">IF(H$12=0,0,H256/H$12)</f>
        <v>3.5019140282846212E-3</v>
      </c>
      <c r="K256" s="1"/>
      <c r="L256" s="1">
        <f t="shared" ref="L256:L258" si="125">+D256-H256</f>
        <v>-225.5</v>
      </c>
      <c r="M256" s="1"/>
      <c r="N256" s="5">
        <f t="shared" ref="N256:N258" si="126">IF(H256=0,0,L256/H256)</f>
        <v>-6.9195127190156192E-2</v>
      </c>
      <c r="O256" s="13"/>
      <c r="P256" s="1">
        <f>SUM(OSRRefP22_22x_0)</f>
        <v>29093.759999999998</v>
      </c>
      <c r="Q256" s="1"/>
      <c r="R256" s="5">
        <f t="shared" ref="R256:R258" si="127">IF(P$12=0,0,P256/P$12)</f>
        <v>2.6145336141791325E-3</v>
      </c>
      <c r="S256" s="1"/>
      <c r="T256" s="1">
        <f>SUM(OSRRefT22_22x_0)</f>
        <v>31118.449999999997</v>
      </c>
      <c r="U256" s="1"/>
      <c r="V256" s="5">
        <f t="shared" ref="V256:V258" si="128">IF(T$12=0,0,T256/T$12)</f>
        <v>2.3553729877992223E-3</v>
      </c>
      <c r="W256" s="1"/>
      <c r="X256" s="1">
        <f t="shared" ref="X256:X258" si="129">+P256-T256</f>
        <v>-2024.6899999999987</v>
      </c>
      <c r="Y256" s="1"/>
      <c r="Z256" s="5">
        <f t="shared" ref="Z256:Z258" si="130">IF(T256=0,0,X256/T256)</f>
        <v>-6.5063973302012121E-2</v>
      </c>
    </row>
    <row r="257" spans="1:26" s="24" customFormat="1" hidden="1" outlineLevel="2" x14ac:dyDescent="0.25">
      <c r="A257" s="27"/>
      <c r="B257" s="11" t="str">
        <f>CONCATENATE("          ", "6303", " - ", "DATA PHONE LINES")</f>
        <v xml:space="preserve">          6303 - DATA PHONE LINES</v>
      </c>
      <c r="C257" s="11"/>
      <c r="D257" s="6"/>
      <c r="E257" s="2"/>
      <c r="F257" s="7">
        <f t="shared" si="123"/>
        <v>0</v>
      </c>
      <c r="G257" s="2"/>
      <c r="H257" s="6">
        <v>295</v>
      </c>
      <c r="I257" s="2"/>
      <c r="J257" s="7">
        <f t="shared" si="124"/>
        <v>3.1699795585748666E-4</v>
      </c>
      <c r="K257" s="2"/>
      <c r="L257" s="6">
        <f t="shared" si="125"/>
        <v>-295</v>
      </c>
      <c r="M257" s="2"/>
      <c r="N257" s="7">
        <f t="shared" si="126"/>
        <v>-1</v>
      </c>
      <c r="O257" s="11"/>
      <c r="P257" s="6">
        <v>2360</v>
      </c>
      <c r="Q257" s="2"/>
      <c r="R257" s="7">
        <f t="shared" si="127"/>
        <v>2.1208325529126359E-4</v>
      </c>
      <c r="S257" s="2"/>
      <c r="T257" s="6">
        <v>2655</v>
      </c>
      <c r="U257" s="2"/>
      <c r="V257" s="7">
        <f t="shared" si="128"/>
        <v>2.0095844370805537E-4</v>
      </c>
      <c r="W257" s="2"/>
      <c r="X257" s="6">
        <f t="shared" si="129"/>
        <v>-295</v>
      </c>
      <c r="Y257" s="2"/>
      <c r="Z257" s="7">
        <f t="shared" si="130"/>
        <v>-0.1111111111111111</v>
      </c>
    </row>
    <row r="258" spans="1:26" s="24" customFormat="1" hidden="1" outlineLevel="2" x14ac:dyDescent="0.25">
      <c r="A258" s="27"/>
      <c r="B258" s="11" t="str">
        <f>CONCATENATE("          ", "6309", " - ", "TELEPHONE")</f>
        <v xml:space="preserve">          6309 - TELEPHONE</v>
      </c>
      <c r="C258" s="11"/>
      <c r="D258" s="6">
        <v>3033.4</v>
      </c>
      <c r="E258" s="2"/>
      <c r="F258" s="7">
        <f t="shared" si="123"/>
        <v>1.8397414973363356E-2</v>
      </c>
      <c r="G258" s="2"/>
      <c r="H258" s="6">
        <v>2963.9</v>
      </c>
      <c r="I258" s="2"/>
      <c r="J258" s="7">
        <f t="shared" si="124"/>
        <v>3.1849160724271345E-3</v>
      </c>
      <c r="K258" s="2"/>
      <c r="L258" s="6">
        <f t="shared" si="125"/>
        <v>69.5</v>
      </c>
      <c r="M258" s="2"/>
      <c r="N258" s="7">
        <f t="shared" si="126"/>
        <v>2.3448834306150679E-2</v>
      </c>
      <c r="O258" s="11"/>
      <c r="P258" s="6">
        <v>26733.759999999998</v>
      </c>
      <c r="Q258" s="2"/>
      <c r="R258" s="7">
        <f t="shared" si="127"/>
        <v>2.4024503588878691E-3</v>
      </c>
      <c r="S258" s="2"/>
      <c r="T258" s="6">
        <v>28463.449999999997</v>
      </c>
      <c r="U258" s="2"/>
      <c r="V258" s="7">
        <f t="shared" si="128"/>
        <v>2.154414544091167E-3</v>
      </c>
      <c r="W258" s="2"/>
      <c r="X258" s="6">
        <f t="shared" si="129"/>
        <v>-1729.6899999999987</v>
      </c>
      <c r="Y258" s="2"/>
      <c r="Z258" s="7">
        <f t="shared" si="130"/>
        <v>-6.0768810527184823E-2</v>
      </c>
    </row>
    <row r="259" spans="1:26" s="25" customFormat="1" outlineLevel="1" collapsed="1" x14ac:dyDescent="0.25">
      <c r="A259" s="26"/>
      <c r="B259" s="13" t="str">
        <f>CONCATENATE("     ","Training                                          ")</f>
        <v xml:space="preserve">     Training                                          </v>
      </c>
      <c r="C259" s="13"/>
      <c r="D259" s="1">
        <f>SUM(OSRRefD22_23x_0)</f>
        <v>1350</v>
      </c>
      <c r="E259" s="1"/>
      <c r="F259" s="5">
        <f t="shared" ref="F259:F264" si="131">IF(D$12=0,0,D259/D$12)</f>
        <v>8.1876805610999297E-3</v>
      </c>
      <c r="G259" s="1"/>
      <c r="H259" s="1">
        <f>SUM(OSRRefH22_23x_0)</f>
        <v>2345.08</v>
      </c>
      <c r="I259" s="1"/>
      <c r="J259" s="5">
        <f t="shared" ref="J259:J264" si="132">IF(H$12=0,0,H259/H$12)</f>
        <v>2.5199510722788976E-3</v>
      </c>
      <c r="K259" s="1"/>
      <c r="L259" s="1">
        <f t="shared" ref="L259:L264" si="133">+D259-H259</f>
        <v>-995.07999999999993</v>
      </c>
      <c r="M259" s="1"/>
      <c r="N259" s="5">
        <f t="shared" ref="N259:N264" si="134">IF(H259=0,0,L259/H259)</f>
        <v>-0.42432667542258684</v>
      </c>
      <c r="O259" s="13"/>
      <c r="P259" s="1">
        <f>SUM(OSRRefP22_23x_0)</f>
        <v>21826.880000000001</v>
      </c>
      <c r="Q259" s="1"/>
      <c r="R259" s="5">
        <f t="shared" ref="R259:R264" si="135">IF(P$12=0,0,P259/P$12)</f>
        <v>1.9614897301914302E-3</v>
      </c>
      <c r="S259" s="1"/>
      <c r="T259" s="1">
        <f>SUM(OSRRefT22_23x_0)</f>
        <v>21031.21</v>
      </c>
      <c r="U259" s="1"/>
      <c r="V259" s="5">
        <f t="shared" ref="V259:V264" si="136">IF(T$12=0,0,T259/T$12)</f>
        <v>1.5918641170987913E-3</v>
      </c>
      <c r="W259" s="1"/>
      <c r="X259" s="1">
        <f t="shared" ref="X259:X264" si="137">+P259-T259</f>
        <v>795.67000000000189</v>
      </c>
      <c r="Y259" s="1"/>
      <c r="Z259" s="5">
        <f t="shared" ref="Z259:Z264" si="138">IF(T259=0,0,X259/T259)</f>
        <v>3.7832820841026356E-2</v>
      </c>
    </row>
    <row r="260" spans="1:26" s="24" customFormat="1" hidden="1" outlineLevel="2" x14ac:dyDescent="0.25">
      <c r="A260" s="27"/>
      <c r="B260" s="11" t="str">
        <f>CONCATENATE("          ", "6376", " - ", "TRAINING")</f>
        <v xml:space="preserve">          6376 - TRAINING</v>
      </c>
      <c r="C260" s="11"/>
      <c r="D260" s="6">
        <v>1350</v>
      </c>
      <c r="E260" s="2"/>
      <c r="F260" s="7">
        <f t="shared" si="131"/>
        <v>8.1876805610999297E-3</v>
      </c>
      <c r="G260" s="2"/>
      <c r="H260" s="6">
        <v>2345.08</v>
      </c>
      <c r="I260" s="2"/>
      <c r="J260" s="7">
        <f t="shared" si="132"/>
        <v>2.5199510722788976E-3</v>
      </c>
      <c r="K260" s="2"/>
      <c r="L260" s="6">
        <f t="shared" si="133"/>
        <v>-995.07999999999993</v>
      </c>
      <c r="M260" s="2"/>
      <c r="N260" s="7">
        <f t="shared" si="134"/>
        <v>-0.42432667542258684</v>
      </c>
      <c r="O260" s="11"/>
      <c r="P260" s="6">
        <v>21826.880000000001</v>
      </c>
      <c r="Q260" s="2"/>
      <c r="R260" s="7">
        <f t="shared" si="135"/>
        <v>1.9614897301914302E-3</v>
      </c>
      <c r="S260" s="2"/>
      <c r="T260" s="6">
        <v>21031.21</v>
      </c>
      <c r="U260" s="2"/>
      <c r="V260" s="7">
        <f t="shared" si="136"/>
        <v>1.5918641170987913E-3</v>
      </c>
      <c r="W260" s="2"/>
      <c r="X260" s="6">
        <f t="shared" si="137"/>
        <v>795.67000000000189</v>
      </c>
      <c r="Y260" s="2"/>
      <c r="Z260" s="7">
        <f t="shared" si="138"/>
        <v>3.7832820841026356E-2</v>
      </c>
    </row>
    <row r="261" spans="1:26" s="25" customFormat="1" outlineLevel="1" collapsed="1" x14ac:dyDescent="0.25">
      <c r="A261" s="26"/>
      <c r="B261" s="13" t="str">
        <f>CONCATENATE("     ","Travel                                            ")</f>
        <v xml:space="preserve">     Travel                                            </v>
      </c>
      <c r="C261" s="13"/>
      <c r="D261" s="1">
        <f>SUM(OSRRefD22_24x_0)</f>
        <v>151.44999999999999</v>
      </c>
      <c r="E261" s="1"/>
      <c r="F261" s="5">
        <f t="shared" si="131"/>
        <v>9.1853645998413657E-4</v>
      </c>
      <c r="G261" s="1"/>
      <c r="H261" s="1">
        <f>SUM(OSRRefH22_24x_0)</f>
        <v>200.95</v>
      </c>
      <c r="I261" s="1"/>
      <c r="J261" s="5">
        <f t="shared" si="132"/>
        <v>2.1593470925275235E-4</v>
      </c>
      <c r="K261" s="1"/>
      <c r="L261" s="1">
        <f t="shared" si="133"/>
        <v>-49.5</v>
      </c>
      <c r="M261" s="1"/>
      <c r="N261" s="5">
        <f t="shared" si="134"/>
        <v>-0.24632993281910925</v>
      </c>
      <c r="O261" s="13"/>
      <c r="P261" s="1">
        <f>SUM(OSRRefP22_24x_0)</f>
        <v>1383.79</v>
      </c>
      <c r="Q261" s="1"/>
      <c r="R261" s="5">
        <f t="shared" si="135"/>
        <v>1.2435537620317697E-4</v>
      </c>
      <c r="S261" s="1"/>
      <c r="T261" s="1">
        <f>SUM(OSRRefT22_24x_0)</f>
        <v>3556.76</v>
      </c>
      <c r="U261" s="1"/>
      <c r="V261" s="5">
        <f t="shared" si="136"/>
        <v>2.6921316543994844E-4</v>
      </c>
      <c r="W261" s="1"/>
      <c r="X261" s="1">
        <f t="shared" si="137"/>
        <v>-2172.9700000000003</v>
      </c>
      <c r="Y261" s="1"/>
      <c r="Z261" s="5">
        <f t="shared" si="138"/>
        <v>-0.61094085628493355</v>
      </c>
    </row>
    <row r="262" spans="1:26" s="24" customFormat="1" hidden="1" outlineLevel="2" x14ac:dyDescent="0.25">
      <c r="A262" s="27"/>
      <c r="B262" s="11" t="str">
        <f>CONCATENATE("          ", "6292", " - ", "TRAVEL/CONFERENCE")</f>
        <v xml:space="preserve">          6292 - TRAVEL/CONFERENCE</v>
      </c>
      <c r="C262" s="11"/>
      <c r="D262" s="6"/>
      <c r="E262" s="2"/>
      <c r="F262" s="7">
        <f t="shared" si="131"/>
        <v>0</v>
      </c>
      <c r="G262" s="2"/>
      <c r="H262" s="6">
        <v>47.96</v>
      </c>
      <c r="I262" s="2"/>
      <c r="J262" s="7">
        <f t="shared" si="132"/>
        <v>5.1536345637034106E-5</v>
      </c>
      <c r="K262" s="2"/>
      <c r="L262" s="6">
        <f t="shared" si="133"/>
        <v>-47.96</v>
      </c>
      <c r="M262" s="2"/>
      <c r="N262" s="7">
        <f t="shared" si="134"/>
        <v>-1</v>
      </c>
      <c r="O262" s="11"/>
      <c r="P262" s="6">
        <v>504.66</v>
      </c>
      <c r="Q262" s="2"/>
      <c r="R262" s="7">
        <f t="shared" si="135"/>
        <v>4.5351667633597068E-5</v>
      </c>
      <c r="S262" s="2"/>
      <c r="T262" s="6">
        <v>2403.5100000000002</v>
      </c>
      <c r="U262" s="2"/>
      <c r="V262" s="7">
        <f t="shared" si="136"/>
        <v>1.8192302411930254E-4</v>
      </c>
      <c r="W262" s="2"/>
      <c r="X262" s="6">
        <f t="shared" si="137"/>
        <v>-1898.8500000000001</v>
      </c>
      <c r="Y262" s="2"/>
      <c r="Z262" s="7">
        <f t="shared" si="138"/>
        <v>-0.79003207808579945</v>
      </c>
    </row>
    <row r="263" spans="1:26" s="24" customFormat="1" hidden="1" outlineLevel="2" x14ac:dyDescent="0.25">
      <c r="A263" s="27"/>
      <c r="B263" s="11" t="str">
        <f>CONCATENATE("          ", "6294", " - ", "TRAVEL OPERATIONAL")</f>
        <v xml:space="preserve">          6294 - TRAVEL OPERATIONAL</v>
      </c>
      <c r="C263" s="11"/>
      <c r="D263" s="6"/>
      <c r="E263" s="2"/>
      <c r="F263" s="7">
        <f t="shared" si="131"/>
        <v>0</v>
      </c>
      <c r="G263" s="2"/>
      <c r="H263" s="6">
        <v>106.79</v>
      </c>
      <c r="I263" s="2"/>
      <c r="J263" s="7">
        <f t="shared" si="132"/>
        <v>1.1475326002041018E-4</v>
      </c>
      <c r="K263" s="2"/>
      <c r="L263" s="6">
        <f t="shared" si="133"/>
        <v>-106.79</v>
      </c>
      <c r="M263" s="2"/>
      <c r="N263" s="7">
        <f t="shared" si="134"/>
        <v>-1</v>
      </c>
      <c r="O263" s="11"/>
      <c r="P263" s="6">
        <v>361.61</v>
      </c>
      <c r="Q263" s="2"/>
      <c r="R263" s="7">
        <f t="shared" si="135"/>
        <v>3.2496366926217724E-5</v>
      </c>
      <c r="S263" s="2"/>
      <c r="T263" s="6">
        <v>579.4</v>
      </c>
      <c r="U263" s="2"/>
      <c r="V263" s="7">
        <f t="shared" si="136"/>
        <v>4.3855111971543229E-5</v>
      </c>
      <c r="W263" s="2"/>
      <c r="X263" s="6">
        <f t="shared" si="137"/>
        <v>-217.78999999999996</v>
      </c>
      <c r="Y263" s="2"/>
      <c r="Z263" s="7">
        <f t="shared" si="138"/>
        <v>-0.37588885053503618</v>
      </c>
    </row>
    <row r="264" spans="1:26" s="24" customFormat="1" hidden="1" outlineLevel="2" x14ac:dyDescent="0.25">
      <c r="A264" s="27"/>
      <c r="B264" s="11" t="str">
        <f>CONCATENATE("          ", "6298", " - ", "VEHICLE MILEAGE")</f>
        <v xml:space="preserve">          6298 - VEHICLE MILEAGE</v>
      </c>
      <c r="C264" s="11"/>
      <c r="D264" s="6">
        <v>151.44999999999999</v>
      </c>
      <c r="E264" s="2"/>
      <c r="F264" s="7">
        <f t="shared" si="131"/>
        <v>9.1853645998413657E-4</v>
      </c>
      <c r="G264" s="2"/>
      <c r="H264" s="6">
        <v>46.2</v>
      </c>
      <c r="I264" s="2"/>
      <c r="J264" s="7">
        <f t="shared" si="132"/>
        <v>4.9645103595308083E-5</v>
      </c>
      <c r="K264" s="2"/>
      <c r="L264" s="6">
        <f t="shared" si="133"/>
        <v>105.24999999999999</v>
      </c>
      <c r="M264" s="2"/>
      <c r="N264" s="7">
        <f t="shared" si="134"/>
        <v>2.2781385281385278</v>
      </c>
      <c r="O264" s="11"/>
      <c r="P264" s="6">
        <v>517.52</v>
      </c>
      <c r="Q264" s="2"/>
      <c r="R264" s="7">
        <f t="shared" si="135"/>
        <v>4.6507341643362174E-5</v>
      </c>
      <c r="S264" s="2"/>
      <c r="T264" s="6">
        <v>573.85</v>
      </c>
      <c r="U264" s="2"/>
      <c r="V264" s="7">
        <f t="shared" si="136"/>
        <v>4.343502934910267E-5</v>
      </c>
      <c r="W264" s="2"/>
      <c r="X264" s="6">
        <f t="shared" si="137"/>
        <v>-56.330000000000041</v>
      </c>
      <c r="Y264" s="2"/>
      <c r="Z264" s="7">
        <f t="shared" si="138"/>
        <v>-9.8161540472248912E-2</v>
      </c>
    </row>
    <row r="265" spans="1:26" s="25" customFormat="1" outlineLevel="1" collapsed="1" x14ac:dyDescent="0.25">
      <c r="A265" s="26"/>
      <c r="B265" s="13" t="str">
        <f>CONCATENATE("     ","Utilities                                         ")</f>
        <v xml:space="preserve">     Utilities                                         </v>
      </c>
      <c r="C265" s="13"/>
      <c r="D265" s="1">
        <f>SUM(OSRRefD22_25x_0)</f>
        <v>7892.67</v>
      </c>
      <c r="E265" s="1"/>
      <c r="F265" s="5">
        <f t="shared" ref="F265:F266" si="139">IF(D$12=0,0,D265/D$12)</f>
        <v>4.7868637580871544E-2</v>
      </c>
      <c r="G265" s="1"/>
      <c r="H265" s="1">
        <f>SUM(OSRRefH22_25x_0)</f>
        <v>6719.19</v>
      </c>
      <c r="I265" s="1"/>
      <c r="J265" s="5">
        <f t="shared" ref="J265:J266" si="140">IF(H$12=0,0,H265/H$12)</f>
        <v>7.2202355763324256E-3</v>
      </c>
      <c r="K265" s="1"/>
      <c r="L265" s="1">
        <f t="shared" ref="L265:L266" si="141">+D265-H265</f>
        <v>1173.4800000000005</v>
      </c>
      <c r="M265" s="1"/>
      <c r="N265" s="5">
        <f t="shared" ref="N265:N266" si="142">IF(H265=0,0,L265/H265)</f>
        <v>0.17464605108651499</v>
      </c>
      <c r="O265" s="13"/>
      <c r="P265" s="1">
        <f>SUM(OSRRefP22_25x_0)</f>
        <v>69700.09</v>
      </c>
      <c r="Q265" s="1"/>
      <c r="R265" s="5">
        <f t="shared" ref="R265:R266" si="143">IF(P$12=0,0,P265/P$12)</f>
        <v>6.2636533819042575E-3</v>
      </c>
      <c r="S265" s="1"/>
      <c r="T265" s="1">
        <f>SUM(OSRRefT22_25x_0)</f>
        <v>54950.62</v>
      </c>
      <c r="U265" s="1"/>
      <c r="V265" s="5">
        <f t="shared" ref="V265:V266" si="144">IF(T$12=0,0,T265/T$12)</f>
        <v>4.1592433431234437E-3</v>
      </c>
      <c r="W265" s="1"/>
      <c r="X265" s="1">
        <f t="shared" ref="X265:X266" si="145">+P265-T265</f>
        <v>14749.469999999994</v>
      </c>
      <c r="Y265" s="1"/>
      <c r="Z265" s="5">
        <f t="shared" ref="Z265:Z266" si="146">IF(T265=0,0,X265/T265)</f>
        <v>0.26841316804068804</v>
      </c>
    </row>
    <row r="266" spans="1:26" s="24" customFormat="1" hidden="1" outlineLevel="2" x14ac:dyDescent="0.25">
      <c r="A266" s="27"/>
      <c r="B266" s="11" t="str">
        <f>CONCATENATE("          ", "6274", " - ", "UTILITIES")</f>
        <v xml:space="preserve">          6274 - UTILITIES</v>
      </c>
      <c r="C266" s="11"/>
      <c r="D266" s="6">
        <v>7892.67</v>
      </c>
      <c r="E266" s="2"/>
      <c r="F266" s="7">
        <f t="shared" si="139"/>
        <v>4.7868637580871544E-2</v>
      </c>
      <c r="G266" s="2"/>
      <c r="H266" s="6">
        <v>6719.19</v>
      </c>
      <c r="I266" s="2"/>
      <c r="J266" s="7">
        <f t="shared" si="140"/>
        <v>7.2202355763324256E-3</v>
      </c>
      <c r="K266" s="2"/>
      <c r="L266" s="6">
        <f t="shared" si="141"/>
        <v>1173.4800000000005</v>
      </c>
      <c r="M266" s="2"/>
      <c r="N266" s="7">
        <f t="shared" si="142"/>
        <v>0.17464605108651499</v>
      </c>
      <c r="O266" s="11"/>
      <c r="P266" s="6">
        <v>69700.09</v>
      </c>
      <c r="Q266" s="2"/>
      <c r="R266" s="7">
        <f t="shared" si="143"/>
        <v>6.2636533819042575E-3</v>
      </c>
      <c r="S266" s="2"/>
      <c r="T266" s="6">
        <v>54950.62</v>
      </c>
      <c r="U266" s="2"/>
      <c r="V266" s="7">
        <f t="shared" si="144"/>
        <v>4.1592433431234437E-3</v>
      </c>
      <c r="W266" s="2"/>
      <c r="X266" s="6">
        <f t="shared" si="145"/>
        <v>14749.469999999994</v>
      </c>
      <c r="Y266" s="2"/>
      <c r="Z266" s="7">
        <f t="shared" si="146"/>
        <v>0.26841316804068804</v>
      </c>
    </row>
    <row r="267" spans="1:26" s="53" customFormat="1" x14ac:dyDescent="0.25">
      <c r="A267" s="37"/>
      <c r="B267" s="37"/>
      <c r="C267" s="37"/>
      <c r="D267" s="1"/>
      <c r="E267" s="1"/>
      <c r="F267" s="5"/>
      <c r="G267" s="1"/>
      <c r="H267" s="1"/>
      <c r="I267" s="1"/>
      <c r="J267" s="5"/>
      <c r="K267" s="1"/>
      <c r="L267" s="1"/>
      <c r="M267" s="1"/>
      <c r="N267" s="5"/>
      <c r="O267" s="37"/>
      <c r="P267" s="1"/>
      <c r="Q267" s="1"/>
      <c r="R267" s="5"/>
      <c r="S267" s="1"/>
      <c r="T267" s="1"/>
      <c r="U267" s="1"/>
      <c r="V267" s="5"/>
      <c r="W267" s="1"/>
      <c r="X267" s="1"/>
      <c r="Y267" s="1"/>
      <c r="Z267" s="5"/>
    </row>
    <row r="268" spans="1:26" s="23" customFormat="1" collapsed="1" x14ac:dyDescent="0.25">
      <c r="A268" s="10"/>
      <c r="B268" s="29" t="s">
        <v>0</v>
      </c>
      <c r="C268" s="10"/>
      <c r="D268" s="4">
        <f>SUM(OSRRefD25x_0)</f>
        <v>390561.66</v>
      </c>
      <c r="E268" s="4"/>
      <c r="F268" s="12">
        <f t="shared" ref="F268:F277" si="147">IF(D$12=0,0,D268/D$12)</f>
        <v>2.3687363788836442</v>
      </c>
      <c r="G268" s="4"/>
      <c r="H268" s="4">
        <f>SUM(OSRRefH25x_0)</f>
        <v>163829.18</v>
      </c>
      <c r="I268" s="4"/>
      <c r="J268" s="12">
        <f t="shared" ref="J268:J277" si="148">IF(H$12=0,0,H268/H$12)</f>
        <v>0.17604581413494316</v>
      </c>
      <c r="K268" s="4"/>
      <c r="L268" s="4">
        <f t="shared" ref="L268:L277" si="149">+D268-H268</f>
        <v>226732.47999999998</v>
      </c>
      <c r="M268" s="4"/>
      <c r="N268" s="12">
        <f t="shared" ref="N268:N277" si="150">IF(H268=0,0,L268/H268)</f>
        <v>1.3839566309249671</v>
      </c>
      <c r="O268" s="10"/>
      <c r="P268" s="4">
        <f>SUM(OSRRefP25x_0)</f>
        <v>1061028.04</v>
      </c>
      <c r="Q268" s="4"/>
      <c r="R268" s="12">
        <f t="shared" ref="R268:R277" si="151">IF(P$12=0,0,P268/P$12)</f>
        <v>9.5350118931571623E-2</v>
      </c>
      <c r="S268" s="4"/>
      <c r="T268" s="4">
        <f>SUM(OSRRefT25x_0)</f>
        <v>1063238.23</v>
      </c>
      <c r="U268" s="4"/>
      <c r="V268" s="12">
        <f t="shared" ref="V268:V277" si="152">IF(T$12=0,0,T268/T$12)</f>
        <v>8.0477099808552707E-2</v>
      </c>
      <c r="W268" s="4"/>
      <c r="X268" s="4">
        <f t="shared" ref="X268:X277" si="153">+P268-T268</f>
        <v>-2210.1899999999441</v>
      </c>
      <c r="Y268" s="4"/>
      <c r="Z268" s="12">
        <f t="shared" ref="Z268:Z277" si="154">IF(T268=0,0,X268/T268)</f>
        <v>-2.078734509010219E-3</v>
      </c>
    </row>
    <row r="269" spans="1:26" s="24" customFormat="1" hidden="1" outlineLevel="1" x14ac:dyDescent="0.25">
      <c r="A269" s="44"/>
      <c r="B269" s="11" t="str">
        <f>CONCATENATE("          ", "4098", " - ", "TAXABLE SALES-GRAD RENTALS")</f>
        <v xml:space="preserve">          4098 - TAXABLE SALES-GRAD RENTALS</v>
      </c>
      <c r="C269" s="11"/>
      <c r="D269" s="2">
        <f t="shared" ref="D269:D270" si="155">0</f>
        <v>0</v>
      </c>
      <c r="E269" s="2"/>
      <c r="F269" s="19">
        <f t="shared" si="147"/>
        <v>0</v>
      </c>
      <c r="G269" s="2"/>
      <c r="H269" s="2">
        <f>--1176.5</f>
        <v>1176.5</v>
      </c>
      <c r="I269" s="2"/>
      <c r="J269" s="19">
        <f t="shared" si="148"/>
        <v>1.2642308307333325E-3</v>
      </c>
      <c r="K269" s="2"/>
      <c r="L269" s="2">
        <f t="shared" si="149"/>
        <v>-1176.5</v>
      </c>
      <c r="M269" s="2"/>
      <c r="N269" s="19">
        <f t="shared" si="150"/>
        <v>-1</v>
      </c>
      <c r="O269" s="11"/>
      <c r="P269" s="2">
        <f>--2098.85</f>
        <v>2098.85</v>
      </c>
      <c r="Q269" s="2"/>
      <c r="R269" s="19">
        <f t="shared" si="151"/>
        <v>1.8861480524070702E-4</v>
      </c>
      <c r="S269" s="2"/>
      <c r="T269" s="2">
        <f>--7074</f>
        <v>7074</v>
      </c>
      <c r="U269" s="2"/>
      <c r="V269" s="19">
        <f t="shared" si="152"/>
        <v>5.3543503984586956E-4</v>
      </c>
      <c r="W269" s="2"/>
      <c r="X269" s="2">
        <f t="shared" si="153"/>
        <v>-4975.1499999999996</v>
      </c>
      <c r="Y269" s="2"/>
      <c r="Z269" s="19">
        <f t="shared" si="154"/>
        <v>-0.70330081990387328</v>
      </c>
    </row>
    <row r="270" spans="1:26" s="24" customFormat="1" hidden="1" outlineLevel="1" x14ac:dyDescent="0.25">
      <c r="A270" s="44"/>
      <c r="B270" s="11" t="str">
        <f>CONCATENATE("          ", "4197", " - ", "NON-TAXABLE SALES-RETURNED CHE")</f>
        <v xml:space="preserve">          4197 - NON-TAXABLE SALES-RETURNED CHE</v>
      </c>
      <c r="C270" s="11"/>
      <c r="D270" s="2">
        <f t="shared" si="155"/>
        <v>0</v>
      </c>
      <c r="E270" s="2"/>
      <c r="F270" s="19">
        <f t="shared" si="147"/>
        <v>0</v>
      </c>
      <c r="G270" s="2"/>
      <c r="H270" s="2">
        <f>0</f>
        <v>0</v>
      </c>
      <c r="I270" s="2"/>
      <c r="J270" s="19">
        <f t="shared" si="148"/>
        <v>0</v>
      </c>
      <c r="K270" s="2"/>
      <c r="L270" s="2">
        <f t="shared" si="149"/>
        <v>0</v>
      </c>
      <c r="M270" s="2"/>
      <c r="N270" s="19">
        <f t="shared" si="150"/>
        <v>0</v>
      </c>
      <c r="O270" s="11"/>
      <c r="P270" s="2">
        <f>--30</f>
        <v>30</v>
      </c>
      <c r="Q270" s="2"/>
      <c r="R270" s="19">
        <f t="shared" si="151"/>
        <v>2.6959735842109777E-6</v>
      </c>
      <c r="S270" s="2"/>
      <c r="T270" s="2">
        <f>--335</f>
        <v>335</v>
      </c>
      <c r="U270" s="2"/>
      <c r="V270" s="19">
        <f t="shared" si="152"/>
        <v>2.5356338471637873E-5</v>
      </c>
      <c r="W270" s="2"/>
      <c r="X270" s="2">
        <f t="shared" si="153"/>
        <v>-305</v>
      </c>
      <c r="Y270" s="2"/>
      <c r="Z270" s="19">
        <f t="shared" si="154"/>
        <v>-0.91044776119402981</v>
      </c>
    </row>
    <row r="271" spans="1:26" s="24" customFormat="1" hidden="1" outlineLevel="1" x14ac:dyDescent="0.25">
      <c r="A271" s="44"/>
      <c r="B271" s="11" t="str">
        <f>CONCATENATE("          ", "4198", " - ", "NON-TAXABLE SALES-GRAD RENTALS")</f>
        <v xml:space="preserve">          4198 - NON-TAXABLE SALES-GRAD RENTALS</v>
      </c>
      <c r="C271" s="11"/>
      <c r="D271" s="2">
        <f>-98.64</f>
        <v>-98.64</v>
      </c>
      <c r="E271" s="2"/>
      <c r="F271" s="19">
        <f t="shared" si="147"/>
        <v>-5.9824652633103494E-4</v>
      </c>
      <c r="G271" s="2"/>
      <c r="H271" s="2">
        <f>--132723.55</f>
        <v>132723.54999999999</v>
      </c>
      <c r="I271" s="2"/>
      <c r="J271" s="19">
        <f t="shared" si="148"/>
        <v>0.14262065777677599</v>
      </c>
      <c r="K271" s="2"/>
      <c r="L271" s="2">
        <f t="shared" si="149"/>
        <v>-132822.19</v>
      </c>
      <c r="M271" s="2"/>
      <c r="N271" s="19">
        <f t="shared" si="150"/>
        <v>-1.0007431989273947</v>
      </c>
      <c r="O271" s="11"/>
      <c r="P271" s="2">
        <f>--3633.46</f>
        <v>3633.46</v>
      </c>
      <c r="Q271" s="2"/>
      <c r="R271" s="19">
        <f t="shared" si="151"/>
        <v>3.2652373930957396E-4</v>
      </c>
      <c r="S271" s="2"/>
      <c r="T271" s="2">
        <f>--384565.85</f>
        <v>384565.85</v>
      </c>
      <c r="U271" s="2"/>
      <c r="V271" s="19">
        <f t="shared" si="152"/>
        <v>2.9108005543979458E-2</v>
      </c>
      <c r="W271" s="2"/>
      <c r="X271" s="2">
        <f t="shared" si="153"/>
        <v>-380932.38999999996</v>
      </c>
      <c r="Y271" s="2"/>
      <c r="Z271" s="19">
        <f t="shared" si="154"/>
        <v>-0.99055178716466885</v>
      </c>
    </row>
    <row r="272" spans="1:26" s="24" customFormat="1" hidden="1" outlineLevel="1" x14ac:dyDescent="0.25">
      <c r="A272" s="44"/>
      <c r="B272" s="11" t="str">
        <f>CONCATENATE("          ", "9150", " - ", "MISC. INCOME")</f>
        <v xml:space="preserve">          9150 - MISC. INCOME</v>
      </c>
      <c r="C272" s="11"/>
      <c r="D272" s="2">
        <f>--44617.49</f>
        <v>44617.49</v>
      </c>
      <c r="E272" s="2"/>
      <c r="F272" s="19">
        <f t="shared" si="147"/>
        <v>0.27060278189486703</v>
      </c>
      <c r="G272" s="2"/>
      <c r="H272" s="2">
        <f>--74884.33</f>
        <v>74884.33</v>
      </c>
      <c r="I272" s="2"/>
      <c r="J272" s="19">
        <f t="shared" si="148"/>
        <v>8.0468405205957508E-2</v>
      </c>
      <c r="K272" s="2"/>
      <c r="L272" s="2">
        <f t="shared" si="149"/>
        <v>-30266.840000000004</v>
      </c>
      <c r="M272" s="2"/>
      <c r="N272" s="19">
        <f t="shared" si="150"/>
        <v>-0.40418122189248407</v>
      </c>
      <c r="O272" s="11"/>
      <c r="P272" s="2">
        <f>--427765.48</f>
        <v>427765.48</v>
      </c>
      <c r="Q272" s="2"/>
      <c r="R272" s="19">
        <f t="shared" si="151"/>
        <v>3.8441481143910973E-2</v>
      </c>
      <c r="S272" s="2"/>
      <c r="T272" s="2">
        <f>--584481.27</f>
        <v>584481.27</v>
      </c>
      <c r="U272" s="2"/>
      <c r="V272" s="19">
        <f t="shared" si="152"/>
        <v>4.4239716156575411E-2</v>
      </c>
      <c r="W272" s="2"/>
      <c r="X272" s="2">
        <f t="shared" si="153"/>
        <v>-156715.79000000004</v>
      </c>
      <c r="Y272" s="2"/>
      <c r="Z272" s="19">
        <f t="shared" si="154"/>
        <v>-0.26812799322038161</v>
      </c>
    </row>
    <row r="273" spans="1:26" s="24" customFormat="1" hidden="1" outlineLevel="1" x14ac:dyDescent="0.25">
      <c r="A273" s="44"/>
      <c r="B273" s="11" t="str">
        <f>CONCATENATE("          ", "9151", " - ", "MISC. INCOME")</f>
        <v xml:space="preserve">          9151 - MISC. INCOME</v>
      </c>
      <c r="C273" s="11"/>
      <c r="D273" s="2">
        <f>0</f>
        <v>0</v>
      </c>
      <c r="E273" s="2"/>
      <c r="F273" s="19">
        <f t="shared" si="147"/>
        <v>0</v>
      </c>
      <c r="G273" s="2"/>
      <c r="H273" s="2">
        <f>-30066.2</f>
        <v>-30066.2</v>
      </c>
      <c r="I273" s="2"/>
      <c r="J273" s="19">
        <f t="shared" si="148"/>
        <v>-3.230821674712666E-2</v>
      </c>
      <c r="K273" s="2"/>
      <c r="L273" s="2">
        <f t="shared" si="149"/>
        <v>30066.2</v>
      </c>
      <c r="M273" s="2"/>
      <c r="N273" s="19">
        <f t="shared" si="150"/>
        <v>-1</v>
      </c>
      <c r="O273" s="11"/>
      <c r="P273" s="2">
        <f>--169392.7</f>
        <v>169392.7</v>
      </c>
      <c r="Q273" s="2"/>
      <c r="R273" s="19">
        <f t="shared" si="151"/>
        <v>1.5222608151939165E-2</v>
      </c>
      <c r="S273" s="2"/>
      <c r="T273" s="2">
        <f>-33295.53</f>
        <v>-33295.53</v>
      </c>
      <c r="U273" s="2"/>
      <c r="V273" s="19">
        <f t="shared" si="152"/>
        <v>-2.5201573978285759E-3</v>
      </c>
      <c r="W273" s="2"/>
      <c r="X273" s="2">
        <f t="shared" si="153"/>
        <v>202688.23</v>
      </c>
      <c r="Y273" s="2"/>
      <c r="Z273" s="19">
        <f t="shared" si="154"/>
        <v>-6.0875507913524736</v>
      </c>
    </row>
    <row r="274" spans="1:26" s="24" customFormat="1" hidden="1" outlineLevel="1" x14ac:dyDescent="0.25">
      <c r="A274" s="44"/>
      <c r="B274" s="11" t="str">
        <f>CONCATENATE("          ", "9152", " - ", "MISC. INCOME")</f>
        <v xml:space="preserve">          9152 - MISC. INCOME</v>
      </c>
      <c r="C274" s="11"/>
      <c r="D274" s="2">
        <f>--82.19</f>
        <v>82.19</v>
      </c>
      <c r="E274" s="2"/>
      <c r="F274" s="19">
        <f t="shared" si="147"/>
        <v>4.9847812245689131E-4</v>
      </c>
      <c r="G274" s="2"/>
      <c r="H274" s="2">
        <f>--111</f>
        <v>111</v>
      </c>
      <c r="I274" s="2"/>
      <c r="J274" s="19">
        <f t="shared" si="148"/>
        <v>1.1927719694976616E-4</v>
      </c>
      <c r="K274" s="2"/>
      <c r="L274" s="2">
        <f t="shared" si="149"/>
        <v>-28.810000000000002</v>
      </c>
      <c r="M274" s="2"/>
      <c r="N274" s="19">
        <f t="shared" si="150"/>
        <v>-0.25954954954954956</v>
      </c>
      <c r="O274" s="11"/>
      <c r="P274" s="2">
        <f>--4782.05</f>
        <v>4782.05</v>
      </c>
      <c r="Q274" s="2"/>
      <c r="R274" s="19">
        <f t="shared" si="151"/>
        <v>4.2974268261253691E-4</v>
      </c>
      <c r="S274" s="2"/>
      <c r="T274" s="2">
        <f>--10696.89</f>
        <v>10696.89</v>
      </c>
      <c r="U274" s="2"/>
      <c r="V274" s="19">
        <f t="shared" si="152"/>
        <v>8.0965362219068181E-4</v>
      </c>
      <c r="W274" s="2"/>
      <c r="X274" s="2">
        <f t="shared" si="153"/>
        <v>-5914.8399999999992</v>
      </c>
      <c r="Y274" s="2"/>
      <c r="Z274" s="19">
        <f t="shared" si="154"/>
        <v>-0.55294950214501593</v>
      </c>
    </row>
    <row r="275" spans="1:26" s="24" customFormat="1" hidden="1" outlineLevel="1" x14ac:dyDescent="0.25">
      <c r="A275" s="44"/>
      <c r="B275" s="11" t="str">
        <f>CONCATENATE("          ", "9153", " - ", "MISC. INCOME")</f>
        <v xml:space="preserve">          9153 - MISC. INCOME</v>
      </c>
      <c r="C275" s="11"/>
      <c r="D275" s="2">
        <f t="shared" ref="D275:D276" si="156">0</f>
        <v>0</v>
      </c>
      <c r="E275" s="2"/>
      <c r="F275" s="19">
        <f t="shared" si="147"/>
        <v>0</v>
      </c>
      <c r="G275" s="2"/>
      <c r="H275" s="2">
        <f t="shared" ref="H275:H276" si="157">0</f>
        <v>0</v>
      </c>
      <c r="I275" s="2"/>
      <c r="J275" s="19">
        <f t="shared" si="148"/>
        <v>0</v>
      </c>
      <c r="K275" s="2"/>
      <c r="L275" s="2">
        <f t="shared" si="149"/>
        <v>0</v>
      </c>
      <c r="M275" s="2"/>
      <c r="N275" s="19">
        <f t="shared" si="150"/>
        <v>0</v>
      </c>
      <c r="O275" s="11"/>
      <c r="P275" s="2">
        <f>--450</f>
        <v>450</v>
      </c>
      <c r="Q275" s="2"/>
      <c r="R275" s="19">
        <f t="shared" si="151"/>
        <v>4.0439603763164664E-5</v>
      </c>
      <c r="S275" s="2"/>
      <c r="T275" s="2">
        <f>--180</f>
        <v>180</v>
      </c>
      <c r="U275" s="2"/>
      <c r="V275" s="19">
        <f t="shared" si="152"/>
        <v>1.3624301268342737E-5</v>
      </c>
      <c r="W275" s="2"/>
      <c r="X275" s="2">
        <f t="shared" si="153"/>
        <v>270</v>
      </c>
      <c r="Y275" s="2"/>
      <c r="Z275" s="19">
        <f t="shared" si="154"/>
        <v>1.5</v>
      </c>
    </row>
    <row r="276" spans="1:26" s="24" customFormat="1" hidden="1" outlineLevel="1" x14ac:dyDescent="0.25">
      <c r="A276" s="44"/>
      <c r="B276" s="11" t="str">
        <f>CONCATENATE("          ", "9160", " - ", "MISC. INCOME")</f>
        <v xml:space="preserve">          9160 - MISC. INCOME</v>
      </c>
      <c r="C276" s="11"/>
      <c r="D276" s="2">
        <f t="shared" si="156"/>
        <v>0</v>
      </c>
      <c r="E276" s="2"/>
      <c r="F276" s="19">
        <f t="shared" si="147"/>
        <v>0</v>
      </c>
      <c r="G276" s="2"/>
      <c r="H276" s="2">
        <f t="shared" si="157"/>
        <v>0</v>
      </c>
      <c r="I276" s="2"/>
      <c r="J276" s="19">
        <f t="shared" si="148"/>
        <v>0</v>
      </c>
      <c r="K276" s="2"/>
      <c r="L276" s="2">
        <f t="shared" si="149"/>
        <v>0</v>
      </c>
      <c r="M276" s="2"/>
      <c r="N276" s="19">
        <f t="shared" si="150"/>
        <v>0</v>
      </c>
      <c r="O276" s="11"/>
      <c r="P276" s="2">
        <f>--22475</f>
        <v>22475</v>
      </c>
      <c r="Q276" s="2"/>
      <c r="R276" s="19">
        <f t="shared" si="151"/>
        <v>2.019733543504724E-3</v>
      </c>
      <c r="S276" s="2"/>
      <c r="T276" s="2">
        <f>--40870</f>
        <v>40870</v>
      </c>
      <c r="U276" s="2"/>
      <c r="V276" s="19">
        <f t="shared" si="152"/>
        <v>3.0934732935398203E-3</v>
      </c>
      <c r="W276" s="2"/>
      <c r="X276" s="2">
        <f t="shared" si="153"/>
        <v>-18395</v>
      </c>
      <c r="Y276" s="2"/>
      <c r="Z276" s="19">
        <f t="shared" si="154"/>
        <v>-0.45008563738683632</v>
      </c>
    </row>
    <row r="277" spans="1:26" s="24" customFormat="1" hidden="1" outlineLevel="1" x14ac:dyDescent="0.25">
      <c r="A277" s="44"/>
      <c r="B277" s="11" t="str">
        <f>CONCATENATE("          ", "9163", " - ", "MISC. INCOME")</f>
        <v xml:space="preserve">          9163 - MISC. INCOME</v>
      </c>
      <c r="C277" s="11"/>
      <c r="D277" s="2">
        <f>--345960.62</f>
        <v>345960.62</v>
      </c>
      <c r="E277" s="2"/>
      <c r="F277" s="19">
        <f t="shared" si="147"/>
        <v>2.0982333653926517</v>
      </c>
      <c r="G277" s="2"/>
      <c r="H277" s="2">
        <f>-15000</f>
        <v>-15000</v>
      </c>
      <c r="I277" s="2"/>
      <c r="J277" s="19">
        <f t="shared" si="148"/>
        <v>-1.6118540128346778E-2</v>
      </c>
      <c r="K277" s="2"/>
      <c r="L277" s="2">
        <f t="shared" si="149"/>
        <v>360960.62</v>
      </c>
      <c r="M277" s="2"/>
      <c r="N277" s="19">
        <f t="shared" si="150"/>
        <v>-24.064041333333332</v>
      </c>
      <c r="O277" s="11"/>
      <c r="P277" s="2">
        <f>--430400.5</f>
        <v>430400.5</v>
      </c>
      <c r="Q277" s="2"/>
      <c r="R277" s="19">
        <f t="shared" si="151"/>
        <v>3.8678279287706563E-2</v>
      </c>
      <c r="S277" s="2"/>
      <c r="T277" s="2">
        <f>--68330.75</f>
        <v>68330.75</v>
      </c>
      <c r="U277" s="2"/>
      <c r="V277" s="19">
        <f t="shared" si="152"/>
        <v>5.1719929105100582E-3</v>
      </c>
      <c r="W277" s="2"/>
      <c r="X277" s="2">
        <f t="shared" si="153"/>
        <v>362069.75</v>
      </c>
      <c r="Y277" s="2"/>
      <c r="Z277" s="19">
        <f t="shared" si="154"/>
        <v>5.2987820271254158</v>
      </c>
    </row>
    <row r="278" spans="1:26" x14ac:dyDescent="0.25">
      <c r="A278" s="9"/>
      <c r="B278" s="10"/>
      <c r="C278" s="10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O278" s="10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s="23" customFormat="1" x14ac:dyDescent="0.25">
      <c r="A279" s="10"/>
      <c r="B279" s="28" t="s">
        <v>3</v>
      </c>
      <c r="C279" s="28"/>
      <c r="D279" s="21">
        <f>+D174-D176+D268</f>
        <v>83681.170000000042</v>
      </c>
      <c r="E279" s="14"/>
      <c r="F279" s="20">
        <f>IF(D$12=0,0,D279/D$12)</f>
        <v>0.50752199180673996</v>
      </c>
      <c r="G279" s="14"/>
      <c r="H279" s="21">
        <f>+H174-H176+H268</f>
        <v>246037.64999999973</v>
      </c>
      <c r="I279" s="14"/>
      <c r="J279" s="20">
        <f>IF(H$12=0,0,H279/H$12)</f>
        <v>0.26438451564060905</v>
      </c>
      <c r="K279" s="15"/>
      <c r="L279" s="21">
        <f>+D279-H279</f>
        <v>-162356.47999999969</v>
      </c>
      <c r="M279" s="15"/>
      <c r="N279" s="20">
        <f>IF(H279=0,0,L279/H279)</f>
        <v>-0.65988469650884674</v>
      </c>
      <c r="O279" s="29"/>
      <c r="P279" s="21">
        <f>+P174-P176+P268</f>
        <v>1217403.3999999976</v>
      </c>
      <c r="Q279" s="14"/>
      <c r="R279" s="20">
        <f>IF(P$12=0,0,P279/P$12)</f>
        <v>0.10940291359095414</v>
      </c>
      <c r="S279" s="14"/>
      <c r="T279" s="21">
        <f>+T174-T176+T268</f>
        <v>1932556.5500000087</v>
      </c>
      <c r="U279" s="14"/>
      <c r="V279" s="20">
        <f>IF(T$12=0,0,T279/T$12)</f>
        <v>0.14627629252949545</v>
      </c>
      <c r="W279" s="15"/>
      <c r="X279" s="21">
        <f>+P279-T279</f>
        <v>-715153.15000001108</v>
      </c>
      <c r="Y279" s="15"/>
      <c r="Z279" s="20">
        <f>IF(T279=0,0,X279/T279)</f>
        <v>-0.37005548427548363</v>
      </c>
    </row>
    <row r="280" spans="1:26" x14ac:dyDescent="0.25">
      <c r="A280" s="9"/>
      <c r="B280" s="10"/>
      <c r="C280" s="9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3" customFormat="1" x14ac:dyDescent="0.25">
      <c r="A281" s="51"/>
      <c r="B281" s="10" t="s">
        <v>13</v>
      </c>
      <c r="C281" s="10"/>
      <c r="D281" s="4">
        <v>88778.19</v>
      </c>
      <c r="E281" s="4"/>
      <c r="F281" s="12">
        <f>IF(D$12=0,0,D281/D$12)</f>
        <v>0.53843515593528612</v>
      </c>
      <c r="G281" s="4"/>
      <c r="H281" s="4">
        <v>108854.93000000001</v>
      </c>
      <c r="I281" s="4"/>
      <c r="J281" s="12">
        <f>IF(H$12=0,0,H281/H$12)</f>
        <v>0.11697217049155866</v>
      </c>
      <c r="K281" s="4"/>
      <c r="L281" s="4">
        <f>+D281-H281</f>
        <v>-20076.740000000005</v>
      </c>
      <c r="M281" s="4"/>
      <c r="N281" s="12">
        <f>IF(H281=0,0,L281/H281)</f>
        <v>-0.18443574397595042</v>
      </c>
      <c r="O281" s="10"/>
      <c r="P281" s="4">
        <v>1263471.31</v>
      </c>
      <c r="Q281" s="4"/>
      <c r="R281" s="12">
        <f>IF(P$12=0,0,P281/P$12)</f>
        <v>0.11354284253894799</v>
      </c>
      <c r="S281" s="4"/>
      <c r="T281" s="4">
        <v>1373467.8099999998</v>
      </c>
      <c r="U281" s="4"/>
      <c r="V281" s="12">
        <f>IF(T$12=0,0,T281/T$12)</f>
        <v>0.10395855125450511</v>
      </c>
      <c r="W281" s="4"/>
      <c r="X281" s="4">
        <f>+P281-T281</f>
        <v>-109996.49999999977</v>
      </c>
      <c r="Y281" s="4"/>
      <c r="Z281" s="12">
        <f>IF(T281=0,0,X281/T281)</f>
        <v>-8.0086696753380607E-2</v>
      </c>
    </row>
    <row r="282" spans="1:26" x14ac:dyDescent="0.25">
      <c r="A282" s="9"/>
      <c r="B282" s="10"/>
      <c r="C282" s="10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O282" s="10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ht="15.75" thickBot="1" x14ac:dyDescent="0.3">
      <c r="A283" s="10"/>
      <c r="B283" s="28" t="s">
        <v>4</v>
      </c>
      <c r="C283" s="28"/>
      <c r="D283" s="30">
        <f>+D279-D281</f>
        <v>-5097.0199999999604</v>
      </c>
      <c r="E283" s="14"/>
      <c r="F283" s="36">
        <f>IF(D$12=0,0,D283/D$12)</f>
        <v>-3.0913164128546104E-2</v>
      </c>
      <c r="G283" s="14"/>
      <c r="H283" s="30">
        <f>+H279-H281</f>
        <v>137182.71999999974</v>
      </c>
      <c r="I283" s="14"/>
      <c r="J283" s="36">
        <f>IF(H$12=0,0,H283/H$12)</f>
        <v>0.14741234514905041</v>
      </c>
      <c r="K283" s="15"/>
      <c r="L283" s="30">
        <f>D283-H283</f>
        <v>-142279.7399999997</v>
      </c>
      <c r="M283" s="15"/>
      <c r="N283" s="36">
        <f>IF(H283=0,0,L283/H283)</f>
        <v>-1.0371549711217272</v>
      </c>
      <c r="O283" s="29"/>
      <c r="P283" s="30">
        <f>+P279-P281</f>
        <v>-46067.910000002477</v>
      </c>
      <c r="Q283" s="14"/>
      <c r="R283" s="36">
        <f>IF(P$12=0,0,P283/P$12)</f>
        <v>-4.1399289479938477E-3</v>
      </c>
      <c r="S283" s="14"/>
      <c r="T283" s="30">
        <f>+T279-T281</f>
        <v>559088.74000000884</v>
      </c>
      <c r="U283" s="14"/>
      <c r="V283" s="36">
        <f>IF(T$12=0,0,T283/T$12)</f>
        <v>4.2317741274990349E-2</v>
      </c>
      <c r="W283" s="15"/>
      <c r="X283" s="30">
        <f>P283-T283</f>
        <v>-605156.65000001132</v>
      </c>
      <c r="Y283" s="15"/>
      <c r="Z283" s="36">
        <f>IF(T283=0,0,X283/T283)</f>
        <v>-1.08239820748313</v>
      </c>
    </row>
    <row r="284" spans="1:26" ht="15.75" thickTop="1" x14ac:dyDescent="0.25">
      <c r="A284" s="9"/>
      <c r="B284" s="9"/>
      <c r="C284" s="9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x14ac:dyDescent="0.25">
      <c r="A285" s="9"/>
      <c r="B285" s="9"/>
      <c r="C285" s="9"/>
      <c r="D285" s="3"/>
      <c r="E285" s="3"/>
      <c r="F285" s="8"/>
      <c r="G285" s="3"/>
      <c r="H285" s="3"/>
      <c r="I285" s="3"/>
      <c r="J285" s="8"/>
      <c r="K285" s="3"/>
      <c r="L285" s="3"/>
      <c r="M285" s="3"/>
      <c r="N285" s="8"/>
      <c r="P285" s="3"/>
      <c r="Q285" s="3"/>
      <c r="R285" s="8"/>
      <c r="S285" s="3"/>
      <c r="T285" s="3"/>
      <c r="U285" s="3"/>
      <c r="V285" s="8"/>
      <c r="W285" s="3"/>
      <c r="X285" s="3"/>
      <c r="Y285" s="3"/>
      <c r="Z285" s="8"/>
    </row>
    <row r="286" spans="1:26" s="23" customFormat="1" ht="15.75" thickBot="1" x14ac:dyDescent="0.3">
      <c r="A286" s="10"/>
      <c r="B286" s="28" t="s">
        <v>5</v>
      </c>
      <c r="C286" s="28"/>
      <c r="D286" s="31">
        <f>SUM(D283:D285)</f>
        <v>-5097.0199999999604</v>
      </c>
      <c r="E286" s="14"/>
      <c r="F286" s="32">
        <f>IF(D$12=0,0,D286/D$12)</f>
        <v>-3.0913164128546104E-2</v>
      </c>
      <c r="G286" s="14"/>
      <c r="H286" s="31">
        <f>SUM(H283:H285)</f>
        <v>137182.71999999974</v>
      </c>
      <c r="I286" s="14"/>
      <c r="J286" s="32">
        <f>IF(H$12=0,0,H286/H$12)</f>
        <v>0.14741234514905041</v>
      </c>
      <c r="K286" s="15"/>
      <c r="L286" s="31">
        <f>+D286-H286</f>
        <v>-142279.7399999997</v>
      </c>
      <c r="M286" s="15"/>
      <c r="N286" s="32">
        <f>IF(H286=0,0,L286/H286)</f>
        <v>-1.0371549711217272</v>
      </c>
      <c r="O286" s="29"/>
      <c r="P286" s="31">
        <f>SUM(P283:P285)</f>
        <v>-46067.910000002477</v>
      </c>
      <c r="Q286" s="14"/>
      <c r="R286" s="32">
        <f>IF(P$12=0,0,P286/P$12)</f>
        <v>-4.1399289479938477E-3</v>
      </c>
      <c r="S286" s="14"/>
      <c r="T286" s="31">
        <f>SUM(T283:T285)</f>
        <v>559088.74000000884</v>
      </c>
      <c r="U286" s="14"/>
      <c r="V286" s="32">
        <f>IF(T$12=0,0,T286/T$12)</f>
        <v>4.2317741274990349E-2</v>
      </c>
      <c r="W286" s="15"/>
      <c r="X286" s="31">
        <f>+P286-T286</f>
        <v>-605156.65000001132</v>
      </c>
      <c r="Y286" s="15"/>
      <c r="Z286" s="32">
        <f>IF(T286=0,0,X286/T286)</f>
        <v>-1.08239820748313</v>
      </c>
    </row>
    <row r="287" spans="1:26" ht="15.75" thickTop="1" x14ac:dyDescent="0.25">
      <c r="A287" s="9"/>
      <c r="C287" s="9"/>
      <c r="D287" s="17"/>
      <c r="E287" s="17"/>
      <c r="G287" s="17"/>
      <c r="H287" s="17"/>
      <c r="I287" s="17"/>
      <c r="J287" s="43"/>
      <c r="K287" s="17"/>
      <c r="L287" s="17"/>
      <c r="M287" s="17"/>
      <c r="P287" s="17"/>
      <c r="Q287" s="17"/>
      <c r="R287" s="43"/>
      <c r="S287" s="17"/>
      <c r="T287" s="17"/>
      <c r="U287" s="17"/>
      <c r="V287" s="43"/>
      <c r="W287" s="17"/>
      <c r="X287" s="17"/>
    </row>
    <row r="288" spans="1:26" x14ac:dyDescent="0.25">
      <c r="A288" s="9"/>
      <c r="B288" s="54">
        <v>43965.470344942129</v>
      </c>
      <c r="D288" s="17"/>
      <c r="E288" s="17"/>
      <c r="G288" s="17"/>
      <c r="H288" s="17"/>
      <c r="I288" s="17"/>
      <c r="J288" s="43"/>
      <c r="K288" s="17"/>
      <c r="L288" s="17"/>
      <c r="M288" s="17"/>
      <c r="P288" s="17"/>
      <c r="Q288" s="17"/>
      <c r="R288" s="43"/>
      <c r="S288" s="17"/>
      <c r="T288" s="17"/>
      <c r="U288" s="17"/>
      <c r="V288" s="43"/>
      <c r="W288" s="17"/>
      <c r="X288" s="17"/>
    </row>
    <row r="289" spans="1:24" x14ac:dyDescent="0.25">
      <c r="A289" s="9"/>
      <c r="B289" s="59" t="s">
        <v>313</v>
      </c>
      <c r="D289" s="17"/>
      <c r="E289" s="17"/>
      <c r="G289" s="17"/>
      <c r="H289" s="17"/>
      <c r="I289" s="17"/>
      <c r="J289" s="43"/>
      <c r="K289" s="17"/>
      <c r="L289" s="17"/>
      <c r="M289" s="17"/>
      <c r="P289" s="17"/>
      <c r="Q289" s="17"/>
      <c r="R289" s="43"/>
      <c r="S289" s="17"/>
      <c r="T289" s="17"/>
      <c r="U289" s="17"/>
      <c r="V289" s="43"/>
      <c r="W289" s="17"/>
      <c r="X289" s="17"/>
    </row>
    <row r="290" spans="1:24" x14ac:dyDescent="0.25">
      <c r="A290" s="9"/>
      <c r="B290" s="61"/>
      <c r="D290" s="17"/>
      <c r="E290" s="17"/>
      <c r="G290" s="17"/>
      <c r="H290" s="17"/>
      <c r="I290" s="17"/>
      <c r="J290" s="43"/>
      <c r="K290" s="17"/>
      <c r="L290" s="17"/>
      <c r="M290" s="17"/>
      <c r="P290" s="17"/>
      <c r="Q290" s="17"/>
      <c r="R290" s="43"/>
      <c r="S290" s="17"/>
      <c r="T290" s="17"/>
      <c r="U290" s="17"/>
      <c r="V290" s="43"/>
      <c r="W290" s="17"/>
      <c r="X290" s="17"/>
    </row>
    <row r="291" spans="1:24" x14ac:dyDescent="0.25">
      <c r="D291" s="17"/>
      <c r="E291" s="17"/>
      <c r="G291" s="17"/>
      <c r="H291" s="17"/>
      <c r="I291" s="17"/>
      <c r="J291" s="43"/>
      <c r="K291" s="17"/>
      <c r="L291" s="17"/>
      <c r="M291" s="17"/>
      <c r="P291" s="17"/>
      <c r="Q291" s="17"/>
      <c r="R291" s="43"/>
      <c r="S291" s="17"/>
      <c r="T291" s="17"/>
      <c r="U291" s="17"/>
      <c r="V291" s="43"/>
      <c r="W291" s="17"/>
      <c r="X29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164836.55000000002</v>
      </c>
      <c r="E12" s="4"/>
      <c r="F12" s="12"/>
      <c r="G12" s="4"/>
      <c r="H12" s="4">
        <f>SUM(OSRRefH13x_0)</f>
        <v>587613.90999999992</v>
      </c>
      <c r="I12" s="4"/>
      <c r="J12" s="12"/>
      <c r="K12" s="4"/>
      <c r="L12" s="4">
        <f t="shared" ref="L12:L114" si="0">+D12-H12</f>
        <v>-422777.35999999987</v>
      </c>
      <c r="M12" s="4"/>
      <c r="N12" s="12">
        <f t="shared" ref="N12:N114" si="1">IF(H12=0,0,L12/H12)</f>
        <v>-0.71948153848161955</v>
      </c>
      <c r="O12" s="10"/>
      <c r="P12" s="4">
        <f>SUM(OSRRefP13x_0)</f>
        <v>8763124.5800000001</v>
      </c>
      <c r="Q12" s="4"/>
      <c r="R12" s="12"/>
      <c r="S12" s="4"/>
      <c r="T12" s="4">
        <f>SUM(OSRRefT13x_0)</f>
        <v>10439291.520000003</v>
      </c>
      <c r="U12" s="4"/>
      <c r="V12" s="12"/>
      <c r="W12" s="4"/>
      <c r="X12" s="4">
        <f t="shared" ref="X12:X114" si="2">+P12-T12</f>
        <v>-1676166.9400000032</v>
      </c>
      <c r="Y12" s="4"/>
      <c r="Z12" s="12">
        <f t="shared" ref="Z12:Z114" si="3">IF(T12=0,0,X12/T12)</f>
        <v>-0.16056328504561224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--1084.45</f>
        <v>1084.45</v>
      </c>
      <c r="E14" s="2"/>
      <c r="F14" s="19"/>
      <c r="G14" s="2"/>
      <c r="H14" s="2">
        <f>--5639.51</f>
        <v>5639.51</v>
      </c>
      <c r="I14" s="2"/>
      <c r="J14" s="19"/>
      <c r="K14" s="2"/>
      <c r="L14" s="2">
        <f t="shared" si="0"/>
        <v>-4555.0600000000004</v>
      </c>
      <c r="M14" s="2"/>
      <c r="N14" s="19">
        <f t="shared" si="1"/>
        <v>-0.80770492471863697</v>
      </c>
      <c r="O14" s="11"/>
      <c r="P14" s="2">
        <f>--2397977.73</f>
        <v>2397977.73</v>
      </c>
      <c r="Q14" s="2"/>
      <c r="R14" s="19"/>
      <c r="S14" s="2"/>
      <c r="T14" s="2">
        <f>--3061354.17</f>
        <v>3061354.17</v>
      </c>
      <c r="U14" s="2"/>
      <c r="V14" s="19"/>
      <c r="W14" s="2"/>
      <c r="X14" s="2">
        <f t="shared" si="2"/>
        <v>-663376.43999999994</v>
      </c>
      <c r="Y14" s="2"/>
      <c r="Z14" s="19">
        <f t="shared" si="3"/>
        <v>-0.21669379077429646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--602.5</f>
        <v>602.5</v>
      </c>
      <c r="E15" s="2"/>
      <c r="F15" s="19"/>
      <c r="G15" s="2"/>
      <c r="H15" s="2">
        <f>--2522.75</f>
        <v>2522.75</v>
      </c>
      <c r="I15" s="2"/>
      <c r="J15" s="19"/>
      <c r="K15" s="2"/>
      <c r="L15" s="2">
        <f t="shared" si="0"/>
        <v>-1920.25</v>
      </c>
      <c r="M15" s="2"/>
      <c r="N15" s="19">
        <f t="shared" si="1"/>
        <v>-0.76117332276285798</v>
      </c>
      <c r="O15" s="11"/>
      <c r="P15" s="2">
        <f>--1244917.19</f>
        <v>1244917.19</v>
      </c>
      <c r="Q15" s="2"/>
      <c r="R15" s="19"/>
      <c r="S15" s="2"/>
      <c r="T15" s="2">
        <f>--1363656.39</f>
        <v>1363656.39</v>
      </c>
      <c r="U15" s="2"/>
      <c r="V15" s="19"/>
      <c r="W15" s="2"/>
      <c r="X15" s="2">
        <f t="shared" si="2"/>
        <v>-118739.19999999995</v>
      </c>
      <c r="Y15" s="2"/>
      <c r="Z15" s="19">
        <f t="shared" si="3"/>
        <v>-8.7074134562593122E-2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 t="shared" ref="H16:H18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18547.239999999998</v>
      </c>
      <c r="Y16" s="2"/>
      <c r="Z16" s="19">
        <f t="shared" si="3"/>
        <v>1.2244301921420153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--18.36</f>
        <v>18.36</v>
      </c>
      <c r="E19" s="2"/>
      <c r="F19" s="19"/>
      <c r="G19" s="2"/>
      <c r="H19" s="2">
        <f>--2215.06</f>
        <v>2215.06</v>
      </c>
      <c r="I19" s="2"/>
      <c r="J19" s="19"/>
      <c r="K19" s="2"/>
      <c r="L19" s="2">
        <f t="shared" si="0"/>
        <v>-2196.6999999999998</v>
      </c>
      <c r="M19" s="2"/>
      <c r="N19" s="19">
        <f t="shared" si="1"/>
        <v>-0.99171128547307963</v>
      </c>
      <c r="O19" s="11"/>
      <c r="P19" s="2">
        <f>--2713.36</f>
        <v>2713.36</v>
      </c>
      <c r="Q19" s="2"/>
      <c r="R19" s="19"/>
      <c r="S19" s="2"/>
      <c r="T19" s="2">
        <f>--6340.42</f>
        <v>6340.42</v>
      </c>
      <c r="U19" s="2"/>
      <c r="V19" s="19"/>
      <c r="W19" s="2"/>
      <c r="X19" s="2">
        <f t="shared" si="2"/>
        <v>-3627.06</v>
      </c>
      <c r="Y19" s="2"/>
      <c r="Z19" s="19">
        <f t="shared" si="3"/>
        <v>-0.57205358635547798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0</f>
        <v>0</v>
      </c>
      <c r="E20" s="2"/>
      <c r="F20" s="19"/>
      <c r="G20" s="2"/>
      <c r="H20" s="2">
        <f>--151.13</f>
        <v>151.13</v>
      </c>
      <c r="I20" s="2"/>
      <c r="J20" s="19"/>
      <c r="K20" s="2"/>
      <c r="L20" s="2">
        <f t="shared" si="0"/>
        <v>-151.13</v>
      </c>
      <c r="M20" s="2"/>
      <c r="N20" s="19">
        <f t="shared" si="1"/>
        <v>-1</v>
      </c>
      <c r="O20" s="11"/>
      <c r="P20" s="2">
        <f>--1219.18</f>
        <v>1219.18</v>
      </c>
      <c r="Q20" s="2"/>
      <c r="R20" s="19"/>
      <c r="S20" s="2"/>
      <c r="T20" s="2">
        <f>--2032.27</f>
        <v>2032.27</v>
      </c>
      <c r="U20" s="2"/>
      <c r="V20" s="19"/>
      <c r="W20" s="2"/>
      <c r="X20" s="2">
        <f t="shared" si="2"/>
        <v>-813.08999999999992</v>
      </c>
      <c r="Y20" s="2"/>
      <c r="Z20" s="19">
        <f t="shared" si="3"/>
        <v>-0.40008955502959742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--64.95</f>
        <v>64.95</v>
      </c>
      <c r="E21" s="2"/>
      <c r="F21" s="19"/>
      <c r="G21" s="2"/>
      <c r="H21" s="2">
        <f>--20.89</f>
        <v>20.89</v>
      </c>
      <c r="I21" s="2"/>
      <c r="J21" s="19"/>
      <c r="K21" s="2"/>
      <c r="L21" s="2">
        <f t="shared" si="0"/>
        <v>44.06</v>
      </c>
      <c r="M21" s="2"/>
      <c r="N21" s="19">
        <f t="shared" si="1"/>
        <v>2.1091431306845383</v>
      </c>
      <c r="O21" s="11"/>
      <c r="P21" s="2">
        <f>--347.52</f>
        <v>347.52</v>
      </c>
      <c r="Q21" s="2"/>
      <c r="R21" s="19"/>
      <c r="S21" s="2"/>
      <c r="T21" s="2">
        <f>--717.61</f>
        <v>717.61</v>
      </c>
      <c r="U21" s="2"/>
      <c r="V21" s="19"/>
      <c r="W21" s="2"/>
      <c r="X21" s="2">
        <f t="shared" si="2"/>
        <v>-370.09000000000003</v>
      </c>
      <c r="Y21" s="2"/>
      <c r="Z21" s="19">
        <f t="shared" si="3"/>
        <v>-0.5157258120706234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ref="D22:D24" si="6">0</f>
        <v>0</v>
      </c>
      <c r="E22" s="2"/>
      <c r="F22" s="19"/>
      <c r="G22" s="2"/>
      <c r="H22" s="2">
        <f>--243.29</f>
        <v>243.29</v>
      </c>
      <c r="I22" s="2"/>
      <c r="J22" s="19"/>
      <c r="K22" s="2"/>
      <c r="L22" s="2">
        <f t="shared" si="0"/>
        <v>-243.29</v>
      </c>
      <c r="M22" s="2"/>
      <c r="N22" s="19">
        <f t="shared" si="1"/>
        <v>-1</v>
      </c>
      <c r="O22" s="11"/>
      <c r="P22" s="2">
        <f>--4154.31</f>
        <v>4154.3100000000004</v>
      </c>
      <c r="Q22" s="2"/>
      <c r="R22" s="19"/>
      <c r="S22" s="2"/>
      <c r="T22" s="2">
        <f>--6075.08</f>
        <v>6075.08</v>
      </c>
      <c r="U22" s="2"/>
      <c r="V22" s="19"/>
      <c r="W22" s="2"/>
      <c r="X22" s="2">
        <f t="shared" si="2"/>
        <v>-1920.7699999999995</v>
      </c>
      <c r="Y22" s="2"/>
      <c r="Z22" s="19">
        <f t="shared" si="3"/>
        <v>-0.31617196810576975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6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6"/>
        <v>0</v>
      </c>
      <c r="E24" s="2"/>
      <c r="F24" s="19"/>
      <c r="G24" s="2"/>
      <c r="H24" s="2">
        <f>--3109.67</f>
        <v>3109.67</v>
      </c>
      <c r="I24" s="2"/>
      <c r="J24" s="19"/>
      <c r="K24" s="2"/>
      <c r="L24" s="2">
        <f t="shared" si="0"/>
        <v>-3109.67</v>
      </c>
      <c r="M24" s="2"/>
      <c r="N24" s="19">
        <f t="shared" si="1"/>
        <v>-1</v>
      </c>
      <c r="O24" s="11"/>
      <c r="P24" s="2">
        <f>--54702.86</f>
        <v>54702.86</v>
      </c>
      <c r="Q24" s="2"/>
      <c r="R24" s="19"/>
      <c r="S24" s="2"/>
      <c r="T24" s="2">
        <f>--56618.67</f>
        <v>56618.67</v>
      </c>
      <c r="U24" s="2"/>
      <c r="V24" s="19"/>
      <c r="W24" s="2"/>
      <c r="X24" s="2">
        <f t="shared" si="2"/>
        <v>-1915.8099999999977</v>
      </c>
      <c r="Y24" s="2"/>
      <c r="Z24" s="19">
        <f t="shared" si="3"/>
        <v>-3.3837071764490363E-2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--81.65</f>
        <v>81.650000000000006</v>
      </c>
      <c r="E25" s="2"/>
      <c r="F25" s="19"/>
      <c r="G25" s="2"/>
      <c r="H25" s="2">
        <f>--6211.4</f>
        <v>6211.4</v>
      </c>
      <c r="I25" s="2"/>
      <c r="J25" s="19"/>
      <c r="K25" s="2"/>
      <c r="L25" s="2">
        <f t="shared" si="0"/>
        <v>-6129.75</v>
      </c>
      <c r="M25" s="2"/>
      <c r="N25" s="19">
        <f t="shared" si="1"/>
        <v>-0.98685481533953701</v>
      </c>
      <c r="O25" s="11"/>
      <c r="P25" s="2">
        <f>--79949.71</f>
        <v>79949.710000000006</v>
      </c>
      <c r="Q25" s="2"/>
      <c r="R25" s="19"/>
      <c r="S25" s="2"/>
      <c r="T25" s="2">
        <f>--74938.78</f>
        <v>74938.78</v>
      </c>
      <c r="U25" s="2"/>
      <c r="V25" s="19"/>
      <c r="W25" s="2"/>
      <c r="X25" s="2">
        <f t="shared" si="2"/>
        <v>5010.9300000000076</v>
      </c>
      <c r="Y25" s="2"/>
      <c r="Z25" s="19">
        <f t="shared" si="3"/>
        <v>6.6866981287926064E-2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--1399.98</f>
        <v>1399.98</v>
      </c>
      <c r="E26" s="2"/>
      <c r="F26" s="19"/>
      <c r="G26" s="2"/>
      <c r="H26" s="2">
        <f>--14945.52</f>
        <v>14945.52</v>
      </c>
      <c r="I26" s="2"/>
      <c r="J26" s="19"/>
      <c r="K26" s="2"/>
      <c r="L26" s="2">
        <f t="shared" si="0"/>
        <v>-13545.54</v>
      </c>
      <c r="M26" s="2"/>
      <c r="N26" s="19">
        <f t="shared" si="1"/>
        <v>-0.90632778250606205</v>
      </c>
      <c r="O26" s="11"/>
      <c r="P26" s="2">
        <f>--271246.56</f>
        <v>271246.56</v>
      </c>
      <c r="Q26" s="2"/>
      <c r="R26" s="19"/>
      <c r="S26" s="2"/>
      <c r="T26" s="2">
        <f>--276703.99</f>
        <v>276703.99</v>
      </c>
      <c r="U26" s="2"/>
      <c r="V26" s="19"/>
      <c r="W26" s="2"/>
      <c r="X26" s="2">
        <f t="shared" si="2"/>
        <v>-5457.429999999993</v>
      </c>
      <c r="Y26" s="2"/>
      <c r="Z26" s="19">
        <f t="shared" si="3"/>
        <v>-1.9722989899784219E-2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--168.82</f>
        <v>168.82</v>
      </c>
      <c r="E27" s="2"/>
      <c r="F27" s="19"/>
      <c r="G27" s="2"/>
      <c r="H27" s="2">
        <f>--29042.56</f>
        <v>29042.560000000001</v>
      </c>
      <c r="I27" s="2"/>
      <c r="J27" s="19"/>
      <c r="K27" s="2"/>
      <c r="L27" s="2">
        <f t="shared" si="0"/>
        <v>-28873.74</v>
      </c>
      <c r="M27" s="2"/>
      <c r="N27" s="19">
        <f t="shared" si="1"/>
        <v>-0.99418715154586923</v>
      </c>
      <c r="O27" s="11"/>
      <c r="P27" s="2">
        <f>--292765.87</f>
        <v>292765.87</v>
      </c>
      <c r="Q27" s="2"/>
      <c r="R27" s="19"/>
      <c r="S27" s="2"/>
      <c r="T27" s="2">
        <f>--334048.12</f>
        <v>334048.12</v>
      </c>
      <c r="U27" s="2"/>
      <c r="V27" s="19"/>
      <c r="W27" s="2"/>
      <c r="X27" s="2">
        <f t="shared" si="2"/>
        <v>-41282.25</v>
      </c>
      <c r="Y27" s="2"/>
      <c r="Z27" s="19">
        <f t="shared" si="3"/>
        <v>-0.12358174624661861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7">0</f>
        <v>0</v>
      </c>
      <c r="E28" s="2"/>
      <c r="F28" s="19"/>
      <c r="G28" s="2"/>
      <c r="H28" s="2">
        <f>--91.57</f>
        <v>91.57</v>
      </c>
      <c r="I28" s="2"/>
      <c r="J28" s="19"/>
      <c r="K28" s="2"/>
      <c r="L28" s="2">
        <f t="shared" si="0"/>
        <v>-91.57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--658.7</f>
        <v>658.7</v>
      </c>
      <c r="U28" s="2"/>
      <c r="V28" s="19"/>
      <c r="W28" s="2"/>
      <c r="X28" s="2">
        <f t="shared" si="2"/>
        <v>-172.36000000000007</v>
      </c>
      <c r="Y28" s="2"/>
      <c r="Z28" s="19">
        <f t="shared" si="3"/>
        <v>-0.26166691969029915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7"/>
        <v>0</v>
      </c>
      <c r="E29" s="2"/>
      <c r="F29" s="19"/>
      <c r="G29" s="2"/>
      <c r="H29" s="2">
        <f>--94.97</f>
        <v>94.97</v>
      </c>
      <c r="I29" s="2"/>
      <c r="J29" s="19"/>
      <c r="K29" s="2"/>
      <c r="L29" s="2">
        <f t="shared" si="0"/>
        <v>-94.97</v>
      </c>
      <c r="M29" s="2"/>
      <c r="N29" s="19">
        <f t="shared" si="1"/>
        <v>-1</v>
      </c>
      <c r="O29" s="11"/>
      <c r="P29" s="2">
        <f>--1905.06</f>
        <v>1905.06</v>
      </c>
      <c r="Q29" s="2"/>
      <c r="R29" s="19"/>
      <c r="S29" s="2"/>
      <c r="T29" s="2">
        <f>--469.45</f>
        <v>469.45</v>
      </c>
      <c r="U29" s="2"/>
      <c r="V29" s="19"/>
      <c r="W29" s="2"/>
      <c r="X29" s="2">
        <f t="shared" si="2"/>
        <v>1435.61</v>
      </c>
      <c r="Y29" s="2"/>
      <c r="Z29" s="19">
        <f t="shared" si="3"/>
        <v>3.0580679518585576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--38.96</f>
        <v>38.96</v>
      </c>
      <c r="I30" s="2"/>
      <c r="J30" s="19"/>
      <c r="K30" s="2"/>
      <c r="L30" s="2">
        <f t="shared" si="0"/>
        <v>-38.96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--244.06</f>
        <v>244.06</v>
      </c>
      <c r="U30" s="2"/>
      <c r="V30" s="19"/>
      <c r="W30" s="2"/>
      <c r="X30" s="2">
        <f t="shared" si="2"/>
        <v>-38.53</v>
      </c>
      <c r="Y30" s="2"/>
      <c r="Z30" s="19">
        <f t="shared" si="3"/>
        <v>-0.15787101532410064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--1251.48</f>
        <v>1251.48</v>
      </c>
      <c r="I31" s="2"/>
      <c r="J31" s="19"/>
      <c r="K31" s="2"/>
      <c r="L31" s="2">
        <f t="shared" si="0"/>
        <v>-1251.48</v>
      </c>
      <c r="M31" s="2"/>
      <c r="N31" s="19">
        <f t="shared" si="1"/>
        <v>-1</v>
      </c>
      <c r="O31" s="11"/>
      <c r="P31" s="2">
        <f>--7803.51</f>
        <v>7803.51</v>
      </c>
      <c r="Q31" s="2"/>
      <c r="R31" s="19"/>
      <c r="S31" s="2"/>
      <c r="T31" s="2">
        <f>--8275.18</f>
        <v>8275.18</v>
      </c>
      <c r="U31" s="2"/>
      <c r="V31" s="19"/>
      <c r="W31" s="2"/>
      <c r="X31" s="2">
        <f t="shared" si="2"/>
        <v>-471.67000000000007</v>
      </c>
      <c r="Y31" s="2"/>
      <c r="Z31" s="19">
        <f t="shared" si="3"/>
        <v>-5.6998155931351352E-2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--218.46</f>
        <v>218.46</v>
      </c>
      <c r="I32" s="2"/>
      <c r="J32" s="19"/>
      <c r="K32" s="2"/>
      <c r="L32" s="2">
        <f t="shared" si="0"/>
        <v>-218.46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--2566.74</f>
        <v>2566.7399999999998</v>
      </c>
      <c r="U32" s="2"/>
      <c r="V32" s="19"/>
      <c r="W32" s="2"/>
      <c r="X32" s="2">
        <f t="shared" si="2"/>
        <v>-584.89999999999986</v>
      </c>
      <c r="Y32" s="2"/>
      <c r="Z32" s="19">
        <f t="shared" si="3"/>
        <v>-0.22787660612294192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--128.18</f>
        <v>128.18</v>
      </c>
      <c r="I33" s="2"/>
      <c r="J33" s="19"/>
      <c r="K33" s="2"/>
      <c r="L33" s="2">
        <f t="shared" si="0"/>
        <v>-128.18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--805.99</f>
        <v>805.99</v>
      </c>
      <c r="U33" s="2"/>
      <c r="V33" s="19"/>
      <c r="W33" s="2"/>
      <c r="X33" s="2">
        <f t="shared" si="2"/>
        <v>-292.48</v>
      </c>
      <c r="Y33" s="2"/>
      <c r="Z33" s="19">
        <f t="shared" si="3"/>
        <v>-0.36288291418007668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--67974.91</f>
        <v>67974.91</v>
      </c>
      <c r="E34" s="2"/>
      <c r="F34" s="19"/>
      <c r="G34" s="2"/>
      <c r="H34" s="2">
        <f>--278547.01</f>
        <v>278547.01</v>
      </c>
      <c r="I34" s="2"/>
      <c r="J34" s="19"/>
      <c r="K34" s="2"/>
      <c r="L34" s="2">
        <f t="shared" si="0"/>
        <v>-210572.1</v>
      </c>
      <c r="M34" s="2"/>
      <c r="N34" s="19">
        <f t="shared" si="1"/>
        <v>-0.75596611142944958</v>
      </c>
      <c r="O34" s="11"/>
      <c r="P34" s="2">
        <f>--1844103.4</f>
        <v>1844103.4</v>
      </c>
      <c r="Q34" s="2"/>
      <c r="R34" s="19"/>
      <c r="S34" s="2"/>
      <c r="T34" s="2">
        <f>--2128410.88</f>
        <v>2128410.88</v>
      </c>
      <c r="U34" s="2"/>
      <c r="V34" s="19"/>
      <c r="W34" s="2"/>
      <c r="X34" s="2">
        <f t="shared" si="2"/>
        <v>-284307.48</v>
      </c>
      <c r="Y34" s="2"/>
      <c r="Z34" s="19">
        <f t="shared" si="3"/>
        <v>-0.13357734762190276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--14115.57</f>
        <v>14115.57</v>
      </c>
      <c r="E35" s="2"/>
      <c r="F35" s="19"/>
      <c r="G35" s="2"/>
      <c r="H35" s="2">
        <f>--56719.49</f>
        <v>56719.49</v>
      </c>
      <c r="I35" s="2"/>
      <c r="J35" s="19"/>
      <c r="K35" s="2"/>
      <c r="L35" s="2">
        <f t="shared" si="0"/>
        <v>-42603.92</v>
      </c>
      <c r="M35" s="2"/>
      <c r="N35" s="19">
        <f t="shared" si="1"/>
        <v>-0.75113369319787604</v>
      </c>
      <c r="O35" s="11"/>
      <c r="P35" s="2">
        <f>--481133.29</f>
        <v>481133.29</v>
      </c>
      <c r="Q35" s="2"/>
      <c r="R35" s="19"/>
      <c r="S35" s="2"/>
      <c r="T35" s="2">
        <f>--663634.74</f>
        <v>663634.74</v>
      </c>
      <c r="U35" s="2"/>
      <c r="V35" s="19"/>
      <c r="W35" s="2"/>
      <c r="X35" s="2">
        <f t="shared" si="2"/>
        <v>-182501.45</v>
      </c>
      <c r="Y35" s="2"/>
      <c r="Z35" s="19">
        <f t="shared" si="3"/>
        <v>-0.27500285774671773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--1721.77</f>
        <v>1721.77</v>
      </c>
      <c r="E36" s="2"/>
      <c r="F36" s="19"/>
      <c r="G36" s="2"/>
      <c r="H36" s="2">
        <f>--41231.61</f>
        <v>41231.61</v>
      </c>
      <c r="I36" s="2"/>
      <c r="J36" s="19"/>
      <c r="K36" s="2"/>
      <c r="L36" s="2">
        <f t="shared" si="0"/>
        <v>-39509.840000000004</v>
      </c>
      <c r="M36" s="2"/>
      <c r="N36" s="19">
        <f t="shared" si="1"/>
        <v>-0.95824150451558898</v>
      </c>
      <c r="O36" s="11"/>
      <c r="P36" s="2">
        <f>--279302.18</f>
        <v>279302.18</v>
      </c>
      <c r="Q36" s="2"/>
      <c r="R36" s="19"/>
      <c r="S36" s="2"/>
      <c r="T36" s="2">
        <f>--285480.12</f>
        <v>285480.12</v>
      </c>
      <c r="U36" s="2"/>
      <c r="V36" s="19"/>
      <c r="W36" s="2"/>
      <c r="X36" s="2">
        <f t="shared" si="2"/>
        <v>-6177.9400000000023</v>
      </c>
      <c r="Y36" s="2"/>
      <c r="Z36" s="19">
        <f t="shared" si="3"/>
        <v>-2.1640526142415809E-2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--651</f>
        <v>651</v>
      </c>
      <c r="E37" s="2"/>
      <c r="F37" s="19"/>
      <c r="G37" s="2"/>
      <c r="H37" s="2">
        <f>--486.07</f>
        <v>486.07</v>
      </c>
      <c r="I37" s="2"/>
      <c r="J37" s="19"/>
      <c r="K37" s="2"/>
      <c r="L37" s="2">
        <f t="shared" si="0"/>
        <v>164.93</v>
      </c>
      <c r="M37" s="2"/>
      <c r="N37" s="19">
        <f t="shared" si="1"/>
        <v>0.33931326763634867</v>
      </c>
      <c r="O37" s="11"/>
      <c r="P37" s="2">
        <f>--77219.23</f>
        <v>77219.23</v>
      </c>
      <c r="Q37" s="2"/>
      <c r="R37" s="19"/>
      <c r="S37" s="2"/>
      <c r="T37" s="2">
        <f>--3553.38</f>
        <v>3553.38</v>
      </c>
      <c r="U37" s="2"/>
      <c r="V37" s="19"/>
      <c r="W37" s="2"/>
      <c r="X37" s="2">
        <f t="shared" si="2"/>
        <v>73665.849999999991</v>
      </c>
      <c r="Y37" s="2"/>
      <c r="Z37" s="19">
        <f t="shared" si="3"/>
        <v>20.731205218693184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--673.79</f>
        <v>673.79</v>
      </c>
      <c r="E38" s="2"/>
      <c r="F38" s="19"/>
      <c r="G38" s="2"/>
      <c r="H38" s="2">
        <f>--4813.14</f>
        <v>4813.1400000000003</v>
      </c>
      <c r="I38" s="2"/>
      <c r="J38" s="19"/>
      <c r="K38" s="2"/>
      <c r="L38" s="2">
        <f t="shared" si="0"/>
        <v>-4139.3500000000004</v>
      </c>
      <c r="M38" s="2"/>
      <c r="N38" s="19">
        <f t="shared" si="1"/>
        <v>-0.86001030512305898</v>
      </c>
      <c r="O38" s="11"/>
      <c r="P38" s="2">
        <f>--67340.52</f>
        <v>67340.52</v>
      </c>
      <c r="Q38" s="2"/>
      <c r="R38" s="19"/>
      <c r="S38" s="2"/>
      <c r="T38" s="2">
        <f>--80200.37</f>
        <v>80200.37</v>
      </c>
      <c r="U38" s="2"/>
      <c r="V38" s="19"/>
      <c r="W38" s="2"/>
      <c r="X38" s="2">
        <f t="shared" si="2"/>
        <v>-12859.849999999991</v>
      </c>
      <c r="Y38" s="2"/>
      <c r="Z38" s="19">
        <f t="shared" si="3"/>
        <v>-0.1603465171045968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--8913.15</f>
        <v>8913.15</v>
      </c>
      <c r="E39" s="2"/>
      <c r="F39" s="19"/>
      <c r="G39" s="2"/>
      <c r="H39" s="2">
        <f>--37220.65</f>
        <v>37220.65</v>
      </c>
      <c r="I39" s="2"/>
      <c r="J39" s="19"/>
      <c r="K39" s="2"/>
      <c r="L39" s="2">
        <f t="shared" si="0"/>
        <v>-28307.5</v>
      </c>
      <c r="M39" s="2"/>
      <c r="N39" s="19">
        <f t="shared" si="1"/>
        <v>-0.76053212396881831</v>
      </c>
      <c r="O39" s="11"/>
      <c r="P39" s="2">
        <f>--83313.97</f>
        <v>83313.97</v>
      </c>
      <c r="Q39" s="2"/>
      <c r="R39" s="19"/>
      <c r="S39" s="2"/>
      <c r="T39" s="2">
        <f>--132369.49</f>
        <v>132369.49</v>
      </c>
      <c r="U39" s="2"/>
      <c r="V39" s="19"/>
      <c r="W39" s="2"/>
      <c r="X39" s="2">
        <f t="shared" si="2"/>
        <v>-49055.51999999999</v>
      </c>
      <c r="Y39" s="2"/>
      <c r="Z39" s="19">
        <f t="shared" si="3"/>
        <v>-0.3705953690688088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5" si="8">0</f>
        <v>0</v>
      </c>
      <c r="E40" s="2"/>
      <c r="F40" s="19"/>
      <c r="G40" s="2"/>
      <c r="H40" s="2">
        <f>--676</f>
        <v>676</v>
      </c>
      <c r="I40" s="2"/>
      <c r="J40" s="19"/>
      <c r="K40" s="2"/>
      <c r="L40" s="2">
        <f t="shared" si="0"/>
        <v>-676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--4608.66</f>
        <v>4608.66</v>
      </c>
      <c r="U40" s="2"/>
      <c r="V40" s="19"/>
      <c r="W40" s="2"/>
      <c r="X40" s="2">
        <f t="shared" si="2"/>
        <v>-1932.52</v>
      </c>
      <c r="Y40" s="2"/>
      <c r="Z40" s="19">
        <f t="shared" si="3"/>
        <v>-0.41932362118272992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8"/>
        <v>0</v>
      </c>
      <c r="E41" s="2"/>
      <c r="F41" s="19"/>
      <c r="G41" s="2"/>
      <c r="H41" s="2">
        <f>--287.73</f>
        <v>287.73</v>
      </c>
      <c r="I41" s="2"/>
      <c r="J41" s="19"/>
      <c r="K41" s="2"/>
      <c r="L41" s="2">
        <f t="shared" si="0"/>
        <v>-287.73</v>
      </c>
      <c r="M41" s="2"/>
      <c r="N41" s="19">
        <f t="shared" si="1"/>
        <v>-1</v>
      </c>
      <c r="O41" s="11"/>
      <c r="P41" s="2">
        <f>--3174.93</f>
        <v>3174.93</v>
      </c>
      <c r="Q41" s="2"/>
      <c r="R41" s="19"/>
      <c r="S41" s="2"/>
      <c r="T41" s="2">
        <f>--4214.69</f>
        <v>4214.6899999999996</v>
      </c>
      <c r="U41" s="2"/>
      <c r="V41" s="19"/>
      <c r="W41" s="2"/>
      <c r="X41" s="2">
        <f t="shared" si="2"/>
        <v>-1039.7599999999998</v>
      </c>
      <c r="Y41" s="2"/>
      <c r="Z41" s="19">
        <f t="shared" si="3"/>
        <v>-0.24669904548139954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8"/>
        <v>0</v>
      </c>
      <c r="E42" s="2"/>
      <c r="F42" s="19"/>
      <c r="G42" s="2"/>
      <c r="H42" s="2">
        <f>--164</f>
        <v>164</v>
      </c>
      <c r="I42" s="2"/>
      <c r="J42" s="19"/>
      <c r="K42" s="2"/>
      <c r="L42" s="2">
        <f t="shared" si="0"/>
        <v>-164</v>
      </c>
      <c r="M42" s="2"/>
      <c r="N42" s="19">
        <f t="shared" si="1"/>
        <v>-1</v>
      </c>
      <c r="O42" s="11"/>
      <c r="P42" s="2">
        <f>--363.94</f>
        <v>363.94</v>
      </c>
      <c r="Q42" s="2"/>
      <c r="R42" s="19"/>
      <c r="S42" s="2"/>
      <c r="T42" s="2">
        <f>--1505</f>
        <v>1505</v>
      </c>
      <c r="U42" s="2"/>
      <c r="V42" s="19"/>
      <c r="W42" s="2"/>
      <c r="X42" s="2">
        <f t="shared" si="2"/>
        <v>-1141.06</v>
      </c>
      <c r="Y42" s="2"/>
      <c r="Z42" s="19">
        <f t="shared" si="3"/>
        <v>-0.75817940199335543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8"/>
        <v>0</v>
      </c>
      <c r="E43" s="2"/>
      <c r="F43" s="19"/>
      <c r="G43" s="2"/>
      <c r="H43" s="2">
        <f>--119.9</f>
        <v>119.9</v>
      </c>
      <c r="I43" s="2"/>
      <c r="J43" s="19"/>
      <c r="K43" s="2"/>
      <c r="L43" s="2">
        <f t="shared" si="0"/>
        <v>-119.9</v>
      </c>
      <c r="M43" s="2"/>
      <c r="N43" s="19">
        <f t="shared" si="1"/>
        <v>-1</v>
      </c>
      <c r="O43" s="11"/>
      <c r="P43" s="2">
        <f>--914.33</f>
        <v>914.33</v>
      </c>
      <c r="Q43" s="2"/>
      <c r="R43" s="19"/>
      <c r="S43" s="2"/>
      <c r="T43" s="2">
        <f>--1283.94</f>
        <v>1283.94</v>
      </c>
      <c r="U43" s="2"/>
      <c r="V43" s="19"/>
      <c r="W43" s="2"/>
      <c r="X43" s="2">
        <f t="shared" si="2"/>
        <v>-369.61</v>
      </c>
      <c r="Y43" s="2"/>
      <c r="Z43" s="19">
        <f t="shared" si="3"/>
        <v>-0.28787170740065737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8"/>
        <v>0</v>
      </c>
      <c r="E44" s="2"/>
      <c r="F44" s="19"/>
      <c r="G44" s="2"/>
      <c r="H44" s="2">
        <f>--202.9</f>
        <v>202.9</v>
      </c>
      <c r="I44" s="2"/>
      <c r="J44" s="19"/>
      <c r="K44" s="2"/>
      <c r="L44" s="2">
        <f t="shared" si="0"/>
        <v>-202.9</v>
      </c>
      <c r="M44" s="2"/>
      <c r="N44" s="19">
        <f t="shared" si="1"/>
        <v>-1</v>
      </c>
      <c r="O44" s="11"/>
      <c r="P44" s="2">
        <f>--813.74</f>
        <v>813.74</v>
      </c>
      <c r="Q44" s="2"/>
      <c r="R44" s="19"/>
      <c r="S44" s="2"/>
      <c r="T44" s="2">
        <f>--2085.13</f>
        <v>2085.13</v>
      </c>
      <c r="U44" s="2"/>
      <c r="V44" s="19"/>
      <c r="W44" s="2"/>
      <c r="X44" s="2">
        <f t="shared" si="2"/>
        <v>-1271.3900000000001</v>
      </c>
      <c r="Y44" s="2"/>
      <c r="Z44" s="19">
        <f t="shared" si="3"/>
        <v>-0.60974135905195359</v>
      </c>
    </row>
    <row r="45" spans="1:26" s="24" customFormat="1" hidden="1" outlineLevel="1" x14ac:dyDescent="0.25">
      <c r="A45" s="44"/>
      <c r="B45" s="11" t="str">
        <f>CONCATENATE("          ", "4091", " - ", "TAXABLE SALES-GRAD ANNOUNCEMEN")</f>
        <v xml:space="preserve">          4091 - TAXABLE SALES-GRAD ANNOUNCEMEN</v>
      </c>
      <c r="C45" s="11"/>
      <c r="D45" s="2">
        <f t="shared" si="8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0</f>
        <v>0</v>
      </c>
      <c r="Q45" s="2"/>
      <c r="R45" s="19"/>
      <c r="S45" s="2"/>
      <c r="T45" s="2">
        <f>--471.6</f>
        <v>471.6</v>
      </c>
      <c r="U45" s="2"/>
      <c r="V45" s="19"/>
      <c r="W45" s="2"/>
      <c r="X45" s="2">
        <f t="shared" si="2"/>
        <v>-471.6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--3214.15</f>
        <v>3214.15</v>
      </c>
      <c r="E46" s="2"/>
      <c r="F46" s="19"/>
      <c r="G46" s="2"/>
      <c r="H46" s="2">
        <f>--39254.68</f>
        <v>39254.68</v>
      </c>
      <c r="I46" s="2"/>
      <c r="J46" s="19"/>
      <c r="K46" s="2"/>
      <c r="L46" s="2">
        <f t="shared" si="0"/>
        <v>-36040.53</v>
      </c>
      <c r="M46" s="2"/>
      <c r="N46" s="19">
        <f t="shared" si="1"/>
        <v>-0.91812059097157328</v>
      </c>
      <c r="O46" s="11"/>
      <c r="P46" s="2">
        <f>--21826.42</f>
        <v>21826.42</v>
      </c>
      <c r="Q46" s="2"/>
      <c r="R46" s="19"/>
      <c r="S46" s="2"/>
      <c r="T46" s="2">
        <f>--123023.99</f>
        <v>123023.99</v>
      </c>
      <c r="U46" s="2"/>
      <c r="V46" s="19"/>
      <c r="W46" s="2"/>
      <c r="X46" s="2">
        <f t="shared" si="2"/>
        <v>-101197.57</v>
      </c>
      <c r="Y46" s="2"/>
      <c r="Z46" s="19">
        <f t="shared" si="3"/>
        <v>-0.8225840342196673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0</f>
        <v>0</v>
      </c>
      <c r="E47" s="2"/>
      <c r="F47" s="19"/>
      <c r="G47" s="2"/>
      <c r="H47" s="2">
        <f>--114.84</f>
        <v>114.84</v>
      </c>
      <c r="I47" s="2"/>
      <c r="J47" s="19"/>
      <c r="K47" s="2"/>
      <c r="L47" s="2">
        <f t="shared" si="0"/>
        <v>-114.84</v>
      </c>
      <c r="M47" s="2"/>
      <c r="N47" s="19">
        <f t="shared" si="1"/>
        <v>-1</v>
      </c>
      <c r="O47" s="11"/>
      <c r="P47" s="2">
        <f>--309.26</f>
        <v>309.26</v>
      </c>
      <c r="Q47" s="2"/>
      <c r="R47" s="19"/>
      <c r="S47" s="2"/>
      <c r="T47" s="2">
        <f>--2045.04</f>
        <v>2045.04</v>
      </c>
      <c r="U47" s="2"/>
      <c r="V47" s="19"/>
      <c r="W47" s="2"/>
      <c r="X47" s="2">
        <f t="shared" si="2"/>
        <v>-1735.78</v>
      </c>
      <c r="Y47" s="2"/>
      <c r="Z47" s="19">
        <f t="shared" si="3"/>
        <v>-0.84877557407190085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--27923.82</f>
        <v>27923.82</v>
      </c>
      <c r="E48" s="2"/>
      <c r="F48" s="19"/>
      <c r="G48" s="2"/>
      <c r="H48" s="2">
        <f>--776.32</f>
        <v>776.32</v>
      </c>
      <c r="I48" s="2"/>
      <c r="J48" s="19"/>
      <c r="K48" s="2"/>
      <c r="L48" s="2">
        <f t="shared" si="0"/>
        <v>27147.5</v>
      </c>
      <c r="M48" s="2"/>
      <c r="N48" s="19">
        <f t="shared" si="1"/>
        <v>34.969471352019781</v>
      </c>
      <c r="O48" s="11"/>
      <c r="P48" s="2">
        <f>--602236.47</f>
        <v>602236.47</v>
      </c>
      <c r="Q48" s="2"/>
      <c r="R48" s="19"/>
      <c r="S48" s="2"/>
      <c r="T48" s="2">
        <f>--779409.89</f>
        <v>779409.89</v>
      </c>
      <c r="U48" s="2"/>
      <c r="V48" s="19"/>
      <c r="W48" s="2"/>
      <c r="X48" s="2">
        <f t="shared" si="2"/>
        <v>-177173.42000000004</v>
      </c>
      <c r="Y48" s="2"/>
      <c r="Z48" s="19">
        <f t="shared" si="3"/>
        <v>-0.22731738751736913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--1972.02</f>
        <v>1972.02</v>
      </c>
      <c r="E49" s="2"/>
      <c r="F49" s="19"/>
      <c r="G49" s="2"/>
      <c r="H49" s="2">
        <f>--5697.7</f>
        <v>5697.7</v>
      </c>
      <c r="I49" s="2"/>
      <c r="J49" s="19"/>
      <c r="K49" s="2"/>
      <c r="L49" s="2">
        <f t="shared" si="0"/>
        <v>-3725.68</v>
      </c>
      <c r="M49" s="2"/>
      <c r="N49" s="19">
        <f t="shared" si="1"/>
        <v>-0.65389192130157781</v>
      </c>
      <c r="O49" s="11"/>
      <c r="P49" s="2">
        <f>--144163.44</f>
        <v>144163.44</v>
      </c>
      <c r="Q49" s="2"/>
      <c r="R49" s="19"/>
      <c r="S49" s="2"/>
      <c r="T49" s="2">
        <f>--266114.47</f>
        <v>266114.46999999997</v>
      </c>
      <c r="U49" s="2"/>
      <c r="V49" s="19"/>
      <c r="W49" s="2"/>
      <c r="X49" s="2">
        <f t="shared" si="2"/>
        <v>-121951.02999999997</v>
      </c>
      <c r="Y49" s="2"/>
      <c r="Z49" s="19">
        <f t="shared" si="3"/>
        <v>-0.45826530966166545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--804.2</f>
        <v>804.2</v>
      </c>
      <c r="E50" s="2"/>
      <c r="F50" s="19"/>
      <c r="G50" s="2"/>
      <c r="H50" s="2">
        <f>--6881.14</f>
        <v>6881.14</v>
      </c>
      <c r="I50" s="2"/>
      <c r="J50" s="19"/>
      <c r="K50" s="2"/>
      <c r="L50" s="2">
        <f t="shared" si="0"/>
        <v>-6076.9400000000005</v>
      </c>
      <c r="M50" s="2"/>
      <c r="N50" s="19">
        <f t="shared" si="1"/>
        <v>-0.88312983023161862</v>
      </c>
      <c r="O50" s="11"/>
      <c r="P50" s="2">
        <f>--69659.9</f>
        <v>69659.899999999994</v>
      </c>
      <c r="Q50" s="2"/>
      <c r="R50" s="19"/>
      <c r="S50" s="2"/>
      <c r="T50" s="2">
        <f>--92597.47</f>
        <v>92597.47</v>
      </c>
      <c r="U50" s="2"/>
      <c r="V50" s="19"/>
      <c r="W50" s="2"/>
      <c r="X50" s="2">
        <f t="shared" si="2"/>
        <v>-22937.570000000007</v>
      </c>
      <c r="Y50" s="2"/>
      <c r="Z50" s="19">
        <f t="shared" si="3"/>
        <v>-0.24771270748542057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>
        <f>--509.85</f>
        <v>509.85</v>
      </c>
      <c r="U51" s="2"/>
      <c r="V51" s="19"/>
      <c r="W51" s="2"/>
      <c r="X51" s="2">
        <f t="shared" si="2"/>
        <v>155.12</v>
      </c>
      <c r="Y51" s="2"/>
      <c r="Z51" s="19">
        <f t="shared" si="3"/>
        <v>0.30424634696479358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--2502.44</f>
        <v>2502.44</v>
      </c>
      <c r="E52" s="2"/>
      <c r="F52" s="19"/>
      <c r="G52" s="2"/>
      <c r="H52" s="2">
        <f>--2347.02</f>
        <v>2347.02</v>
      </c>
      <c r="I52" s="2"/>
      <c r="J52" s="19"/>
      <c r="K52" s="2"/>
      <c r="L52" s="2">
        <f t="shared" si="0"/>
        <v>155.42000000000007</v>
      </c>
      <c r="M52" s="2"/>
      <c r="N52" s="19">
        <f t="shared" si="1"/>
        <v>6.6220142989833947E-2</v>
      </c>
      <c r="O52" s="11"/>
      <c r="P52" s="2">
        <f>--526854.09</f>
        <v>526854.09</v>
      </c>
      <c r="Q52" s="2"/>
      <c r="R52" s="19"/>
      <c r="S52" s="2"/>
      <c r="T52" s="2">
        <f>--528735.29</f>
        <v>528735.29</v>
      </c>
      <c r="U52" s="2"/>
      <c r="V52" s="19"/>
      <c r="W52" s="2"/>
      <c r="X52" s="2">
        <f t="shared" si="2"/>
        <v>-1881.2000000000698</v>
      </c>
      <c r="Y52" s="2"/>
      <c r="Z52" s="19">
        <f t="shared" si="3"/>
        <v>-3.5579240417261911E-3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--593.67</f>
        <v>593.66999999999996</v>
      </c>
      <c r="E53" s="2"/>
      <c r="F53" s="19"/>
      <c r="G53" s="2"/>
      <c r="H53" s="2">
        <f>--2525.72</f>
        <v>2525.7199999999998</v>
      </c>
      <c r="I53" s="2"/>
      <c r="J53" s="19"/>
      <c r="K53" s="2"/>
      <c r="L53" s="2">
        <f t="shared" si="0"/>
        <v>-1932.0499999999997</v>
      </c>
      <c r="M53" s="2"/>
      <c r="N53" s="19">
        <f t="shared" si="1"/>
        <v>-0.76495019242037909</v>
      </c>
      <c r="O53" s="11"/>
      <c r="P53" s="2">
        <f>--15323</f>
        <v>15323</v>
      </c>
      <c r="Q53" s="2"/>
      <c r="R53" s="19"/>
      <c r="S53" s="2"/>
      <c r="T53" s="2">
        <f>--19614.24</f>
        <v>19614.240000000002</v>
      </c>
      <c r="U53" s="2"/>
      <c r="V53" s="19"/>
      <c r="W53" s="2"/>
      <c r="X53" s="2">
        <f t="shared" si="2"/>
        <v>-4291.2400000000016</v>
      </c>
      <c r="Y53" s="2"/>
      <c r="Z53" s="19">
        <f t="shared" si="3"/>
        <v>-0.2187818646044915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--2440</f>
        <v>2440</v>
      </c>
      <c r="E54" s="2"/>
      <c r="F54" s="19"/>
      <c r="G54" s="2"/>
      <c r="H54" s="2">
        <f>--378</f>
        <v>378</v>
      </c>
      <c r="I54" s="2"/>
      <c r="J54" s="19"/>
      <c r="K54" s="2"/>
      <c r="L54" s="2">
        <f t="shared" si="0"/>
        <v>2062</v>
      </c>
      <c r="M54" s="2"/>
      <c r="N54" s="19">
        <f t="shared" si="1"/>
        <v>5.4550264550264549</v>
      </c>
      <c r="O54" s="11"/>
      <c r="P54" s="2">
        <f>--8241.92</f>
        <v>8241.92</v>
      </c>
      <c r="Q54" s="2"/>
      <c r="R54" s="19"/>
      <c r="S54" s="2"/>
      <c r="T54" s="2">
        <f>--3773</f>
        <v>3773</v>
      </c>
      <c r="U54" s="2"/>
      <c r="V54" s="19"/>
      <c r="W54" s="2"/>
      <c r="X54" s="2">
        <f t="shared" si="2"/>
        <v>4468.92</v>
      </c>
      <c r="Y54" s="2"/>
      <c r="Z54" s="19">
        <f t="shared" si="3"/>
        <v>1.1844473893453487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--7.02</f>
        <v>7.02</v>
      </c>
      <c r="E55" s="2"/>
      <c r="F55" s="19"/>
      <c r="G55" s="2"/>
      <c r="H55" s="2">
        <f t="shared" ref="H55:H56" si="9">0</f>
        <v>0</v>
      </c>
      <c r="I55" s="2"/>
      <c r="J55" s="19"/>
      <c r="K55" s="2"/>
      <c r="L55" s="2">
        <f t="shared" si="0"/>
        <v>7.02</v>
      </c>
      <c r="M55" s="2"/>
      <c r="N55" s="19">
        <f t="shared" si="1"/>
        <v>0</v>
      </c>
      <c r="O55" s="11"/>
      <c r="P55" s="2">
        <f>--75.94</f>
        <v>75.94</v>
      </c>
      <c r="Q55" s="2"/>
      <c r="R55" s="19"/>
      <c r="S55" s="2"/>
      <c r="T55" s="2">
        <f>--266.48</f>
        <v>266.48</v>
      </c>
      <c r="U55" s="2"/>
      <c r="V55" s="19"/>
      <c r="W55" s="2"/>
      <c r="X55" s="2">
        <f t="shared" si="2"/>
        <v>-190.54000000000002</v>
      </c>
      <c r="Y55" s="2"/>
      <c r="Z55" s="19">
        <f t="shared" si="3"/>
        <v>-0.71502551786250379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0</f>
        <v>0</v>
      </c>
      <c r="E56" s="2"/>
      <c r="F56" s="19"/>
      <c r="G56" s="2"/>
      <c r="H56" s="2">
        <f t="shared" si="9"/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--267.61</f>
        <v>267.61</v>
      </c>
      <c r="Q56" s="2"/>
      <c r="R56" s="19"/>
      <c r="S56" s="2"/>
      <c r="T56" s="2">
        <f>--305.19</f>
        <v>305.19</v>
      </c>
      <c r="U56" s="2"/>
      <c r="V56" s="19"/>
      <c r="W56" s="2"/>
      <c r="X56" s="2">
        <f t="shared" si="2"/>
        <v>-37.579999999999984</v>
      </c>
      <c r="Y56" s="2"/>
      <c r="Z56" s="19">
        <f t="shared" si="3"/>
        <v>-0.123136406828533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--5.57</f>
        <v>5.57</v>
      </c>
      <c r="E57" s="2"/>
      <c r="F57" s="19"/>
      <c r="G57" s="2"/>
      <c r="H57" s="2">
        <f>--100.47</f>
        <v>100.47</v>
      </c>
      <c r="I57" s="2"/>
      <c r="J57" s="19"/>
      <c r="K57" s="2"/>
      <c r="L57" s="2">
        <f t="shared" si="0"/>
        <v>-94.9</v>
      </c>
      <c r="M57" s="2"/>
      <c r="N57" s="19">
        <f t="shared" si="1"/>
        <v>-0.94456056534288846</v>
      </c>
      <c r="O57" s="11"/>
      <c r="P57" s="2">
        <f>--3022.86</f>
        <v>3022.86</v>
      </c>
      <c r="Q57" s="2"/>
      <c r="R57" s="19"/>
      <c r="S57" s="2"/>
      <c r="T57" s="2">
        <f>--3659.14</f>
        <v>3659.14</v>
      </c>
      <c r="U57" s="2"/>
      <c r="V57" s="19"/>
      <c r="W57" s="2"/>
      <c r="X57" s="2">
        <f t="shared" si="2"/>
        <v>-636.27999999999975</v>
      </c>
      <c r="Y57" s="2"/>
      <c r="Z57" s="19">
        <f t="shared" si="3"/>
        <v>-0.17388785343004087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--1430.65</f>
        <v>1430.65</v>
      </c>
      <c r="E58" s="2"/>
      <c r="F58" s="19"/>
      <c r="G58" s="2"/>
      <c r="H58" s="2">
        <f>--4.99</f>
        <v>4.99</v>
      </c>
      <c r="I58" s="2"/>
      <c r="J58" s="19"/>
      <c r="K58" s="2"/>
      <c r="L58" s="2">
        <f t="shared" si="0"/>
        <v>1425.66</v>
      </c>
      <c r="M58" s="2"/>
      <c r="N58" s="19">
        <f t="shared" si="1"/>
        <v>285.70340681362728</v>
      </c>
      <c r="O58" s="11"/>
      <c r="P58" s="2">
        <f>--6146.87</f>
        <v>6146.87</v>
      </c>
      <c r="Q58" s="2"/>
      <c r="R58" s="19"/>
      <c r="S58" s="2"/>
      <c r="T58" s="2">
        <f>--12330.36</f>
        <v>12330.36</v>
      </c>
      <c r="U58" s="2"/>
      <c r="V58" s="19"/>
      <c r="W58" s="2"/>
      <c r="X58" s="2">
        <f t="shared" si="2"/>
        <v>-6183.4900000000007</v>
      </c>
      <c r="Y58" s="2"/>
      <c r="Z58" s="19">
        <f t="shared" si="3"/>
        <v>-0.50148495258857007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0</f>
        <v>0</v>
      </c>
      <c r="E59" s="2"/>
      <c r="F59" s="19"/>
      <c r="G59" s="2"/>
      <c r="H59" s="2">
        <f>--7.45</f>
        <v>7.45</v>
      </c>
      <c r="I59" s="2"/>
      <c r="J59" s="19"/>
      <c r="K59" s="2"/>
      <c r="L59" s="2">
        <f t="shared" si="0"/>
        <v>-7.45</v>
      </c>
      <c r="M59" s="2"/>
      <c r="N59" s="19">
        <f t="shared" si="1"/>
        <v>-1</v>
      </c>
      <c r="O59" s="11"/>
      <c r="P59" s="2">
        <f>--730.62</f>
        <v>730.62</v>
      </c>
      <c r="Q59" s="2"/>
      <c r="R59" s="19"/>
      <c r="S59" s="2"/>
      <c r="T59" s="2">
        <f>--852.82</f>
        <v>852.82</v>
      </c>
      <c r="U59" s="2"/>
      <c r="V59" s="19"/>
      <c r="W59" s="2"/>
      <c r="X59" s="2">
        <f t="shared" si="2"/>
        <v>-122.20000000000005</v>
      </c>
      <c r="Y59" s="2"/>
      <c r="Z59" s="19">
        <f t="shared" si="3"/>
        <v>-0.14328932248305626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--3.97</f>
        <v>3.97</v>
      </c>
      <c r="E60" s="2"/>
      <c r="F60" s="19"/>
      <c r="G60" s="2"/>
      <c r="H60" s="2">
        <f>--9031.87</f>
        <v>9031.8700000000008</v>
      </c>
      <c r="I60" s="2"/>
      <c r="J60" s="19"/>
      <c r="K60" s="2"/>
      <c r="L60" s="2">
        <f t="shared" si="0"/>
        <v>-9027.9000000000015</v>
      </c>
      <c r="M60" s="2"/>
      <c r="N60" s="19">
        <f t="shared" si="1"/>
        <v>-0.99956044540056499</v>
      </c>
      <c r="O60" s="11"/>
      <c r="P60" s="2">
        <f>--57887.54</f>
        <v>57887.54</v>
      </c>
      <c r="Q60" s="2"/>
      <c r="R60" s="19"/>
      <c r="S60" s="2"/>
      <c r="T60" s="2">
        <f>--71045.88</f>
        <v>71045.88</v>
      </c>
      <c r="U60" s="2"/>
      <c r="V60" s="19"/>
      <c r="W60" s="2"/>
      <c r="X60" s="2">
        <f t="shared" si="2"/>
        <v>-13158.340000000004</v>
      </c>
      <c r="Y60" s="2"/>
      <c r="Z60" s="19">
        <f t="shared" si="3"/>
        <v>-0.18520905082743719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0</f>
        <v>0</v>
      </c>
      <c r="E61" s="2"/>
      <c r="F61" s="19"/>
      <c r="G61" s="2"/>
      <c r="H61" s="2">
        <f>--2173.93</f>
        <v>2173.9299999999998</v>
      </c>
      <c r="I61" s="2"/>
      <c r="J61" s="19"/>
      <c r="K61" s="2"/>
      <c r="L61" s="2">
        <f t="shared" si="0"/>
        <v>-2173.9299999999998</v>
      </c>
      <c r="M61" s="2"/>
      <c r="N61" s="19">
        <f t="shared" si="1"/>
        <v>-1</v>
      </c>
      <c r="O61" s="11"/>
      <c r="P61" s="2">
        <f>--16199.63</f>
        <v>16199.63</v>
      </c>
      <c r="Q61" s="2"/>
      <c r="R61" s="19"/>
      <c r="S61" s="2"/>
      <c r="T61" s="2">
        <f>--17387.86</f>
        <v>17387.86</v>
      </c>
      <c r="U61" s="2"/>
      <c r="V61" s="19"/>
      <c r="W61" s="2"/>
      <c r="X61" s="2">
        <f t="shared" si="2"/>
        <v>-1188.2300000000014</v>
      </c>
      <c r="Y61" s="2"/>
      <c r="Z61" s="19">
        <f t="shared" si="3"/>
        <v>-6.8336759095138866E-2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--4.17</f>
        <v>4.17</v>
      </c>
      <c r="E62" s="2"/>
      <c r="F62" s="19"/>
      <c r="G62" s="2"/>
      <c r="H62" s="2">
        <f>--2570.67</f>
        <v>2570.67</v>
      </c>
      <c r="I62" s="2"/>
      <c r="J62" s="19"/>
      <c r="K62" s="2"/>
      <c r="L62" s="2">
        <f t="shared" si="0"/>
        <v>-2566.5</v>
      </c>
      <c r="M62" s="2"/>
      <c r="N62" s="19">
        <f t="shared" si="1"/>
        <v>-0.99837785480049945</v>
      </c>
      <c r="O62" s="11"/>
      <c r="P62" s="2">
        <f>--18088.46</f>
        <v>18088.46</v>
      </c>
      <c r="Q62" s="2"/>
      <c r="R62" s="19"/>
      <c r="S62" s="2"/>
      <c r="T62" s="2">
        <f>--19959.46</f>
        <v>19959.46</v>
      </c>
      <c r="U62" s="2"/>
      <c r="V62" s="19"/>
      <c r="W62" s="2"/>
      <c r="X62" s="2">
        <f t="shared" si="2"/>
        <v>-1871</v>
      </c>
      <c r="Y62" s="2"/>
      <c r="Z62" s="19">
        <f t="shared" si="3"/>
        <v>-9.3740011002301671E-2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ref="D63:D65" si="10">0</f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--1.89</f>
        <v>1.89</v>
      </c>
      <c r="Q63" s="2"/>
      <c r="R63" s="19"/>
      <c r="S63" s="2"/>
      <c r="T63" s="2">
        <f>--111.36</f>
        <v>111.36</v>
      </c>
      <c r="U63" s="2"/>
      <c r="V63" s="19"/>
      <c r="W63" s="2"/>
      <c r="X63" s="2">
        <f t="shared" si="2"/>
        <v>-109.47</v>
      </c>
      <c r="Y63" s="2"/>
      <c r="Z63" s="19">
        <f t="shared" si="3"/>
        <v>-0.98302801724137934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10"/>
        <v>0</v>
      </c>
      <c r="E64" s="2"/>
      <c r="F64" s="19"/>
      <c r="G64" s="2"/>
      <c r="H64" s="2">
        <f>--34.82</f>
        <v>34.82</v>
      </c>
      <c r="I64" s="2"/>
      <c r="J64" s="19"/>
      <c r="K64" s="2"/>
      <c r="L64" s="2">
        <f t="shared" si="0"/>
        <v>-34.82</v>
      </c>
      <c r="M64" s="2"/>
      <c r="N64" s="19">
        <f t="shared" si="1"/>
        <v>-1</v>
      </c>
      <c r="O64" s="11"/>
      <c r="P64" s="2">
        <f>--161.4</f>
        <v>161.4</v>
      </c>
      <c r="Q64" s="2"/>
      <c r="R64" s="19"/>
      <c r="S64" s="2"/>
      <c r="T64" s="2">
        <f>--370.53</f>
        <v>370.53</v>
      </c>
      <c r="U64" s="2"/>
      <c r="V64" s="19"/>
      <c r="W64" s="2"/>
      <c r="X64" s="2">
        <f t="shared" si="2"/>
        <v>-209.12999999999997</v>
      </c>
      <c r="Y64" s="2"/>
      <c r="Z64" s="19">
        <f t="shared" si="3"/>
        <v>-0.56440774026394624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 t="shared" si="10"/>
        <v>0</v>
      </c>
      <c r="E65" s="2"/>
      <c r="F65" s="19"/>
      <c r="G65" s="2"/>
      <c r="H65" s="2">
        <f>--1267.81</f>
        <v>1267.81</v>
      </c>
      <c r="I65" s="2"/>
      <c r="J65" s="19"/>
      <c r="K65" s="2"/>
      <c r="L65" s="2">
        <f t="shared" si="0"/>
        <v>-1267.81</v>
      </c>
      <c r="M65" s="2"/>
      <c r="N65" s="19">
        <f t="shared" si="1"/>
        <v>-1</v>
      </c>
      <c r="O65" s="11"/>
      <c r="P65" s="2">
        <f>--8519.06</f>
        <v>8519.06</v>
      </c>
      <c r="Q65" s="2"/>
      <c r="R65" s="19"/>
      <c r="S65" s="2"/>
      <c r="T65" s="2">
        <f>--9694.74</f>
        <v>9694.74</v>
      </c>
      <c r="U65" s="2"/>
      <c r="V65" s="19"/>
      <c r="W65" s="2"/>
      <c r="X65" s="2">
        <f t="shared" si="2"/>
        <v>-1175.6800000000003</v>
      </c>
      <c r="Y65" s="2"/>
      <c r="Z65" s="19">
        <f t="shared" si="3"/>
        <v>-0.12126988449406589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--30875.73</f>
        <v>30875.73</v>
      </c>
      <c r="E66" s="2"/>
      <c r="F66" s="19"/>
      <c r="G66" s="2"/>
      <c r="H66" s="2">
        <f>--11589.38</f>
        <v>11589.38</v>
      </c>
      <c r="I66" s="2"/>
      <c r="J66" s="19"/>
      <c r="K66" s="2"/>
      <c r="L66" s="2">
        <f t="shared" si="0"/>
        <v>19286.349999999999</v>
      </c>
      <c r="M66" s="2"/>
      <c r="N66" s="19">
        <f t="shared" si="1"/>
        <v>1.6641399281065941</v>
      </c>
      <c r="O66" s="11"/>
      <c r="P66" s="2">
        <f>--78924.71</f>
        <v>78924.710000000006</v>
      </c>
      <c r="Q66" s="2"/>
      <c r="R66" s="19"/>
      <c r="S66" s="2"/>
      <c r="T66" s="2">
        <f>--47255.77</f>
        <v>47255.77</v>
      </c>
      <c r="U66" s="2"/>
      <c r="V66" s="19"/>
      <c r="W66" s="2"/>
      <c r="X66" s="2">
        <f t="shared" si="2"/>
        <v>31668.94000000001</v>
      </c>
      <c r="Y66" s="2"/>
      <c r="Z66" s="19">
        <f t="shared" si="3"/>
        <v>0.67016027884002338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--1860.77</f>
        <v>1860.77</v>
      </c>
      <c r="E67" s="2"/>
      <c r="F67" s="19"/>
      <c r="G67" s="2"/>
      <c r="H67" s="2">
        <f>--727.75</f>
        <v>727.75</v>
      </c>
      <c r="I67" s="2"/>
      <c r="J67" s="19"/>
      <c r="K67" s="2"/>
      <c r="L67" s="2">
        <f t="shared" si="0"/>
        <v>1133.02</v>
      </c>
      <c r="M67" s="2"/>
      <c r="N67" s="19">
        <f t="shared" si="1"/>
        <v>1.5568807969769838</v>
      </c>
      <c r="O67" s="11"/>
      <c r="P67" s="2">
        <f>--12775.33</f>
        <v>12775.33</v>
      </c>
      <c r="Q67" s="2"/>
      <c r="R67" s="19"/>
      <c r="S67" s="2"/>
      <c r="T67" s="2">
        <f>--6003.33</f>
        <v>6003.33</v>
      </c>
      <c r="U67" s="2"/>
      <c r="V67" s="19"/>
      <c r="W67" s="2"/>
      <c r="X67" s="2">
        <f t="shared" si="2"/>
        <v>6772</v>
      </c>
      <c r="Y67" s="2"/>
      <c r="Z67" s="19">
        <f t="shared" si="3"/>
        <v>1.1280406041313737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--386.65</f>
        <v>386.65</v>
      </c>
      <c r="E68" s="2"/>
      <c r="F68" s="19"/>
      <c r="G68" s="2"/>
      <c r="H68" s="2">
        <f>--2399.88</f>
        <v>2399.88</v>
      </c>
      <c r="I68" s="2"/>
      <c r="J68" s="19"/>
      <c r="K68" s="2"/>
      <c r="L68" s="2">
        <f t="shared" si="0"/>
        <v>-2013.23</v>
      </c>
      <c r="M68" s="2"/>
      <c r="N68" s="19">
        <f t="shared" si="1"/>
        <v>-0.83888777772221945</v>
      </c>
      <c r="O68" s="11"/>
      <c r="P68" s="2">
        <f>--14128.08</f>
        <v>14128.08</v>
      </c>
      <c r="Q68" s="2"/>
      <c r="R68" s="19"/>
      <c r="S68" s="2"/>
      <c r="T68" s="2">
        <f>--19569.19</f>
        <v>19569.189999999999</v>
      </c>
      <c r="U68" s="2"/>
      <c r="V68" s="19"/>
      <c r="W68" s="2"/>
      <c r="X68" s="2">
        <f t="shared" si="2"/>
        <v>-5441.1099999999988</v>
      </c>
      <c r="Y68" s="2"/>
      <c r="Z68" s="19">
        <f t="shared" si="3"/>
        <v>-0.27804472234159916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-9.99</f>
        <v>-9.99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-9.99</v>
      </c>
      <c r="M69" s="2"/>
      <c r="N69" s="19">
        <f t="shared" si="1"/>
        <v>0</v>
      </c>
      <c r="O69" s="11"/>
      <c r="P69" s="2">
        <f>0</f>
        <v>0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0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--299.4</f>
        <v>299.39999999999998</v>
      </c>
      <c r="E70" s="2"/>
      <c r="F70" s="19"/>
      <c r="G70" s="2"/>
      <c r="H70" s="2">
        <f>--74.8</f>
        <v>74.8</v>
      </c>
      <c r="I70" s="2"/>
      <c r="J70" s="19"/>
      <c r="K70" s="2"/>
      <c r="L70" s="2">
        <f t="shared" si="0"/>
        <v>224.59999999999997</v>
      </c>
      <c r="M70" s="2"/>
      <c r="N70" s="19">
        <f t="shared" si="1"/>
        <v>3.0026737967914436</v>
      </c>
      <c r="O70" s="11"/>
      <c r="P70" s="2">
        <f>--2339.67</f>
        <v>2339.67</v>
      </c>
      <c r="Q70" s="2"/>
      <c r="R70" s="19"/>
      <c r="S70" s="2"/>
      <c r="T70" s="2">
        <f>--580.04</f>
        <v>580.04</v>
      </c>
      <c r="U70" s="2"/>
      <c r="V70" s="19"/>
      <c r="W70" s="2"/>
      <c r="X70" s="2">
        <f t="shared" si="2"/>
        <v>1759.63</v>
      </c>
      <c r="Y70" s="2"/>
      <c r="Z70" s="19">
        <f t="shared" si="3"/>
        <v>3.0336356113371497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>
        <f>--29.95</f>
        <v>29.95</v>
      </c>
      <c r="I71" s="2"/>
      <c r="J71" s="19"/>
      <c r="K71" s="2"/>
      <c r="L71" s="2">
        <f t="shared" si="0"/>
        <v>-29.95</v>
      </c>
      <c r="M71" s="2"/>
      <c r="N71" s="19">
        <f t="shared" si="1"/>
        <v>-1</v>
      </c>
      <c r="O71" s="11"/>
      <c r="P71" s="2">
        <f>--140</f>
        <v>140</v>
      </c>
      <c r="Q71" s="2"/>
      <c r="R71" s="19"/>
      <c r="S71" s="2"/>
      <c r="T71" s="2">
        <f>--1950.95</f>
        <v>1950.95</v>
      </c>
      <c r="U71" s="2"/>
      <c r="V71" s="19"/>
      <c r="W71" s="2"/>
      <c r="X71" s="2">
        <f t="shared" si="2"/>
        <v>-1810.95</v>
      </c>
      <c r="Y71" s="2"/>
      <c r="Z71" s="19">
        <f t="shared" si="3"/>
        <v>-0.9282400881621774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--121.7</f>
        <v>121.7</v>
      </c>
      <c r="E72" s="2"/>
      <c r="F72" s="19"/>
      <c r="G72" s="2"/>
      <c r="H72" s="2">
        <f>--28198.35</f>
        <v>28198.35</v>
      </c>
      <c r="I72" s="2"/>
      <c r="J72" s="19"/>
      <c r="K72" s="2"/>
      <c r="L72" s="2">
        <f t="shared" si="0"/>
        <v>-28076.649999999998</v>
      </c>
      <c r="M72" s="2"/>
      <c r="N72" s="19">
        <f t="shared" si="1"/>
        <v>-0.99568414463966859</v>
      </c>
      <c r="O72" s="11"/>
      <c r="P72" s="2">
        <f>--205908.65</f>
        <v>205908.65</v>
      </c>
      <c r="Q72" s="2"/>
      <c r="R72" s="19"/>
      <c r="S72" s="2"/>
      <c r="T72" s="2">
        <f>--260558.54</f>
        <v>260558.54</v>
      </c>
      <c r="U72" s="2"/>
      <c r="V72" s="19"/>
      <c r="W72" s="2"/>
      <c r="X72" s="2">
        <f t="shared" si="2"/>
        <v>-54649.890000000014</v>
      </c>
      <c r="Y72" s="2"/>
      <c r="Z72" s="19">
        <f t="shared" si="3"/>
        <v>-0.20974131187563461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 t="shared" ref="D73:D75" si="11">0</f>
        <v>0</v>
      </c>
      <c r="E73" s="2"/>
      <c r="F73" s="19"/>
      <c r="G73" s="2"/>
      <c r="H73" s="2">
        <f>--167.5</f>
        <v>167.5</v>
      </c>
      <c r="I73" s="2"/>
      <c r="J73" s="19"/>
      <c r="K73" s="2"/>
      <c r="L73" s="2">
        <f t="shared" si="0"/>
        <v>-167.5</v>
      </c>
      <c r="M73" s="2"/>
      <c r="N73" s="19">
        <f t="shared" si="1"/>
        <v>-1</v>
      </c>
      <c r="O73" s="11"/>
      <c r="P73" s="2">
        <f>--3436.37</f>
        <v>3436.37</v>
      </c>
      <c r="Q73" s="2"/>
      <c r="R73" s="19"/>
      <c r="S73" s="2"/>
      <c r="T73" s="2">
        <f>--898.23</f>
        <v>898.23</v>
      </c>
      <c r="U73" s="2"/>
      <c r="V73" s="19"/>
      <c r="W73" s="2"/>
      <c r="X73" s="2">
        <f t="shared" si="2"/>
        <v>2538.14</v>
      </c>
      <c r="Y73" s="2"/>
      <c r="Z73" s="19">
        <f t="shared" si="3"/>
        <v>2.8257127907106194</v>
      </c>
    </row>
    <row r="74" spans="1:26" s="24" customFormat="1" hidden="1" outlineLevel="1" x14ac:dyDescent="0.25">
      <c r="A74" s="44"/>
      <c r="B74" s="11" t="str">
        <f>CONCATENATE("          ", "4186", " - ", "NON-TAXABLE SALES-COMPUTER SUP")</f>
        <v xml:space="preserve">          4186 - NON-TAXABLE SALES-COMPUTER SUP</v>
      </c>
      <c r="C74" s="11"/>
      <c r="D74" s="2">
        <f t="shared" si="11"/>
        <v>0</v>
      </c>
      <c r="E74" s="2"/>
      <c r="F74" s="19"/>
      <c r="G74" s="2"/>
      <c r="H74" s="2">
        <f>-29</f>
        <v>-29</v>
      </c>
      <c r="I74" s="2"/>
      <c r="J74" s="19"/>
      <c r="K74" s="2"/>
      <c r="L74" s="2">
        <f t="shared" si="0"/>
        <v>29</v>
      </c>
      <c r="M74" s="2"/>
      <c r="N74" s="19">
        <f t="shared" si="1"/>
        <v>-1</v>
      </c>
      <c r="O74" s="11"/>
      <c r="P74" s="2">
        <f>-30.97</f>
        <v>-30.97</v>
      </c>
      <c r="Q74" s="2"/>
      <c r="R74" s="19"/>
      <c r="S74" s="2"/>
      <c r="T74" s="2">
        <f>-174.68</f>
        <v>-174.68</v>
      </c>
      <c r="U74" s="2"/>
      <c r="V74" s="19"/>
      <c r="W74" s="2"/>
      <c r="X74" s="2">
        <f t="shared" si="2"/>
        <v>143.71</v>
      </c>
      <c r="Y74" s="2"/>
      <c r="Z74" s="19">
        <f t="shared" si="3"/>
        <v>-0.82270437371193039</v>
      </c>
    </row>
    <row r="75" spans="1:26" s="24" customFormat="1" hidden="1" outlineLevel="1" x14ac:dyDescent="0.25">
      <c r="A75" s="44"/>
      <c r="B75" s="11" t="str">
        <f>CONCATENATE("          ", "4192", " - ", "NON-TAXABLE SALES-GRAD MERCH")</f>
        <v xml:space="preserve">          4192 - NON-TAXABLE SALES-GRAD MERCH</v>
      </c>
      <c r="C75" s="11"/>
      <c r="D75" s="2">
        <f t="shared" si="11"/>
        <v>0</v>
      </c>
      <c r="E75" s="2"/>
      <c r="F75" s="19"/>
      <c r="G75" s="2"/>
      <c r="H75" s="2">
        <f>--313.5</f>
        <v>313.5</v>
      </c>
      <c r="I75" s="2"/>
      <c r="J75" s="19"/>
      <c r="K75" s="2"/>
      <c r="L75" s="2">
        <f t="shared" si="0"/>
        <v>-313.5</v>
      </c>
      <c r="M75" s="2"/>
      <c r="N75" s="19">
        <f t="shared" si="1"/>
        <v>-1</v>
      </c>
      <c r="O75" s="11"/>
      <c r="P75" s="2">
        <f>0</f>
        <v>0</v>
      </c>
      <c r="Q75" s="2"/>
      <c r="R75" s="19"/>
      <c r="S75" s="2"/>
      <c r="T75" s="2">
        <f>--532</f>
        <v>532</v>
      </c>
      <c r="U75" s="2"/>
      <c r="V75" s="19"/>
      <c r="W75" s="2"/>
      <c r="X75" s="2">
        <f t="shared" si="2"/>
        <v>-532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-62.3</f>
        <v>-62.3</v>
      </c>
      <c r="E76" s="2"/>
      <c r="F76" s="19"/>
      <c r="G76" s="2"/>
      <c r="H76" s="2">
        <f>-295.04</f>
        <v>-295.04000000000002</v>
      </c>
      <c r="I76" s="2"/>
      <c r="J76" s="19"/>
      <c r="K76" s="2"/>
      <c r="L76" s="2">
        <f t="shared" si="0"/>
        <v>232.74</v>
      </c>
      <c r="M76" s="2"/>
      <c r="N76" s="19">
        <f t="shared" si="1"/>
        <v>-0.78884219088937091</v>
      </c>
      <c r="O76" s="11"/>
      <c r="P76" s="2">
        <f>-121223.01</f>
        <v>-121223.01</v>
      </c>
      <c r="Q76" s="2"/>
      <c r="R76" s="19"/>
      <c r="S76" s="2"/>
      <c r="T76" s="2">
        <f>-175695.6</f>
        <v>-175695.6</v>
      </c>
      <c r="U76" s="2"/>
      <c r="V76" s="19"/>
      <c r="W76" s="2"/>
      <c r="X76" s="2">
        <f t="shared" si="2"/>
        <v>54472.590000000011</v>
      </c>
      <c r="Y76" s="2"/>
      <c r="Z76" s="19">
        <f t="shared" si="3"/>
        <v>-0.31003957981873198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-31.95</f>
        <v>-31.95</v>
      </c>
      <c r="E77" s="2"/>
      <c r="F77" s="19"/>
      <c r="G77" s="2"/>
      <c r="H77" s="2">
        <f>-238.1</f>
        <v>-238.1</v>
      </c>
      <c r="I77" s="2"/>
      <c r="J77" s="19"/>
      <c r="K77" s="2"/>
      <c r="L77" s="2">
        <f t="shared" si="0"/>
        <v>206.15</v>
      </c>
      <c r="M77" s="2"/>
      <c r="N77" s="19">
        <f t="shared" si="1"/>
        <v>-0.86581268374632514</v>
      </c>
      <c r="O77" s="11"/>
      <c r="P77" s="2">
        <f>-45552.71</f>
        <v>-45552.71</v>
      </c>
      <c r="Q77" s="2"/>
      <c r="R77" s="19"/>
      <c r="S77" s="2"/>
      <c r="T77" s="2">
        <f>-45639.95</f>
        <v>-45639.95</v>
      </c>
      <c r="U77" s="2"/>
      <c r="V77" s="19"/>
      <c r="W77" s="2"/>
      <c r="X77" s="2">
        <f t="shared" si="2"/>
        <v>87.239999999997963</v>
      </c>
      <c r="Y77" s="2"/>
      <c r="Z77" s="19">
        <f t="shared" si="3"/>
        <v>-1.9114832509675836E-3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 t="shared" ref="D78:D79" si="12">0</f>
        <v>0</v>
      </c>
      <c r="E78" s="2"/>
      <c r="F78" s="19"/>
      <c r="G78" s="2"/>
      <c r="H78" s="2">
        <f t="shared" ref="H78:H79" si="13"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>
        <f>-1699.5</f>
        <v>-1699.5</v>
      </c>
      <c r="U78" s="2"/>
      <c r="V78" s="19"/>
      <c r="W78" s="2"/>
      <c r="X78" s="2">
        <f t="shared" si="2"/>
        <v>1554.51</v>
      </c>
      <c r="Y78" s="2"/>
      <c r="Z78" s="19">
        <f t="shared" si="3"/>
        <v>-0.9146866725507502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 t="shared" si="12"/>
        <v>0</v>
      </c>
      <c r="E79" s="2"/>
      <c r="F79" s="19"/>
      <c r="G79" s="2"/>
      <c r="H79" s="2">
        <f t="shared" si="13"/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-17255.33</f>
        <v>-17255.330000000002</v>
      </c>
      <c r="Q79" s="2"/>
      <c r="R79" s="19"/>
      <c r="S79" s="2"/>
      <c r="T79" s="2">
        <f>-27059.65</f>
        <v>-27059.65</v>
      </c>
      <c r="U79" s="2"/>
      <c r="V79" s="19"/>
      <c r="W79" s="2"/>
      <c r="X79" s="2">
        <f t="shared" si="2"/>
        <v>9804.32</v>
      </c>
      <c r="Y79" s="2"/>
      <c r="Z79" s="19">
        <f t="shared" si="3"/>
        <v>-0.36232249862803101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>-2173.76</f>
        <v>-2173.7600000000002</v>
      </c>
      <c r="E80" s="2"/>
      <c r="F80" s="19"/>
      <c r="G80" s="2"/>
      <c r="H80" s="2">
        <f>-899.64</f>
        <v>-899.64</v>
      </c>
      <c r="I80" s="2"/>
      <c r="J80" s="19"/>
      <c r="K80" s="2"/>
      <c r="L80" s="2">
        <f t="shared" si="0"/>
        <v>-1274.1200000000003</v>
      </c>
      <c r="M80" s="2"/>
      <c r="N80" s="19">
        <f t="shared" si="1"/>
        <v>1.4162553910453075</v>
      </c>
      <c r="O80" s="11"/>
      <c r="P80" s="2">
        <f>-2768.67</f>
        <v>-2768.67</v>
      </c>
      <c r="Q80" s="2"/>
      <c r="R80" s="19"/>
      <c r="S80" s="2"/>
      <c r="T80" s="2">
        <f>-1548.35</f>
        <v>-1548.35</v>
      </c>
      <c r="U80" s="2"/>
      <c r="V80" s="19"/>
      <c r="W80" s="2"/>
      <c r="X80" s="2">
        <f t="shared" si="2"/>
        <v>-1220.3200000000002</v>
      </c>
      <c r="Y80" s="2"/>
      <c r="Z80" s="19">
        <f t="shared" si="3"/>
        <v>0.7881422159072563</v>
      </c>
    </row>
    <row r="81" spans="1:26" s="24" customFormat="1" hidden="1" outlineLevel="1" x14ac:dyDescent="0.25">
      <c r="A81" s="44"/>
      <c r="B81" s="11" t="str">
        <f>CONCATENATE("          ", "4214", " - ", "SALES RETURN TAXABLE-REMAINDER")</f>
        <v xml:space="preserve">          4214 - SALES RETURN TAXABLE-REMAINDER</v>
      </c>
      <c r="C81" s="11"/>
      <c r="D81" s="2">
        <f t="shared" ref="D81:D89" si="14">0</f>
        <v>0</v>
      </c>
      <c r="E81" s="2"/>
      <c r="F81" s="19"/>
      <c r="G81" s="2"/>
      <c r="H81" s="2">
        <f t="shared" ref="H81:H83" si="15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-11.94</f>
        <v>-11.94</v>
      </c>
      <c r="Q81" s="2"/>
      <c r="R81" s="19"/>
      <c r="S81" s="2"/>
      <c r="T81" s="2">
        <f>-19.84</f>
        <v>-19.84</v>
      </c>
      <c r="U81" s="2"/>
      <c r="V81" s="19"/>
      <c r="W81" s="2"/>
      <c r="X81" s="2">
        <f t="shared" si="2"/>
        <v>7.9</v>
      </c>
      <c r="Y81" s="2"/>
      <c r="Z81" s="19">
        <f t="shared" si="3"/>
        <v>-0.39818548387096775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si="14"/>
        <v>0</v>
      </c>
      <c r="E82" s="2"/>
      <c r="F82" s="19"/>
      <c r="G82" s="2"/>
      <c r="H82" s="2">
        <f t="shared" si="15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-2.98</f>
        <v>-2.98</v>
      </c>
      <c r="Q82" s="2"/>
      <c r="R82" s="19"/>
      <c r="S82" s="2"/>
      <c r="T82" s="2">
        <f>-1.5</f>
        <v>-1.5</v>
      </c>
      <c r="U82" s="2"/>
      <c r="V82" s="19"/>
      <c r="W82" s="2"/>
      <c r="X82" s="2">
        <f t="shared" si="2"/>
        <v>-1.48</v>
      </c>
      <c r="Y82" s="2"/>
      <c r="Z82" s="19">
        <f t="shared" si="3"/>
        <v>0.98666666666666669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 t="shared" si="14"/>
        <v>0</v>
      </c>
      <c r="E83" s="2"/>
      <c r="F83" s="19"/>
      <c r="G83" s="2"/>
      <c r="H83" s="2">
        <f t="shared" si="15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-39.25</f>
        <v>-39.25</v>
      </c>
      <c r="Q83" s="2"/>
      <c r="R83" s="19"/>
      <c r="S83" s="2"/>
      <c r="T83" s="2">
        <f>-67.6</f>
        <v>-67.599999999999994</v>
      </c>
      <c r="U83" s="2"/>
      <c r="V83" s="19"/>
      <c r="W83" s="2"/>
      <c r="X83" s="2">
        <f t="shared" si="2"/>
        <v>28.349999999999994</v>
      </c>
      <c r="Y83" s="2"/>
      <c r="Z83" s="19">
        <f t="shared" si="3"/>
        <v>-0.41937869822485202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 t="shared" si="14"/>
        <v>0</v>
      </c>
      <c r="E84" s="2"/>
      <c r="F84" s="19"/>
      <c r="G84" s="2"/>
      <c r="H84" s="2">
        <f>-73.92</f>
        <v>-73.92</v>
      </c>
      <c r="I84" s="2"/>
      <c r="J84" s="19"/>
      <c r="K84" s="2"/>
      <c r="L84" s="2">
        <f t="shared" si="0"/>
        <v>73.92</v>
      </c>
      <c r="M84" s="2"/>
      <c r="N84" s="19">
        <f t="shared" si="1"/>
        <v>-1</v>
      </c>
      <c r="O84" s="11"/>
      <c r="P84" s="2">
        <f>-176.41</f>
        <v>-176.41</v>
      </c>
      <c r="Q84" s="2"/>
      <c r="R84" s="19"/>
      <c r="S84" s="2"/>
      <c r="T84" s="2">
        <f>-187.82</f>
        <v>-187.82</v>
      </c>
      <c r="U84" s="2"/>
      <c r="V84" s="19"/>
      <c r="W84" s="2"/>
      <c r="X84" s="2">
        <f t="shared" si="2"/>
        <v>11.409999999999997</v>
      </c>
      <c r="Y84" s="2"/>
      <c r="Z84" s="19">
        <f t="shared" si="3"/>
        <v>-6.0749653923969742E-2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 t="shared" si="14"/>
        <v>0</v>
      </c>
      <c r="E85" s="2"/>
      <c r="F85" s="19"/>
      <c r="G85" s="2"/>
      <c r="H85" s="2">
        <f>-292.72</f>
        <v>-292.72000000000003</v>
      </c>
      <c r="I85" s="2"/>
      <c r="J85" s="19"/>
      <c r="K85" s="2"/>
      <c r="L85" s="2">
        <f t="shared" si="0"/>
        <v>292.72000000000003</v>
      </c>
      <c r="M85" s="2"/>
      <c r="N85" s="19">
        <f t="shared" si="1"/>
        <v>-1</v>
      </c>
      <c r="O85" s="11"/>
      <c r="P85" s="2">
        <f>-765.04</f>
        <v>-765.04</v>
      </c>
      <c r="Q85" s="2"/>
      <c r="R85" s="19"/>
      <c r="S85" s="2"/>
      <c r="T85" s="2">
        <f>-670.45</f>
        <v>-670.45</v>
      </c>
      <c r="U85" s="2"/>
      <c r="V85" s="19"/>
      <c r="W85" s="2"/>
      <c r="X85" s="2">
        <f t="shared" si="2"/>
        <v>-94.589999999999918</v>
      </c>
      <c r="Y85" s="2"/>
      <c r="Z85" s="19">
        <f t="shared" si="3"/>
        <v>0.1410843463345513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 t="shared" si="14"/>
        <v>0</v>
      </c>
      <c r="E86" s="2"/>
      <c r="F86" s="19"/>
      <c r="G86" s="2"/>
      <c r="H86" s="2">
        <f>-521.01</f>
        <v>-521.01</v>
      </c>
      <c r="I86" s="2"/>
      <c r="J86" s="19"/>
      <c r="K86" s="2"/>
      <c r="L86" s="2">
        <f t="shared" si="0"/>
        <v>521.01</v>
      </c>
      <c r="M86" s="2"/>
      <c r="N86" s="19">
        <f t="shared" si="1"/>
        <v>-1</v>
      </c>
      <c r="O86" s="11"/>
      <c r="P86" s="2">
        <f>-8593.61</f>
        <v>-8593.61</v>
      </c>
      <c r="Q86" s="2"/>
      <c r="R86" s="19"/>
      <c r="S86" s="2"/>
      <c r="T86" s="2">
        <f>-6491.83</f>
        <v>-6491.83</v>
      </c>
      <c r="U86" s="2"/>
      <c r="V86" s="19"/>
      <c r="W86" s="2"/>
      <c r="X86" s="2">
        <f t="shared" si="2"/>
        <v>-2101.7800000000007</v>
      </c>
      <c r="Y86" s="2"/>
      <c r="Z86" s="19">
        <f t="shared" si="3"/>
        <v>0.32375770776499085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 t="shared" si="14"/>
        <v>0</v>
      </c>
      <c r="E87" s="2"/>
      <c r="F87" s="19"/>
      <c r="G87" s="2"/>
      <c r="H87" s="2">
        <f>-636.43</f>
        <v>-636.42999999999995</v>
      </c>
      <c r="I87" s="2"/>
      <c r="J87" s="19"/>
      <c r="K87" s="2"/>
      <c r="L87" s="2">
        <f t="shared" si="0"/>
        <v>636.42999999999995</v>
      </c>
      <c r="M87" s="2"/>
      <c r="N87" s="19">
        <f t="shared" si="1"/>
        <v>-1</v>
      </c>
      <c r="O87" s="11"/>
      <c r="P87" s="2">
        <f>-4739.1</f>
        <v>-4739.1000000000004</v>
      </c>
      <c r="Q87" s="2"/>
      <c r="R87" s="19"/>
      <c r="S87" s="2"/>
      <c r="T87" s="2">
        <f>-8058.01</f>
        <v>-8058.01</v>
      </c>
      <c r="U87" s="2"/>
      <c r="V87" s="19"/>
      <c r="W87" s="2"/>
      <c r="X87" s="2">
        <f t="shared" si="2"/>
        <v>3318.91</v>
      </c>
      <c r="Y87" s="2"/>
      <c r="Z87" s="19">
        <f t="shared" si="3"/>
        <v>-0.41187712599016379</v>
      </c>
    </row>
    <row r="88" spans="1:26" s="24" customFormat="1" hidden="1" outlineLevel="1" x14ac:dyDescent="0.25">
      <c r="A88" s="44"/>
      <c r="B88" s="11" t="str">
        <f>CONCATENATE("          ", "4233", " - ", "SALES RETURN TAXABLE-CANDY")</f>
        <v xml:space="preserve">          4233 - SALES RETURN TAXABLE-CANDY</v>
      </c>
      <c r="C88" s="11"/>
      <c r="D88" s="2">
        <f t="shared" si="14"/>
        <v>0</v>
      </c>
      <c r="E88" s="2"/>
      <c r="F88" s="19"/>
      <c r="G88" s="2"/>
      <c r="H88" s="2">
        <f t="shared" ref="H88:H89" si="16"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-8.25</f>
        <v>-8.25</v>
      </c>
      <c r="Q88" s="2"/>
      <c r="R88" s="19"/>
      <c r="S88" s="2"/>
      <c r="T88" s="2">
        <f>-3.58</f>
        <v>-3.58</v>
      </c>
      <c r="U88" s="2"/>
      <c r="V88" s="19"/>
      <c r="W88" s="2"/>
      <c r="X88" s="2">
        <f t="shared" si="2"/>
        <v>-4.67</v>
      </c>
      <c r="Y88" s="2"/>
      <c r="Z88" s="19">
        <f t="shared" si="3"/>
        <v>1.3044692737430168</v>
      </c>
    </row>
    <row r="89" spans="1:26" s="24" customFormat="1" hidden="1" outlineLevel="1" x14ac:dyDescent="0.25">
      <c r="A89" s="44"/>
      <c r="B89" s="11" t="str">
        <f>CONCATENATE("          ", "4234", " - ", "SALES RETURN TAXABLE-SODA")</f>
        <v xml:space="preserve">          4234 - SALES RETURN TAXABLE-SODA</v>
      </c>
      <c r="C89" s="11"/>
      <c r="D89" s="2">
        <f t="shared" si="14"/>
        <v>0</v>
      </c>
      <c r="E89" s="2"/>
      <c r="F89" s="19"/>
      <c r="G89" s="2"/>
      <c r="H89" s="2">
        <f t="shared" si="16"/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-5.28</f>
        <v>-5.28</v>
      </c>
      <c r="U89" s="2"/>
      <c r="V89" s="19"/>
      <c r="W89" s="2"/>
      <c r="X89" s="2">
        <f t="shared" si="2"/>
        <v>5.28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-1642.96</f>
        <v>-1642.96</v>
      </c>
      <c r="E90" s="2"/>
      <c r="F90" s="19"/>
      <c r="G90" s="2"/>
      <c r="H90" s="2">
        <f>-7874.77</f>
        <v>-7874.77</v>
      </c>
      <c r="I90" s="2"/>
      <c r="J90" s="19"/>
      <c r="K90" s="2"/>
      <c r="L90" s="2">
        <f t="shared" si="0"/>
        <v>6231.81</v>
      </c>
      <c r="M90" s="2"/>
      <c r="N90" s="19">
        <f t="shared" si="1"/>
        <v>-0.79136406523619107</v>
      </c>
      <c r="O90" s="11"/>
      <c r="P90" s="2">
        <f>-74455.19</f>
        <v>-74455.19</v>
      </c>
      <c r="Q90" s="2"/>
      <c r="R90" s="19"/>
      <c r="S90" s="2"/>
      <c r="T90" s="2">
        <f>-83871.12</f>
        <v>-83871.12</v>
      </c>
      <c r="U90" s="2"/>
      <c r="V90" s="19"/>
      <c r="W90" s="2"/>
      <c r="X90" s="2">
        <f t="shared" si="2"/>
        <v>9415.929999999993</v>
      </c>
      <c r="Y90" s="2"/>
      <c r="Z90" s="19">
        <f t="shared" si="3"/>
        <v>-0.11226665388515134</v>
      </c>
    </row>
    <row r="91" spans="1:26" s="24" customFormat="1" hidden="1" outlineLevel="1" x14ac:dyDescent="0.25">
      <c r="A91" s="44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-190.5</f>
        <v>-190.5</v>
      </c>
      <c r="E91" s="2"/>
      <c r="F91" s="19"/>
      <c r="G91" s="2"/>
      <c r="H91" s="2">
        <f>-728.13</f>
        <v>-728.13</v>
      </c>
      <c r="I91" s="2"/>
      <c r="J91" s="19"/>
      <c r="K91" s="2"/>
      <c r="L91" s="2">
        <f t="shared" si="0"/>
        <v>537.63</v>
      </c>
      <c r="M91" s="2"/>
      <c r="N91" s="19">
        <f t="shared" si="1"/>
        <v>-0.73837089530715672</v>
      </c>
      <c r="O91" s="11"/>
      <c r="P91" s="2">
        <f>-6331.88</f>
        <v>-6331.88</v>
      </c>
      <c r="Q91" s="2"/>
      <c r="R91" s="19"/>
      <c r="S91" s="2"/>
      <c r="T91" s="2">
        <f>-10787.05</f>
        <v>-10787.05</v>
      </c>
      <c r="U91" s="2"/>
      <c r="V91" s="19"/>
      <c r="W91" s="2"/>
      <c r="X91" s="2">
        <f t="shared" si="2"/>
        <v>4455.1699999999992</v>
      </c>
      <c r="Y91" s="2"/>
      <c r="Z91" s="19">
        <f t="shared" si="3"/>
        <v>-0.41301097148896126</v>
      </c>
    </row>
    <row r="92" spans="1:26" s="24" customFormat="1" hidden="1" outlineLevel="1" x14ac:dyDescent="0.25">
      <c r="A92" s="44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-3</f>
        <v>-3</v>
      </c>
      <c r="E92" s="2"/>
      <c r="F92" s="19"/>
      <c r="G92" s="2"/>
      <c r="H92" s="2">
        <f>-832.72</f>
        <v>-832.72</v>
      </c>
      <c r="I92" s="2"/>
      <c r="J92" s="19"/>
      <c r="K92" s="2"/>
      <c r="L92" s="2">
        <f t="shared" si="0"/>
        <v>829.72</v>
      </c>
      <c r="M92" s="2"/>
      <c r="N92" s="19">
        <f t="shared" si="1"/>
        <v>-0.99639734844845806</v>
      </c>
      <c r="O92" s="11"/>
      <c r="P92" s="2">
        <f>-4181.41</f>
        <v>-4181.41</v>
      </c>
      <c r="Q92" s="2"/>
      <c r="R92" s="19"/>
      <c r="S92" s="2"/>
      <c r="T92" s="2">
        <f>-4239.18</f>
        <v>-4239.18</v>
      </c>
      <c r="U92" s="2"/>
      <c r="V92" s="19"/>
      <c r="W92" s="2"/>
      <c r="X92" s="2">
        <f t="shared" si="2"/>
        <v>57.770000000000437</v>
      </c>
      <c r="Y92" s="2"/>
      <c r="Z92" s="19">
        <f t="shared" si="3"/>
        <v>-1.36276355332872E-2</v>
      </c>
    </row>
    <row r="93" spans="1:26" s="24" customFormat="1" hidden="1" outlineLevel="1" x14ac:dyDescent="0.25">
      <c r="A93" s="44"/>
      <c r="B93" s="11" t="str">
        <f>CONCATENATE("          ", "4243", " - ", "SALES RETURN TAXABLE-CARDS")</f>
        <v xml:space="preserve">          4243 - SALES RETURN TAXABLE-CARDS</v>
      </c>
      <c r="C93" s="11"/>
      <c r="D93" s="2">
        <f>-13</f>
        <v>-13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-13</v>
      </c>
      <c r="M93" s="2"/>
      <c r="N93" s="19">
        <f t="shared" si="1"/>
        <v>0</v>
      </c>
      <c r="O93" s="11"/>
      <c r="P93" s="2">
        <f>-3006.31</f>
        <v>-3006.31</v>
      </c>
      <c r="Q93" s="2"/>
      <c r="R93" s="19"/>
      <c r="S93" s="2"/>
      <c r="T93" s="2">
        <f>-25.94</f>
        <v>-25.94</v>
      </c>
      <c r="U93" s="2"/>
      <c r="V93" s="19"/>
      <c r="W93" s="2"/>
      <c r="X93" s="2">
        <f t="shared" si="2"/>
        <v>-2980.37</v>
      </c>
      <c r="Y93" s="2"/>
      <c r="Z93" s="19">
        <f t="shared" si="3"/>
        <v>114.89475713184271</v>
      </c>
    </row>
    <row r="94" spans="1:26" s="24" customFormat="1" hidden="1" outlineLevel="1" x14ac:dyDescent="0.25">
      <c r="A94" s="44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 t="shared" ref="D94:D98" si="17">0</f>
        <v>0</v>
      </c>
      <c r="E94" s="2"/>
      <c r="F94" s="19"/>
      <c r="G94" s="2"/>
      <c r="H94" s="2">
        <f>-174.65</f>
        <v>-174.65</v>
      </c>
      <c r="I94" s="2"/>
      <c r="J94" s="19"/>
      <c r="K94" s="2"/>
      <c r="L94" s="2">
        <f t="shared" si="0"/>
        <v>174.65</v>
      </c>
      <c r="M94" s="2"/>
      <c r="N94" s="19">
        <f t="shared" si="1"/>
        <v>-1</v>
      </c>
      <c r="O94" s="11"/>
      <c r="P94" s="2">
        <f>-2470.7</f>
        <v>-2470.6999999999998</v>
      </c>
      <c r="Q94" s="2"/>
      <c r="R94" s="19"/>
      <c r="S94" s="2"/>
      <c r="T94" s="2">
        <f>-3829.22</f>
        <v>-3829.22</v>
      </c>
      <c r="U94" s="2"/>
      <c r="V94" s="19"/>
      <c r="W94" s="2"/>
      <c r="X94" s="2">
        <f t="shared" si="2"/>
        <v>1358.52</v>
      </c>
      <c r="Y94" s="2"/>
      <c r="Z94" s="19">
        <f t="shared" si="3"/>
        <v>-0.35477721311389787</v>
      </c>
    </row>
    <row r="95" spans="1:26" s="24" customFormat="1" hidden="1" outlineLevel="1" x14ac:dyDescent="0.25">
      <c r="A95" s="44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 t="shared" si="17"/>
        <v>0</v>
      </c>
      <c r="E95" s="2"/>
      <c r="F95" s="19"/>
      <c r="G95" s="2"/>
      <c r="H95" s="2">
        <f>-504</f>
        <v>-504</v>
      </c>
      <c r="I95" s="2"/>
      <c r="J95" s="19"/>
      <c r="K95" s="2"/>
      <c r="L95" s="2">
        <f t="shared" si="0"/>
        <v>504</v>
      </c>
      <c r="M95" s="2"/>
      <c r="N95" s="19">
        <f t="shared" si="1"/>
        <v>-1</v>
      </c>
      <c r="O95" s="11"/>
      <c r="P95" s="2">
        <f>-1735.03</f>
        <v>-1735.03</v>
      </c>
      <c r="Q95" s="2"/>
      <c r="R95" s="19"/>
      <c r="S95" s="2"/>
      <c r="T95" s="2">
        <f>-751.92</f>
        <v>-751.92</v>
      </c>
      <c r="U95" s="2"/>
      <c r="V95" s="19"/>
      <c r="W95" s="2"/>
      <c r="X95" s="2">
        <f t="shared" si="2"/>
        <v>-983.11</v>
      </c>
      <c r="Y95" s="2"/>
      <c r="Z95" s="19">
        <f t="shared" si="3"/>
        <v>1.3074662198106182</v>
      </c>
    </row>
    <row r="96" spans="1:26" s="24" customFormat="1" hidden="1" outlineLevel="1" x14ac:dyDescent="0.25">
      <c r="A96" s="44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 t="shared" si="17"/>
        <v>0</v>
      </c>
      <c r="E96" s="2"/>
      <c r="F96" s="19"/>
      <c r="G96" s="2"/>
      <c r="H96" s="2">
        <f>-9.99</f>
        <v>-9.99</v>
      </c>
      <c r="I96" s="2"/>
      <c r="J96" s="19"/>
      <c r="K96" s="2"/>
      <c r="L96" s="2">
        <f t="shared" si="0"/>
        <v>9.99</v>
      </c>
      <c r="M96" s="2"/>
      <c r="N96" s="19">
        <f t="shared" si="1"/>
        <v>-1</v>
      </c>
      <c r="O96" s="11"/>
      <c r="P96" s="2">
        <f>-54.97</f>
        <v>-54.97</v>
      </c>
      <c r="Q96" s="2"/>
      <c r="R96" s="19"/>
      <c r="S96" s="2"/>
      <c r="T96" s="2">
        <f>-64.95</f>
        <v>-64.95</v>
      </c>
      <c r="U96" s="2"/>
      <c r="V96" s="19"/>
      <c r="W96" s="2"/>
      <c r="X96" s="2">
        <f t="shared" si="2"/>
        <v>9.980000000000004</v>
      </c>
      <c r="Y96" s="2"/>
      <c r="Z96" s="19">
        <f t="shared" si="3"/>
        <v>-0.1536566589684373</v>
      </c>
    </row>
    <row r="97" spans="1:26" s="24" customFormat="1" hidden="1" outlineLevel="1" x14ac:dyDescent="0.25">
      <c r="A97" s="44"/>
      <c r="B97" s="11" t="str">
        <f>CONCATENATE("          ", "4292", " - ", "SALES RETURN TAXABLE-GRAD MERC")</f>
        <v xml:space="preserve">          4292 - SALES RETURN TAXABLE-GRAD MERC</v>
      </c>
      <c r="C97" s="11"/>
      <c r="D97" s="2">
        <f t="shared" si="17"/>
        <v>0</v>
      </c>
      <c r="E97" s="2"/>
      <c r="F97" s="19"/>
      <c r="G97" s="2"/>
      <c r="H97" s="2">
        <f>-1283.46</f>
        <v>-1283.46</v>
      </c>
      <c r="I97" s="2"/>
      <c r="J97" s="19"/>
      <c r="K97" s="2"/>
      <c r="L97" s="2">
        <f t="shared" si="0"/>
        <v>1283.46</v>
      </c>
      <c r="M97" s="2"/>
      <c r="N97" s="19">
        <f t="shared" si="1"/>
        <v>-1</v>
      </c>
      <c r="O97" s="11"/>
      <c r="P97" s="2">
        <f>-513.95</f>
        <v>-513.95000000000005</v>
      </c>
      <c r="Q97" s="2"/>
      <c r="R97" s="19"/>
      <c r="S97" s="2"/>
      <c r="T97" s="2">
        <f>-3962.96</f>
        <v>-3962.96</v>
      </c>
      <c r="U97" s="2"/>
      <c r="V97" s="19"/>
      <c r="W97" s="2"/>
      <c r="X97" s="2">
        <f t="shared" si="2"/>
        <v>3449.01</v>
      </c>
      <c r="Y97" s="2"/>
      <c r="Z97" s="19">
        <f t="shared" si="3"/>
        <v>-0.87031158527968999</v>
      </c>
    </row>
    <row r="98" spans="1:26" s="24" customFormat="1" hidden="1" outlineLevel="1" x14ac:dyDescent="0.25">
      <c r="A98" s="44"/>
      <c r="B98" s="11" t="str">
        <f>CONCATENATE("          ", "4295", " - ", "SALES RETURN TAXABLE-CUSTOMER")</f>
        <v xml:space="preserve">          4295 - SALES RETURN TAXABLE-CUSTOMER</v>
      </c>
      <c r="C98" s="11"/>
      <c r="D98" s="2">
        <f t="shared" si="17"/>
        <v>0</v>
      </c>
      <c r="E98" s="2"/>
      <c r="F98" s="19"/>
      <c r="G98" s="2"/>
      <c r="H98" s="2">
        <f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--0.99</f>
        <v>0.99</v>
      </c>
      <c r="Q98" s="2"/>
      <c r="R98" s="19"/>
      <c r="S98" s="2"/>
      <c r="T98" s="2">
        <f>-126.72</f>
        <v>-126.72</v>
      </c>
      <c r="U98" s="2"/>
      <c r="V98" s="19"/>
      <c r="W98" s="2"/>
      <c r="X98" s="2">
        <f t="shared" si="2"/>
        <v>127.71</v>
      </c>
      <c r="Y98" s="2"/>
      <c r="Z98" s="19">
        <f t="shared" si="3"/>
        <v>-1.0078125</v>
      </c>
    </row>
    <row r="99" spans="1:26" s="24" customFormat="1" hidden="1" outlineLevel="1" x14ac:dyDescent="0.25">
      <c r="A99" s="44"/>
      <c r="B99" s="11" t="str">
        <f>CONCATENATE("          ", "4301", " - ", "SALES RETURN NON TAXABLE-NEW T")</f>
        <v xml:space="preserve">          4301 - SALES RETURN NON TAXABLE-NEW T</v>
      </c>
      <c r="C99" s="11"/>
      <c r="D99" s="2">
        <f>-357.81</f>
        <v>-357.81</v>
      </c>
      <c r="E99" s="2"/>
      <c r="F99" s="19"/>
      <c r="G99" s="2"/>
      <c r="H99" s="2">
        <f>-367.54</f>
        <v>-367.54</v>
      </c>
      <c r="I99" s="2"/>
      <c r="J99" s="19"/>
      <c r="K99" s="2"/>
      <c r="L99" s="2">
        <f t="shared" si="0"/>
        <v>9.7300000000000182</v>
      </c>
      <c r="M99" s="2"/>
      <c r="N99" s="19">
        <f t="shared" si="1"/>
        <v>-2.6473309027588883E-2</v>
      </c>
      <c r="O99" s="11"/>
      <c r="P99" s="2">
        <f>-15579.43</f>
        <v>-15579.43</v>
      </c>
      <c r="Q99" s="2"/>
      <c r="R99" s="19"/>
      <c r="S99" s="2"/>
      <c r="T99" s="2">
        <f>-49571.09</f>
        <v>-49571.09</v>
      </c>
      <c r="U99" s="2"/>
      <c r="V99" s="19"/>
      <c r="W99" s="2"/>
      <c r="X99" s="2">
        <f t="shared" si="2"/>
        <v>33991.659999999996</v>
      </c>
      <c r="Y99" s="2"/>
      <c r="Z99" s="19">
        <f t="shared" si="3"/>
        <v>-0.68571540387754226</v>
      </c>
    </row>
    <row r="100" spans="1:26" s="24" customFormat="1" hidden="1" outlineLevel="1" x14ac:dyDescent="0.25">
      <c r="A100" s="44"/>
      <c r="B100" s="11" t="str">
        <f>CONCATENATE("          ", "4302", " - ", "SALES RETURN NON TAXABLE-TEXT")</f>
        <v xml:space="preserve">          4302 - SALES RETURN NON TAXABLE-TEXT</v>
      </c>
      <c r="C100" s="11"/>
      <c r="D100" s="2">
        <f t="shared" ref="D100:D102" si="18">0</f>
        <v>0</v>
      </c>
      <c r="E100" s="2"/>
      <c r="F100" s="19"/>
      <c r="G100" s="2"/>
      <c r="H100" s="2">
        <f>-285.45</f>
        <v>-285.45</v>
      </c>
      <c r="I100" s="2"/>
      <c r="J100" s="19"/>
      <c r="K100" s="2"/>
      <c r="L100" s="2">
        <f t="shared" si="0"/>
        <v>285.45</v>
      </c>
      <c r="M100" s="2"/>
      <c r="N100" s="19">
        <f t="shared" si="1"/>
        <v>-1</v>
      </c>
      <c r="O100" s="11"/>
      <c r="P100" s="2">
        <f>-1312.37</f>
        <v>-1312.37</v>
      </c>
      <c r="Q100" s="2"/>
      <c r="R100" s="19"/>
      <c r="S100" s="2"/>
      <c r="T100" s="2">
        <f>-4788.7</f>
        <v>-4788.7</v>
      </c>
      <c r="U100" s="2"/>
      <c r="V100" s="19"/>
      <c r="W100" s="2"/>
      <c r="X100" s="2">
        <f t="shared" si="2"/>
        <v>3476.33</v>
      </c>
      <c r="Y100" s="2"/>
      <c r="Z100" s="19">
        <f t="shared" si="3"/>
        <v>-0.72594441080042604</v>
      </c>
    </row>
    <row r="101" spans="1:26" s="24" customFormat="1" hidden="1" outlineLevel="1" x14ac:dyDescent="0.25">
      <c r="A101" s="44"/>
      <c r="B101" s="11" t="str">
        <f>CONCATENATE("          ", "4303", " - ", "SALES RETURN NON-TAXABLE-RENTA")</f>
        <v xml:space="preserve">          4303 - SALES RETURN NON-TAXABLE-RENTA</v>
      </c>
      <c r="C101" s="11"/>
      <c r="D101" s="2">
        <f t="shared" si="18"/>
        <v>0</v>
      </c>
      <c r="E101" s="2"/>
      <c r="F101" s="19"/>
      <c r="G101" s="2"/>
      <c r="H101" s="2">
        <f t="shared" ref="H101:H102" si="19"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-184.99</f>
        <v>-184.99</v>
      </c>
      <c r="Q101" s="2"/>
      <c r="R101" s="19"/>
      <c r="S101" s="2"/>
      <c r="T101" s="2">
        <f>-509.85</f>
        <v>-509.85</v>
      </c>
      <c r="U101" s="2"/>
      <c r="V101" s="19"/>
      <c r="W101" s="2"/>
      <c r="X101" s="2">
        <f t="shared" si="2"/>
        <v>324.86</v>
      </c>
      <c r="Y101" s="2"/>
      <c r="Z101" s="19">
        <f t="shared" si="3"/>
        <v>-0.63716779444934779</v>
      </c>
    </row>
    <row r="102" spans="1:26" s="24" customFormat="1" hidden="1" outlineLevel="1" x14ac:dyDescent="0.25">
      <c r="A102" s="44"/>
      <c r="B102" s="11" t="str">
        <f>CONCATENATE("          ", "4304", " - ", "SALES RETURN NON TAXABLE-DIGIT")</f>
        <v xml:space="preserve">          4304 - SALES RETURN NON TAXABLE-DIGIT</v>
      </c>
      <c r="C102" s="11"/>
      <c r="D102" s="2">
        <f t="shared" si="18"/>
        <v>0</v>
      </c>
      <c r="E102" s="2"/>
      <c r="F102" s="19"/>
      <c r="G102" s="2"/>
      <c r="H102" s="2">
        <f t="shared" si="19"/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-19036.13</f>
        <v>-19036.13</v>
      </c>
      <c r="Q102" s="2"/>
      <c r="R102" s="19"/>
      <c r="S102" s="2"/>
      <c r="T102" s="2">
        <f>-5668</f>
        <v>-5668</v>
      </c>
      <c r="U102" s="2"/>
      <c r="V102" s="19"/>
      <c r="W102" s="2"/>
      <c r="X102" s="2">
        <f t="shared" si="2"/>
        <v>-13368.130000000001</v>
      </c>
      <c r="Y102" s="2"/>
      <c r="Z102" s="19">
        <f t="shared" si="3"/>
        <v>2.3585268172194778</v>
      </c>
    </row>
    <row r="103" spans="1:26" s="24" customFormat="1" hidden="1" outlineLevel="1" x14ac:dyDescent="0.25">
      <c r="A103" s="44"/>
      <c r="B103" s="11" t="str">
        <f>CONCATENATE("          ", "4311", " - ", "SALES RETURN NON TAXABLE-NO VA")</f>
        <v xml:space="preserve">          4311 - SALES RETURN NON TAXABLE-NO VA</v>
      </c>
      <c r="C103" s="11"/>
      <c r="D103" s="2">
        <f>-88.62</f>
        <v>-88.62</v>
      </c>
      <c r="E103" s="2"/>
      <c r="F103" s="19"/>
      <c r="G103" s="2"/>
      <c r="H103" s="2">
        <f>-244.08</f>
        <v>-244.08</v>
      </c>
      <c r="I103" s="2"/>
      <c r="J103" s="19"/>
      <c r="K103" s="2"/>
      <c r="L103" s="2">
        <f t="shared" si="0"/>
        <v>155.46</v>
      </c>
      <c r="M103" s="2"/>
      <c r="N103" s="19">
        <f t="shared" si="1"/>
        <v>-0.63692232055063913</v>
      </c>
      <c r="O103" s="11"/>
      <c r="P103" s="2">
        <f>-941.28</f>
        <v>-941.28</v>
      </c>
      <c r="Q103" s="2"/>
      <c r="R103" s="19"/>
      <c r="S103" s="2"/>
      <c r="T103" s="2">
        <f>-1748.83</f>
        <v>-1748.83</v>
      </c>
      <c r="U103" s="2"/>
      <c r="V103" s="19"/>
      <c r="W103" s="2"/>
      <c r="X103" s="2">
        <f t="shared" si="2"/>
        <v>807.55</v>
      </c>
      <c r="Y103" s="2"/>
      <c r="Z103" s="19">
        <f t="shared" si="3"/>
        <v>-0.4617658663220553</v>
      </c>
    </row>
    <row r="104" spans="1:26" s="24" customFormat="1" hidden="1" outlineLevel="1" x14ac:dyDescent="0.25">
      <c r="A104" s="44"/>
      <c r="B104" s="11" t="str">
        <f>CONCATENATE("          ", "4313", " - ", "SALES RETURN NON TAXABLE-TRADE")</f>
        <v xml:space="preserve">          4313 - SALES RETURN NON TAXABLE-TRADE</v>
      </c>
      <c r="C104" s="11"/>
      <c r="D104" s="2">
        <f>-2481.44</f>
        <v>-2481.44</v>
      </c>
      <c r="E104" s="2"/>
      <c r="F104" s="19"/>
      <c r="G104" s="2"/>
      <c r="H104" s="2">
        <f t="shared" ref="H104:H105" si="20">0</f>
        <v>0</v>
      </c>
      <c r="I104" s="2"/>
      <c r="J104" s="19"/>
      <c r="K104" s="2"/>
      <c r="L104" s="2">
        <f t="shared" si="0"/>
        <v>-2481.44</v>
      </c>
      <c r="M104" s="2"/>
      <c r="N104" s="19">
        <f t="shared" si="1"/>
        <v>0</v>
      </c>
      <c r="O104" s="11"/>
      <c r="P104" s="2">
        <f>-2481.44</f>
        <v>-2481.44</v>
      </c>
      <c r="Q104" s="2"/>
      <c r="R104" s="19"/>
      <c r="S104" s="2"/>
      <c r="T104" s="2">
        <f>0</f>
        <v>0</v>
      </c>
      <c r="U104" s="2"/>
      <c r="V104" s="19"/>
      <c r="W104" s="2"/>
      <c r="X104" s="2">
        <f t="shared" si="2"/>
        <v>-2481.44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"4318", " - ", "SALES RETURN NON TAXABLE-STUDY")</f>
        <v xml:space="preserve">          4318 - SALES RETURN NON TAXABLE-STUDY</v>
      </c>
      <c r="C105" s="11"/>
      <c r="D105" s="2">
        <f t="shared" ref="D105:D109" si="21">0</f>
        <v>0</v>
      </c>
      <c r="E105" s="2"/>
      <c r="F105" s="19"/>
      <c r="G105" s="2"/>
      <c r="H105" s="2">
        <f t="shared" si="20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 t="shared" ref="P105:P106" si="22">0</f>
        <v>0</v>
      </c>
      <c r="Q105" s="2"/>
      <c r="R105" s="19"/>
      <c r="S105" s="2"/>
      <c r="T105" s="2">
        <f>-5.04</f>
        <v>-5.04</v>
      </c>
      <c r="U105" s="2"/>
      <c r="V105" s="19"/>
      <c r="W105" s="2"/>
      <c r="X105" s="2">
        <f t="shared" si="2"/>
        <v>5.04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"4326", " - ", "SALES RETURN NON TAXABLE-WRITI")</f>
        <v xml:space="preserve">          4326 - SALES RETURN NON TAXABLE-WRITI</v>
      </c>
      <c r="C106" s="11"/>
      <c r="D106" s="2">
        <f t="shared" si="21"/>
        <v>0</v>
      </c>
      <c r="E106" s="2"/>
      <c r="F106" s="19"/>
      <c r="G106" s="2"/>
      <c r="H106" s="2">
        <f>-2.29</f>
        <v>-2.29</v>
      </c>
      <c r="I106" s="2"/>
      <c r="J106" s="19"/>
      <c r="K106" s="2"/>
      <c r="L106" s="2">
        <f t="shared" si="0"/>
        <v>2.29</v>
      </c>
      <c r="M106" s="2"/>
      <c r="N106" s="19">
        <f t="shared" si="1"/>
        <v>-1</v>
      </c>
      <c r="O106" s="11"/>
      <c r="P106" s="2">
        <f t="shared" si="22"/>
        <v>0</v>
      </c>
      <c r="Q106" s="2"/>
      <c r="R106" s="19"/>
      <c r="S106" s="2"/>
      <c r="T106" s="2">
        <f>-18.55</f>
        <v>-18.55</v>
      </c>
      <c r="U106" s="2"/>
      <c r="V106" s="19"/>
      <c r="W106" s="2"/>
      <c r="X106" s="2">
        <f t="shared" si="2"/>
        <v>18.55</v>
      </c>
      <c r="Y106" s="2"/>
      <c r="Z106" s="19">
        <f t="shared" si="3"/>
        <v>-1</v>
      </c>
    </row>
    <row r="107" spans="1:26" s="24" customFormat="1" hidden="1" outlineLevel="1" x14ac:dyDescent="0.25">
      <c r="A107" s="44"/>
      <c r="B107" s="11" t="str">
        <f>CONCATENATE("          ", "4327", " - ", "SALES RETURN NON TAXABLE-SCHOO")</f>
        <v xml:space="preserve">          4327 - SALES RETURN NON TAXABLE-SCHOO</v>
      </c>
      <c r="C107" s="11"/>
      <c r="D107" s="2">
        <f t="shared" si="21"/>
        <v>0</v>
      </c>
      <c r="E107" s="2"/>
      <c r="F107" s="19"/>
      <c r="G107" s="2"/>
      <c r="H107" s="2">
        <f>-4.99</f>
        <v>-4.99</v>
      </c>
      <c r="I107" s="2"/>
      <c r="J107" s="19"/>
      <c r="K107" s="2"/>
      <c r="L107" s="2">
        <f t="shared" si="0"/>
        <v>4.99</v>
      </c>
      <c r="M107" s="2"/>
      <c r="N107" s="19">
        <f t="shared" si="1"/>
        <v>-1</v>
      </c>
      <c r="O107" s="11"/>
      <c r="P107" s="2">
        <f>-21.87</f>
        <v>-21.87</v>
      </c>
      <c r="Q107" s="2"/>
      <c r="R107" s="19"/>
      <c r="S107" s="2"/>
      <c r="T107" s="2">
        <f>-4.99</f>
        <v>-4.99</v>
      </c>
      <c r="U107" s="2"/>
      <c r="V107" s="19"/>
      <c r="W107" s="2"/>
      <c r="X107" s="2">
        <f t="shared" si="2"/>
        <v>-16.880000000000003</v>
      </c>
      <c r="Y107" s="2"/>
      <c r="Z107" s="19">
        <f t="shared" si="3"/>
        <v>3.3827655310621245</v>
      </c>
    </row>
    <row r="108" spans="1:26" s="24" customFormat="1" hidden="1" outlineLevel="1" x14ac:dyDescent="0.25">
      <c r="A108" s="44"/>
      <c r="B108" s="11" t="str">
        <f>CONCATENATE("          ", "4331", " - ", "SALES RETURN NON TAXABLE-FOOD")</f>
        <v xml:space="preserve">          4331 - SALES RETURN NON TAXABLE-FOOD</v>
      </c>
      <c r="C108" s="11"/>
      <c r="D108" s="2">
        <f t="shared" si="21"/>
        <v>0</v>
      </c>
      <c r="E108" s="2"/>
      <c r="F108" s="19"/>
      <c r="G108" s="2"/>
      <c r="H108" s="2">
        <f t="shared" ref="H108:H109" si="23"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-12.57</f>
        <v>-12.57</v>
      </c>
      <c r="Q108" s="2"/>
      <c r="R108" s="19"/>
      <c r="S108" s="2"/>
      <c r="T108" s="2">
        <f t="shared" ref="T108:T109" si="24">0</f>
        <v>0</v>
      </c>
      <c r="U108" s="2"/>
      <c r="V108" s="19"/>
      <c r="W108" s="2"/>
      <c r="X108" s="2">
        <f t="shared" si="2"/>
        <v>-12.57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"4332", " - ", "SALES RETURN NON TAXABLE-JUICE")</f>
        <v xml:space="preserve">          4332 - SALES RETURN NON TAXABLE-JUICE</v>
      </c>
      <c r="C109" s="11"/>
      <c r="D109" s="2">
        <f t="shared" si="21"/>
        <v>0</v>
      </c>
      <c r="E109" s="2"/>
      <c r="F109" s="19"/>
      <c r="G109" s="2"/>
      <c r="H109" s="2">
        <f t="shared" si="23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-2.79</f>
        <v>-2.79</v>
      </c>
      <c r="Q109" s="2"/>
      <c r="R109" s="19"/>
      <c r="S109" s="2"/>
      <c r="T109" s="2">
        <f t="shared" si="24"/>
        <v>0</v>
      </c>
      <c r="U109" s="2"/>
      <c r="V109" s="19"/>
      <c r="W109" s="2"/>
      <c r="X109" s="2">
        <f t="shared" si="2"/>
        <v>-2.79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"4340", " - ", "SALES RETURN NON TAXABLE-LOGO")</f>
        <v xml:space="preserve">          4340 - SALES RETURN NON TAXABLE-LOGO</v>
      </c>
      <c r="C110" s="11"/>
      <c r="D110" s="2">
        <f>-24.95</f>
        <v>-24.95</v>
      </c>
      <c r="E110" s="2"/>
      <c r="F110" s="19"/>
      <c r="G110" s="2"/>
      <c r="H110" s="2">
        <f>-123.75</f>
        <v>-123.75</v>
      </c>
      <c r="I110" s="2"/>
      <c r="J110" s="19"/>
      <c r="K110" s="2"/>
      <c r="L110" s="2">
        <f t="shared" si="0"/>
        <v>98.8</v>
      </c>
      <c r="M110" s="2"/>
      <c r="N110" s="19">
        <f t="shared" si="1"/>
        <v>-0.79838383838383831</v>
      </c>
      <c r="O110" s="11"/>
      <c r="P110" s="2">
        <f>-1020.4</f>
        <v>-1020.4</v>
      </c>
      <c r="Q110" s="2"/>
      <c r="R110" s="19"/>
      <c r="S110" s="2"/>
      <c r="T110" s="2">
        <f>-939.02</f>
        <v>-939.02</v>
      </c>
      <c r="U110" s="2"/>
      <c r="V110" s="19"/>
      <c r="W110" s="2"/>
      <c r="X110" s="2">
        <f t="shared" si="2"/>
        <v>-81.38</v>
      </c>
      <c r="Y110" s="2"/>
      <c r="Z110" s="19">
        <f t="shared" si="3"/>
        <v>8.6664820770590609E-2</v>
      </c>
    </row>
    <row r="111" spans="1:26" s="24" customFormat="1" hidden="1" outlineLevel="1" x14ac:dyDescent="0.25">
      <c r="A111" s="44"/>
      <c r="B111" s="11" t="str">
        <f>CONCATENATE("          ", "4341", " - ", "SALES RETURN NON TAXABLE-LOGO")</f>
        <v xml:space="preserve">          4341 - SALES RETURN NON TAXABLE-LOGO</v>
      </c>
      <c r="C111" s="11"/>
      <c r="D111" s="2">
        <f t="shared" ref="D111:D114" si="25">0</f>
        <v>0</v>
      </c>
      <c r="E111" s="2"/>
      <c r="F111" s="19"/>
      <c r="G111" s="2"/>
      <c r="H111" s="2">
        <f>-6.95</f>
        <v>-6.95</v>
      </c>
      <c r="I111" s="2"/>
      <c r="J111" s="19"/>
      <c r="K111" s="2"/>
      <c r="L111" s="2">
        <f t="shared" si="0"/>
        <v>6.95</v>
      </c>
      <c r="M111" s="2"/>
      <c r="N111" s="19">
        <f t="shared" si="1"/>
        <v>-1</v>
      </c>
      <c r="O111" s="11"/>
      <c r="P111" s="2">
        <f>-245.5</f>
        <v>-245.5</v>
      </c>
      <c r="Q111" s="2"/>
      <c r="R111" s="19"/>
      <c r="S111" s="2"/>
      <c r="T111" s="2">
        <f>-257.95</f>
        <v>-257.95</v>
      </c>
      <c r="U111" s="2"/>
      <c r="V111" s="19"/>
      <c r="W111" s="2"/>
      <c r="X111" s="2">
        <f t="shared" si="2"/>
        <v>12.449999999999989</v>
      </c>
      <c r="Y111" s="2"/>
      <c r="Z111" s="19">
        <f t="shared" si="3"/>
        <v>-4.8265167668152698E-2</v>
      </c>
    </row>
    <row r="112" spans="1:26" s="24" customFormat="1" hidden="1" outlineLevel="1" x14ac:dyDescent="0.25">
      <c r="A112" s="44"/>
      <c r="B112" s="11" t="str">
        <f>CONCATENATE("          ", "4342", " - ", "SALES RETURN NON TAXABLE-EVERY")</f>
        <v xml:space="preserve">          4342 - SALES RETURN NON TAXABLE-EVERY</v>
      </c>
      <c r="C112" s="11"/>
      <c r="D112" s="2">
        <f t="shared" si="25"/>
        <v>0</v>
      </c>
      <c r="E112" s="2"/>
      <c r="F112" s="19"/>
      <c r="G112" s="2"/>
      <c r="H112" s="2">
        <f>-19.9</f>
        <v>-19.899999999999999</v>
      </c>
      <c r="I112" s="2"/>
      <c r="J112" s="19"/>
      <c r="K112" s="2"/>
      <c r="L112" s="2">
        <f t="shared" si="0"/>
        <v>19.899999999999999</v>
      </c>
      <c r="M112" s="2"/>
      <c r="N112" s="19">
        <f t="shared" si="1"/>
        <v>-1</v>
      </c>
      <c r="O112" s="11"/>
      <c r="P112" s="2">
        <f>-149.22</f>
        <v>-149.22</v>
      </c>
      <c r="Q112" s="2"/>
      <c r="R112" s="19"/>
      <c r="S112" s="2"/>
      <c r="T112" s="2">
        <f>-103.6</f>
        <v>-103.6</v>
      </c>
      <c r="U112" s="2"/>
      <c r="V112" s="19"/>
      <c r="W112" s="2"/>
      <c r="X112" s="2">
        <f t="shared" si="2"/>
        <v>-45.620000000000005</v>
      </c>
      <c r="Y112" s="2"/>
      <c r="Z112" s="19">
        <f t="shared" si="3"/>
        <v>0.44034749034749043</v>
      </c>
    </row>
    <row r="113" spans="1:26" s="24" customFormat="1" hidden="1" outlineLevel="1" x14ac:dyDescent="0.25">
      <c r="A113" s="44"/>
      <c r="B113" s="11" t="str">
        <f>CONCATENATE("          ", "4346", " - ", "SALES RETURN NON TAXABLE-COIN-")</f>
        <v xml:space="preserve">          4346 - SALES RETURN NON TAXABLE-COIN-</v>
      </c>
      <c r="C113" s="11"/>
      <c r="D113" s="2">
        <f t="shared" si="25"/>
        <v>0</v>
      </c>
      <c r="E113" s="2"/>
      <c r="F113" s="19"/>
      <c r="G113" s="2"/>
      <c r="H113" s="2">
        <f t="shared" ref="H113:H114" si="26">0</f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-8.15</f>
        <v>-8.15</v>
      </c>
      <c r="Q113" s="2"/>
      <c r="R113" s="19"/>
      <c r="S113" s="2"/>
      <c r="T113" s="2">
        <f t="shared" ref="T113:T114" si="27">0</f>
        <v>0</v>
      </c>
      <c r="U113" s="2"/>
      <c r="V113" s="19"/>
      <c r="W113" s="2"/>
      <c r="X113" s="2">
        <f t="shared" si="2"/>
        <v>-8.15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"4347", " - ", "SALES RETURN NON TAXABLE-MISC")</f>
        <v xml:space="preserve">          4347 - SALES RETURN NON TAXABLE-MISC</v>
      </c>
      <c r="C114" s="11"/>
      <c r="D114" s="2">
        <f t="shared" si="25"/>
        <v>0</v>
      </c>
      <c r="E114" s="2"/>
      <c r="F114" s="19"/>
      <c r="G114" s="2"/>
      <c r="H114" s="2">
        <f t="shared" si="26"/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-84</f>
        <v>-84</v>
      </c>
      <c r="Q114" s="2"/>
      <c r="R114" s="19"/>
      <c r="S114" s="2"/>
      <c r="T114" s="2">
        <f t="shared" si="27"/>
        <v>0</v>
      </c>
      <c r="U114" s="2"/>
      <c r="V114" s="19"/>
      <c r="W114" s="2"/>
      <c r="X114" s="2">
        <f t="shared" si="2"/>
        <v>-84</v>
      </c>
      <c r="Y114" s="2"/>
      <c r="Z114" s="19">
        <f t="shared" si="3"/>
        <v>0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collapsed="1" x14ac:dyDescent="0.25">
      <c r="A116" s="10"/>
      <c r="B116" s="29" t="s">
        <v>8</v>
      </c>
      <c r="C116" s="10"/>
      <c r="D116" s="4">
        <f>SUM(OSRRefD16x_0)</f>
        <v>80675.630000000019</v>
      </c>
      <c r="E116" s="4"/>
      <c r="F116" s="12">
        <f t="shared" ref="F116:F167" si="28">IF(D$12=0,0,D116/D$12)</f>
        <v>0.48942804250634953</v>
      </c>
      <c r="G116" s="4"/>
      <c r="H116" s="4">
        <f>SUM(OSRRefH16x_0)</f>
        <v>213700.51999999993</v>
      </c>
      <c r="I116" s="4"/>
      <c r="J116" s="12">
        <f t="shared" ref="J116:J167" si="29">IF(H$12=0,0,H116/H$12)</f>
        <v>0.36367505323350829</v>
      </c>
      <c r="K116" s="4"/>
      <c r="L116" s="4">
        <f t="shared" ref="L116:L167" si="30">+D116-H116</f>
        <v>-133024.8899999999</v>
      </c>
      <c r="M116" s="4"/>
      <c r="N116" s="12">
        <f t="shared" ref="N116:N167" si="31">IF(H116=0,0,L116/H116)</f>
        <v>-0.62248276232551958</v>
      </c>
      <c r="O116" s="10"/>
      <c r="P116" s="4">
        <f>SUM(OSRRefP16x_0)</f>
        <v>5092353.9100000011</v>
      </c>
      <c r="Q116" s="4"/>
      <c r="R116" s="12">
        <f t="shared" ref="R116:R167" si="32">IF(P$12=0,0,P116/P$12)</f>
        <v>0.58111166439676487</v>
      </c>
      <c r="S116" s="4"/>
      <c r="T116" s="4">
        <f>SUM(OSRRefT16x_0)</f>
        <v>6085592.330000001</v>
      </c>
      <c r="U116" s="4"/>
      <c r="V116" s="12">
        <f t="shared" ref="V116:V167" si="33">IF(T$12=0,0,T116/T$12)</f>
        <v>0.58295070296111429</v>
      </c>
      <c r="W116" s="4"/>
      <c r="X116" s="4">
        <f t="shared" ref="X116:X167" si="34">+P116-T116</f>
        <v>-993238.41999999993</v>
      </c>
      <c r="Y116" s="4"/>
      <c r="Z116" s="12">
        <f t="shared" ref="Z116:Z167" si="35">IF(T116=0,0,X116/T116)</f>
        <v>-0.16321146178386875</v>
      </c>
    </row>
    <row r="117" spans="1:26" s="24" customFormat="1" hidden="1" outlineLevel="1" x14ac:dyDescent="0.25">
      <c r="A117" s="44"/>
      <c r="B117" s="11" t="str">
        <f>CONCATENATE("          ", "5000", " - ", "PURCHASES @ COST")</f>
        <v xml:space="preserve">          5000 - PURCHASES @ COST</v>
      </c>
      <c r="C117" s="11"/>
      <c r="D117" s="2"/>
      <c r="E117" s="2"/>
      <c r="F117" s="19">
        <f t="shared" si="28"/>
        <v>0</v>
      </c>
      <c r="G117" s="2"/>
      <c r="H117" s="2">
        <v>1020</v>
      </c>
      <c r="I117" s="2"/>
      <c r="J117" s="19">
        <f t="shared" si="29"/>
        <v>1.7358336530869396E-3</v>
      </c>
      <c r="K117" s="2"/>
      <c r="L117" s="2">
        <f t="shared" si="30"/>
        <v>-1020</v>
      </c>
      <c r="M117" s="2"/>
      <c r="N117" s="19">
        <f t="shared" si="31"/>
        <v>-1</v>
      </c>
      <c r="O117" s="11"/>
      <c r="P117" s="2"/>
      <c r="Q117" s="2"/>
      <c r="R117" s="19">
        <f t="shared" si="32"/>
        <v>0</v>
      </c>
      <c r="S117" s="2"/>
      <c r="T117" s="2">
        <v>1020</v>
      </c>
      <c r="U117" s="2"/>
      <c r="V117" s="19">
        <f t="shared" si="33"/>
        <v>9.7707780077397404E-5</v>
      </c>
      <c r="W117" s="2"/>
      <c r="X117" s="2">
        <f t="shared" si="34"/>
        <v>-1020</v>
      </c>
      <c r="Y117" s="2"/>
      <c r="Z117" s="19">
        <f t="shared" si="35"/>
        <v>-1</v>
      </c>
    </row>
    <row r="118" spans="1:26" s="24" customFormat="1" hidden="1" outlineLevel="1" x14ac:dyDescent="0.25">
      <c r="A118" s="44"/>
      <c r="B118" s="11" t="str">
        <f>CONCATENATE("          ", "5001", " - ", "PURCHASES @ COST-NEW TEXT")</f>
        <v xml:space="preserve">          5001 - PURCHASES @ COST-NEW TEXT</v>
      </c>
      <c r="C118" s="11"/>
      <c r="D118" s="2">
        <v>-24912.870000000003</v>
      </c>
      <c r="E118" s="2"/>
      <c r="F118" s="19">
        <f t="shared" si="28"/>
        <v>-0.15113680794702389</v>
      </c>
      <c r="G118" s="2"/>
      <c r="H118" s="2">
        <v>-221136.5</v>
      </c>
      <c r="I118" s="2"/>
      <c r="J118" s="19">
        <f t="shared" si="29"/>
        <v>-0.37632958688809803</v>
      </c>
      <c r="K118" s="2"/>
      <c r="L118" s="2">
        <f t="shared" si="30"/>
        <v>196223.63</v>
      </c>
      <c r="M118" s="2"/>
      <c r="N118" s="19">
        <f t="shared" si="31"/>
        <v>-0.88734166453751417</v>
      </c>
      <c r="O118" s="11"/>
      <c r="P118" s="2">
        <v>1569752.25</v>
      </c>
      <c r="Q118" s="2"/>
      <c r="R118" s="19">
        <f t="shared" si="32"/>
        <v>0.17913156838858954</v>
      </c>
      <c r="S118" s="2"/>
      <c r="T118" s="2">
        <v>2325728.42</v>
      </c>
      <c r="U118" s="2"/>
      <c r="V118" s="19">
        <f t="shared" si="33"/>
        <v>0.22278604017756171</v>
      </c>
      <c r="W118" s="2"/>
      <c r="X118" s="2">
        <f t="shared" si="34"/>
        <v>-755976.16999999993</v>
      </c>
      <c r="Y118" s="2"/>
      <c r="Z118" s="19">
        <f t="shared" si="35"/>
        <v>-0.32504920329433817</v>
      </c>
    </row>
    <row r="119" spans="1:26" s="24" customFormat="1" hidden="1" outlineLevel="1" x14ac:dyDescent="0.25">
      <c r="A119" s="44"/>
      <c r="B119" s="11" t="str">
        <f>CONCATENATE("          ", "5002", " - ", "PURCHASES @ COST-USED TEXT")</f>
        <v xml:space="preserve">          5002 - PURCHASES @ COST-USED TEXT</v>
      </c>
      <c r="C119" s="11"/>
      <c r="D119" s="2">
        <v>-3117.33</v>
      </c>
      <c r="E119" s="2"/>
      <c r="F119" s="19">
        <f t="shared" si="28"/>
        <v>-1.8911643079159324E-2</v>
      </c>
      <c r="G119" s="2"/>
      <c r="H119" s="2">
        <v>-70912.89</v>
      </c>
      <c r="I119" s="2"/>
      <c r="J119" s="19">
        <f t="shared" si="29"/>
        <v>-0.12067939303887482</v>
      </c>
      <c r="K119" s="2"/>
      <c r="L119" s="2">
        <f t="shared" si="30"/>
        <v>67795.56</v>
      </c>
      <c r="M119" s="2"/>
      <c r="N119" s="19">
        <f t="shared" si="31"/>
        <v>-0.95604000908720543</v>
      </c>
      <c r="O119" s="11"/>
      <c r="P119" s="2">
        <v>595582.78</v>
      </c>
      <c r="Q119" s="2"/>
      <c r="R119" s="19">
        <f t="shared" si="32"/>
        <v>6.7964659701323107E-2</v>
      </c>
      <c r="S119" s="2"/>
      <c r="T119" s="2">
        <v>408043.55</v>
      </c>
      <c r="U119" s="2"/>
      <c r="V119" s="19">
        <f t="shared" si="33"/>
        <v>3.9087283770000501E-2</v>
      </c>
      <c r="W119" s="2"/>
      <c r="X119" s="2">
        <f t="shared" si="34"/>
        <v>187539.23000000004</v>
      </c>
      <c r="Y119" s="2"/>
      <c r="Z119" s="19">
        <f t="shared" si="35"/>
        <v>0.45960591706448994</v>
      </c>
    </row>
    <row r="120" spans="1:26" s="24" customFormat="1" hidden="1" outlineLevel="1" x14ac:dyDescent="0.25">
      <c r="A120" s="44"/>
      <c r="B120" s="11" t="str">
        <f>CONCATENATE("          ", "5003", " - ", "PURCHASES @ COST-RENTAL TEXT")</f>
        <v xml:space="preserve">          5003 - PURCHASES @ COST-RENTAL TEXT</v>
      </c>
      <c r="C120" s="11"/>
      <c r="D120" s="2"/>
      <c r="E120" s="2"/>
      <c r="F120" s="19">
        <f t="shared" si="28"/>
        <v>0</v>
      </c>
      <c r="G120" s="2"/>
      <c r="H120" s="2">
        <v>811.08</v>
      </c>
      <c r="I120" s="2"/>
      <c r="J120" s="19">
        <f t="shared" si="29"/>
        <v>1.3802940777899559E-3</v>
      </c>
      <c r="K120" s="2"/>
      <c r="L120" s="2">
        <f t="shared" si="30"/>
        <v>-811.08</v>
      </c>
      <c r="M120" s="2"/>
      <c r="N120" s="19">
        <f t="shared" si="31"/>
        <v>-1</v>
      </c>
      <c r="O120" s="11"/>
      <c r="P120" s="2">
        <v>-78.400000000000006</v>
      </c>
      <c r="Q120" s="2"/>
      <c r="R120" s="19">
        <f t="shared" si="32"/>
        <v>-8.9465805585979697E-6</v>
      </c>
      <c r="S120" s="2"/>
      <c r="T120" s="2">
        <v>15629.58</v>
      </c>
      <c r="U120" s="2"/>
      <c r="V120" s="19">
        <f t="shared" si="33"/>
        <v>1.4971878091589107E-3</v>
      </c>
      <c r="W120" s="2"/>
      <c r="X120" s="2">
        <f t="shared" si="34"/>
        <v>-15707.98</v>
      </c>
      <c r="Y120" s="2"/>
      <c r="Z120" s="19">
        <f t="shared" si="35"/>
        <v>-1.0050161296720705</v>
      </c>
    </row>
    <row r="121" spans="1:26" s="24" customFormat="1" hidden="1" outlineLevel="1" x14ac:dyDescent="0.25">
      <c r="A121" s="44"/>
      <c r="B121" s="11" t="str">
        <f>CONCATENATE("          ", "5004", " - ", "PURCHASES @ COST-DIGITAL TEXT")</f>
        <v xml:space="preserve">          5004 - PURCHASES @ COST-DIGITAL TEXT</v>
      </c>
      <c r="C121" s="11"/>
      <c r="D121" s="2">
        <v>54465.03</v>
      </c>
      <c r="E121" s="2"/>
      <c r="F121" s="19">
        <f t="shared" si="28"/>
        <v>0.33041840538400002</v>
      </c>
      <c r="G121" s="2"/>
      <c r="H121" s="2">
        <v>-10175.74</v>
      </c>
      <c r="I121" s="2"/>
      <c r="J121" s="19">
        <f t="shared" si="29"/>
        <v>-1.7317050918689111E-2</v>
      </c>
      <c r="K121" s="2"/>
      <c r="L121" s="2">
        <f t="shared" si="30"/>
        <v>64640.77</v>
      </c>
      <c r="M121" s="2"/>
      <c r="N121" s="19">
        <f t="shared" si="31"/>
        <v>-6.352439232920652</v>
      </c>
      <c r="O121" s="11"/>
      <c r="P121" s="2">
        <v>492787.91</v>
      </c>
      <c r="Q121" s="2"/>
      <c r="R121" s="19">
        <f t="shared" si="32"/>
        <v>5.6234269580588338E-2</v>
      </c>
      <c r="S121" s="2"/>
      <c r="T121" s="2">
        <v>483690.86000000004</v>
      </c>
      <c r="U121" s="2"/>
      <c r="V121" s="19">
        <f t="shared" si="33"/>
        <v>4.6333686445418847E-2</v>
      </c>
      <c r="W121" s="2"/>
      <c r="X121" s="2">
        <f t="shared" si="34"/>
        <v>9097.0499999999302</v>
      </c>
      <c r="Y121" s="2"/>
      <c r="Z121" s="19">
        <f t="shared" si="35"/>
        <v>1.8807570604083626E-2</v>
      </c>
    </row>
    <row r="122" spans="1:26" s="24" customFormat="1" hidden="1" outlineLevel="1" x14ac:dyDescent="0.25">
      <c r="A122" s="44"/>
      <c r="B122" s="11" t="str">
        <f>CONCATENATE("          ", "5011", " - ", "PURCHASES @ COST-NO VALUE TEXT")</f>
        <v xml:space="preserve">          5011 - PURCHASES @ COST-NO VALUE TEXT</v>
      </c>
      <c r="C122" s="11"/>
      <c r="D122" s="2">
        <v>42</v>
      </c>
      <c r="E122" s="2"/>
      <c r="F122" s="19">
        <f t="shared" si="28"/>
        <v>2.5479785884865947E-4</v>
      </c>
      <c r="G122" s="2"/>
      <c r="H122" s="2">
        <v>339</v>
      </c>
      <c r="I122" s="2"/>
      <c r="J122" s="19">
        <f t="shared" si="29"/>
        <v>5.7690941999654168E-4</v>
      </c>
      <c r="K122" s="2"/>
      <c r="L122" s="2">
        <f t="shared" si="30"/>
        <v>-297</v>
      </c>
      <c r="M122" s="2"/>
      <c r="N122" s="19">
        <f t="shared" si="31"/>
        <v>-0.87610619469026552</v>
      </c>
      <c r="O122" s="11"/>
      <c r="P122" s="2">
        <v>6363</v>
      </c>
      <c r="Q122" s="2"/>
      <c r="R122" s="19">
        <f t="shared" si="32"/>
        <v>7.2611086855049593E-4</v>
      </c>
      <c r="S122" s="2"/>
      <c r="T122" s="2">
        <v>3507</v>
      </c>
      <c r="U122" s="2"/>
      <c r="V122" s="19">
        <f t="shared" si="33"/>
        <v>3.3594233797199283E-4</v>
      </c>
      <c r="W122" s="2"/>
      <c r="X122" s="2">
        <f t="shared" si="34"/>
        <v>2856</v>
      </c>
      <c r="Y122" s="2"/>
      <c r="Z122" s="19">
        <f t="shared" si="35"/>
        <v>0.81437125748502992</v>
      </c>
    </row>
    <row r="123" spans="1:26" s="24" customFormat="1" hidden="1" outlineLevel="1" x14ac:dyDescent="0.25">
      <c r="A123" s="44"/>
      <c r="B123" s="11" t="str">
        <f>CONCATENATE("          ", "5013", " - ", "PURCHASES @ COST-TRADE BOOKS")</f>
        <v xml:space="preserve">          5013 - PURCHASES @ COST-TRADE BOOKS</v>
      </c>
      <c r="C123" s="11"/>
      <c r="D123" s="2">
        <v>-3150.69</v>
      </c>
      <c r="E123" s="2"/>
      <c r="F123" s="19">
        <f t="shared" si="28"/>
        <v>-1.9114025378473402E-2</v>
      </c>
      <c r="G123" s="2"/>
      <c r="H123" s="2">
        <v>501.57</v>
      </c>
      <c r="I123" s="2"/>
      <c r="J123" s="19">
        <f t="shared" si="29"/>
        <v>8.53570671940016E-4</v>
      </c>
      <c r="K123" s="2"/>
      <c r="L123" s="2">
        <f t="shared" si="30"/>
        <v>-3652.26</v>
      </c>
      <c r="M123" s="2"/>
      <c r="N123" s="19">
        <f t="shared" si="31"/>
        <v>-7.2816556014115683</v>
      </c>
      <c r="O123" s="11"/>
      <c r="P123" s="2">
        <v>3197.85</v>
      </c>
      <c r="Q123" s="2"/>
      <c r="R123" s="19">
        <f t="shared" si="32"/>
        <v>3.6492120713408824E-4</v>
      </c>
      <c r="S123" s="2"/>
      <c r="T123" s="2">
        <v>6141.67</v>
      </c>
      <c r="U123" s="2"/>
      <c r="V123" s="19">
        <f t="shared" si="33"/>
        <v>5.8832249183132291E-4</v>
      </c>
      <c r="W123" s="2"/>
      <c r="X123" s="2">
        <f t="shared" si="34"/>
        <v>-2943.82</v>
      </c>
      <c r="Y123" s="2"/>
      <c r="Z123" s="19">
        <f t="shared" si="35"/>
        <v>-0.47931914283899985</v>
      </c>
    </row>
    <row r="124" spans="1:26" s="24" customFormat="1" hidden="1" outlineLevel="1" x14ac:dyDescent="0.25">
      <c r="A124" s="44"/>
      <c r="B124" s="11" t="str">
        <f>CONCATENATE("          ", "5014", " - ", "PURCHASES @ COST-REMAINDERS")</f>
        <v xml:space="preserve">          5014 - PURCHASES @ COST-REMAINDERS</v>
      </c>
      <c r="C124" s="11"/>
      <c r="D124" s="2"/>
      <c r="E124" s="2"/>
      <c r="F124" s="19">
        <f t="shared" si="28"/>
        <v>0</v>
      </c>
      <c r="G124" s="2"/>
      <c r="H124" s="2">
        <v>64.849999999999994</v>
      </c>
      <c r="I124" s="2"/>
      <c r="J124" s="19">
        <f t="shared" si="29"/>
        <v>1.1036158078694905E-4</v>
      </c>
      <c r="K124" s="2"/>
      <c r="L124" s="2">
        <f t="shared" si="30"/>
        <v>-64.849999999999994</v>
      </c>
      <c r="M124" s="2"/>
      <c r="N124" s="19">
        <f t="shared" si="31"/>
        <v>-1</v>
      </c>
      <c r="O124" s="11"/>
      <c r="P124" s="2">
        <v>615.07000000000005</v>
      </c>
      <c r="Q124" s="2"/>
      <c r="R124" s="19">
        <f t="shared" si="32"/>
        <v>7.0188435002255787E-5</v>
      </c>
      <c r="S124" s="2"/>
      <c r="T124" s="2">
        <v>1122.1600000000001</v>
      </c>
      <c r="U124" s="2"/>
      <c r="V124" s="19">
        <f t="shared" si="33"/>
        <v>1.0749388479573753E-4</v>
      </c>
      <c r="W124" s="2"/>
      <c r="X124" s="2">
        <f t="shared" si="34"/>
        <v>-507.09000000000003</v>
      </c>
      <c r="Y124" s="2"/>
      <c r="Z124" s="19">
        <f t="shared" si="35"/>
        <v>-0.45188743138233406</v>
      </c>
    </row>
    <row r="125" spans="1:26" s="24" customFormat="1" hidden="1" outlineLevel="1" x14ac:dyDescent="0.25">
      <c r="A125" s="44"/>
      <c r="B125" s="11" t="str">
        <f>CONCATENATE("          ", "5017", " - ", "PURCHASES @ COST-DORM/HOUSEWAR")</f>
        <v xml:space="preserve">          5017 - PURCHASES @ COST-DORM/HOUSEWAR</v>
      </c>
      <c r="C125" s="11"/>
      <c r="D125" s="2"/>
      <c r="E125" s="2"/>
      <c r="F125" s="19">
        <f t="shared" si="28"/>
        <v>0</v>
      </c>
      <c r="G125" s="2"/>
      <c r="H125" s="2"/>
      <c r="I125" s="2"/>
      <c r="J125" s="19">
        <f t="shared" si="29"/>
        <v>0</v>
      </c>
      <c r="K125" s="2"/>
      <c r="L125" s="2">
        <f t="shared" si="30"/>
        <v>0</v>
      </c>
      <c r="M125" s="2"/>
      <c r="N125" s="19">
        <f t="shared" si="31"/>
        <v>0</v>
      </c>
      <c r="O125" s="11"/>
      <c r="P125" s="2">
        <v>14.46</v>
      </c>
      <c r="Q125" s="2"/>
      <c r="R125" s="19">
        <f t="shared" si="32"/>
        <v>1.6500963632312073E-6</v>
      </c>
      <c r="S125" s="2"/>
      <c r="T125" s="2">
        <v>239.9</v>
      </c>
      <c r="U125" s="2"/>
      <c r="V125" s="19">
        <f t="shared" si="33"/>
        <v>2.2980486706438861E-5</v>
      </c>
      <c r="W125" s="2"/>
      <c r="X125" s="2">
        <f t="shared" si="34"/>
        <v>-225.44</v>
      </c>
      <c r="Y125" s="2"/>
      <c r="Z125" s="19">
        <f t="shared" si="35"/>
        <v>-0.93972488536890364</v>
      </c>
    </row>
    <row r="126" spans="1:26" s="24" customFormat="1" hidden="1" outlineLevel="1" x14ac:dyDescent="0.25">
      <c r="A126" s="44"/>
      <c r="B126" s="11" t="str">
        <f>CONCATENATE("          ", "5018", " - ", "PURCHASES @ COST-STUDY GUIDES")</f>
        <v xml:space="preserve">          5018 - PURCHASES @ COST-STUDY GUIDES</v>
      </c>
      <c r="C126" s="11"/>
      <c r="D126" s="2">
        <v>-2582.4699999999998</v>
      </c>
      <c r="E126" s="2"/>
      <c r="F126" s="19">
        <f t="shared" si="28"/>
        <v>-1.5666853012878512E-2</v>
      </c>
      <c r="G126" s="2"/>
      <c r="H126" s="2"/>
      <c r="I126" s="2"/>
      <c r="J126" s="19">
        <f t="shared" si="29"/>
        <v>0</v>
      </c>
      <c r="K126" s="2"/>
      <c r="L126" s="2">
        <f t="shared" si="30"/>
        <v>-2582.4699999999998</v>
      </c>
      <c r="M126" s="2"/>
      <c r="N126" s="19">
        <f t="shared" si="31"/>
        <v>0</v>
      </c>
      <c r="O126" s="11"/>
      <c r="P126" s="2">
        <v>-205.14</v>
      </c>
      <c r="Q126" s="2"/>
      <c r="R126" s="19">
        <f t="shared" si="32"/>
        <v>-2.3409458364678409E-5</v>
      </c>
      <c r="S126" s="2"/>
      <c r="T126" s="2">
        <v>2393.92</v>
      </c>
      <c r="U126" s="2"/>
      <c r="V126" s="19">
        <f t="shared" si="33"/>
        <v>2.2931824400282668E-4</v>
      </c>
      <c r="W126" s="2"/>
      <c r="X126" s="2">
        <f t="shared" si="34"/>
        <v>-2599.06</v>
      </c>
      <c r="Y126" s="2"/>
      <c r="Z126" s="19">
        <f t="shared" si="35"/>
        <v>-1.0856920866194359</v>
      </c>
    </row>
    <row r="127" spans="1:26" s="24" customFormat="1" hidden="1" outlineLevel="1" x14ac:dyDescent="0.25">
      <c r="A127" s="44"/>
      <c r="B127" s="11" t="str">
        <f>CONCATENATE("          ", "5025", " - ", "PURCHASES @ COST-TEST FORMS")</f>
        <v xml:space="preserve">          5025 - PURCHASES @ COST-TEST FORMS</v>
      </c>
      <c r="C127" s="11"/>
      <c r="D127" s="2"/>
      <c r="E127" s="2"/>
      <c r="F127" s="19">
        <f t="shared" si="28"/>
        <v>0</v>
      </c>
      <c r="G127" s="2"/>
      <c r="H127" s="2">
        <v>3255</v>
      </c>
      <c r="I127" s="2"/>
      <c r="J127" s="19">
        <f t="shared" si="29"/>
        <v>5.539351510586263E-3</v>
      </c>
      <c r="K127" s="2"/>
      <c r="L127" s="2">
        <f t="shared" si="30"/>
        <v>-3255</v>
      </c>
      <c r="M127" s="2"/>
      <c r="N127" s="19">
        <f t="shared" si="31"/>
        <v>-1</v>
      </c>
      <c r="O127" s="11"/>
      <c r="P127" s="2">
        <v>26400.390000000003</v>
      </c>
      <c r="Q127" s="2"/>
      <c r="R127" s="19">
        <f t="shared" si="32"/>
        <v>3.0126685703240341E-3</v>
      </c>
      <c r="S127" s="2"/>
      <c r="T127" s="2">
        <v>19570.849999999999</v>
      </c>
      <c r="U127" s="2"/>
      <c r="V127" s="19">
        <f t="shared" si="33"/>
        <v>1.8747297134585617E-3</v>
      </c>
      <c r="W127" s="2"/>
      <c r="X127" s="2">
        <f t="shared" si="34"/>
        <v>6829.5400000000045</v>
      </c>
      <c r="Y127" s="2"/>
      <c r="Z127" s="19">
        <f t="shared" si="35"/>
        <v>0.34896491465623647</v>
      </c>
    </row>
    <row r="128" spans="1:26" s="24" customFormat="1" hidden="1" outlineLevel="1" x14ac:dyDescent="0.25">
      <c r="A128" s="44"/>
      <c r="B128" s="11" t="str">
        <f>CONCATENATE("          ", "5026", " - ", "PURCHASES @ COST-WRITING INSTR")</f>
        <v xml:space="preserve">          5026 - PURCHASES @ COST-WRITING INSTR</v>
      </c>
      <c r="C128" s="11"/>
      <c r="D128" s="2">
        <v>2463.3000000000002</v>
      </c>
      <c r="E128" s="2"/>
      <c r="F128" s="19">
        <f t="shared" si="28"/>
        <v>1.4943894421473878E-2</v>
      </c>
      <c r="G128" s="2"/>
      <c r="H128" s="2">
        <v>-394.84</v>
      </c>
      <c r="I128" s="2"/>
      <c r="J128" s="19">
        <f t="shared" si="29"/>
        <v>-6.7193780351455605E-4</v>
      </c>
      <c r="K128" s="2"/>
      <c r="L128" s="2">
        <f t="shared" si="30"/>
        <v>2858.1400000000003</v>
      </c>
      <c r="M128" s="2"/>
      <c r="N128" s="19">
        <f t="shared" si="31"/>
        <v>-7.2387296119947333</v>
      </c>
      <c r="O128" s="11"/>
      <c r="P128" s="2">
        <v>51434.57</v>
      </c>
      <c r="Q128" s="2"/>
      <c r="R128" s="19">
        <f t="shared" si="32"/>
        <v>5.869432704105183E-3</v>
      </c>
      <c r="S128" s="2"/>
      <c r="T128" s="2">
        <v>49629.61</v>
      </c>
      <c r="U128" s="2"/>
      <c r="V128" s="19">
        <f t="shared" si="33"/>
        <v>4.754116685497062E-3</v>
      </c>
      <c r="W128" s="2"/>
      <c r="X128" s="2">
        <f t="shared" si="34"/>
        <v>1804.9599999999991</v>
      </c>
      <c r="Y128" s="2"/>
      <c r="Z128" s="19">
        <f t="shared" si="35"/>
        <v>3.6368611399525387E-2</v>
      </c>
    </row>
    <row r="129" spans="1:26" s="24" customFormat="1" hidden="1" outlineLevel="1" x14ac:dyDescent="0.25">
      <c r="A129" s="44"/>
      <c r="B129" s="11" t="str">
        <f>CONCATENATE("          ", "5027", " - ", "PURCHASES @ COST-SCHOOL SUPPLI")</f>
        <v xml:space="preserve">          5027 - PURCHASES @ COST-SCHOOL SUPPLI</v>
      </c>
      <c r="C129" s="11"/>
      <c r="D129" s="2">
        <v>6003.13</v>
      </c>
      <c r="E129" s="2"/>
      <c r="F129" s="19">
        <f t="shared" si="28"/>
        <v>3.6418682628336974E-2</v>
      </c>
      <c r="G129" s="2"/>
      <c r="H129" s="2">
        <v>5943.8</v>
      </c>
      <c r="I129" s="2"/>
      <c r="J129" s="19">
        <f t="shared" si="29"/>
        <v>1.0115145163939365E-2</v>
      </c>
      <c r="K129" s="2"/>
      <c r="L129" s="2">
        <f t="shared" si="30"/>
        <v>59.329999999999927</v>
      </c>
      <c r="M129" s="2"/>
      <c r="N129" s="19">
        <f t="shared" si="31"/>
        <v>9.9818298058480977E-3</v>
      </c>
      <c r="O129" s="11"/>
      <c r="P129" s="2">
        <v>143608.17000000001</v>
      </c>
      <c r="Q129" s="2"/>
      <c r="R129" s="19">
        <f t="shared" si="32"/>
        <v>1.6387781400227452E-2</v>
      </c>
      <c r="S129" s="2"/>
      <c r="T129" s="2">
        <v>143366.32</v>
      </c>
      <c r="U129" s="2"/>
      <c r="V129" s="19">
        <f t="shared" si="33"/>
        <v>1.3733338103005668E-2</v>
      </c>
      <c r="W129" s="2"/>
      <c r="X129" s="2">
        <f t="shared" si="34"/>
        <v>241.85000000000582</v>
      </c>
      <c r="Y129" s="2"/>
      <c r="Z129" s="19">
        <f t="shared" si="35"/>
        <v>1.6869373504181861E-3</v>
      </c>
    </row>
    <row r="130" spans="1:26" s="24" customFormat="1" hidden="1" outlineLevel="1" x14ac:dyDescent="0.25">
      <c r="A130" s="44"/>
      <c r="B130" s="11" t="str">
        <f>CONCATENATE("          ", "5028", " - ", "PURCHASES @ COST-ART/TECH")</f>
        <v xml:space="preserve">          5028 - PURCHASES @ COST-ART/TECH</v>
      </c>
      <c r="C130" s="11"/>
      <c r="D130" s="2">
        <v>8617.84</v>
      </c>
      <c r="E130" s="2"/>
      <c r="F130" s="19">
        <f t="shared" si="28"/>
        <v>5.2281123330960272E-2</v>
      </c>
      <c r="G130" s="2"/>
      <c r="H130" s="2">
        <v>11220.15</v>
      </c>
      <c r="I130" s="2"/>
      <c r="J130" s="19">
        <f t="shared" si="29"/>
        <v>1.9094425453611202E-2</v>
      </c>
      <c r="K130" s="2"/>
      <c r="L130" s="2">
        <f t="shared" si="30"/>
        <v>-2602.3099999999995</v>
      </c>
      <c r="M130" s="2"/>
      <c r="N130" s="19">
        <f t="shared" si="31"/>
        <v>-0.23193183691840122</v>
      </c>
      <c r="O130" s="11"/>
      <c r="P130" s="2">
        <v>159687.99</v>
      </c>
      <c r="Q130" s="2"/>
      <c r="R130" s="19">
        <f t="shared" si="32"/>
        <v>1.8222722790504936E-2</v>
      </c>
      <c r="S130" s="2"/>
      <c r="T130" s="2">
        <v>175997.88</v>
      </c>
      <c r="U130" s="2"/>
      <c r="V130" s="19">
        <f t="shared" si="33"/>
        <v>1.6859178581498217E-2</v>
      </c>
      <c r="W130" s="2"/>
      <c r="X130" s="2">
        <f t="shared" si="34"/>
        <v>-16309.890000000014</v>
      </c>
      <c r="Y130" s="2"/>
      <c r="Z130" s="19">
        <f t="shared" si="35"/>
        <v>-9.2670945809120053E-2</v>
      </c>
    </row>
    <row r="131" spans="1:26" s="24" customFormat="1" hidden="1" outlineLevel="1" x14ac:dyDescent="0.25">
      <c r="A131" s="44"/>
      <c r="B131" s="11" t="str">
        <f>CONCATENATE("          ", "5031", " - ", "PURCHASES @ COST-FOOD")</f>
        <v xml:space="preserve">          5031 - PURCHASES @ COST-FOOD</v>
      </c>
      <c r="C131" s="11"/>
      <c r="D131" s="2"/>
      <c r="E131" s="2"/>
      <c r="F131" s="19">
        <f t="shared" si="28"/>
        <v>0</v>
      </c>
      <c r="G131" s="2"/>
      <c r="H131" s="2">
        <v>4301.16</v>
      </c>
      <c r="I131" s="2"/>
      <c r="J131" s="19">
        <f t="shared" si="29"/>
        <v>7.3197041914817851E-3</v>
      </c>
      <c r="K131" s="2"/>
      <c r="L131" s="2">
        <f t="shared" si="30"/>
        <v>-4301.16</v>
      </c>
      <c r="M131" s="2"/>
      <c r="N131" s="19">
        <f t="shared" si="31"/>
        <v>-1</v>
      </c>
      <c r="O131" s="11"/>
      <c r="P131" s="2">
        <v>33239.879999999997</v>
      </c>
      <c r="Q131" s="2"/>
      <c r="R131" s="19">
        <f t="shared" si="32"/>
        <v>3.7931538798230799E-3</v>
      </c>
      <c r="S131" s="2"/>
      <c r="T131" s="2">
        <v>37829.29</v>
      </c>
      <c r="U131" s="2"/>
      <c r="V131" s="19">
        <f t="shared" si="33"/>
        <v>3.6237411252981262E-3</v>
      </c>
      <c r="W131" s="2"/>
      <c r="X131" s="2">
        <f t="shared" si="34"/>
        <v>-4589.4100000000035</v>
      </c>
      <c r="Y131" s="2"/>
      <c r="Z131" s="19">
        <f t="shared" si="35"/>
        <v>-0.12131895681890946</v>
      </c>
    </row>
    <row r="132" spans="1:26" s="24" customFormat="1" hidden="1" outlineLevel="1" x14ac:dyDescent="0.25">
      <c r="A132" s="44"/>
      <c r="B132" s="11" t="str">
        <f>CONCATENATE("          ", "5032", " - ", "PURCHASES @ COST-JUICE")</f>
        <v xml:space="preserve">          5032 - PURCHASES @ COST-JUICE</v>
      </c>
      <c r="C132" s="11"/>
      <c r="D132" s="2"/>
      <c r="E132" s="2"/>
      <c r="F132" s="19">
        <f t="shared" si="28"/>
        <v>0</v>
      </c>
      <c r="G132" s="2"/>
      <c r="H132" s="2">
        <v>1104.8800000000001</v>
      </c>
      <c r="I132" s="2"/>
      <c r="J132" s="19">
        <f t="shared" si="29"/>
        <v>1.8802822417869588E-3</v>
      </c>
      <c r="K132" s="2"/>
      <c r="L132" s="2">
        <f t="shared" si="30"/>
        <v>-1104.8800000000001</v>
      </c>
      <c r="M132" s="2"/>
      <c r="N132" s="19">
        <f t="shared" si="31"/>
        <v>-1</v>
      </c>
      <c r="O132" s="11"/>
      <c r="P132" s="2">
        <v>7802.45</v>
      </c>
      <c r="Q132" s="2"/>
      <c r="R132" s="19">
        <f t="shared" si="32"/>
        <v>8.9037305458460113E-4</v>
      </c>
      <c r="S132" s="2"/>
      <c r="T132" s="2">
        <v>9365.76</v>
      </c>
      <c r="U132" s="2"/>
      <c r="V132" s="19">
        <f t="shared" si="33"/>
        <v>8.9716433170361324E-4</v>
      </c>
      <c r="W132" s="2"/>
      <c r="X132" s="2">
        <f t="shared" si="34"/>
        <v>-1563.3100000000004</v>
      </c>
      <c r="Y132" s="2"/>
      <c r="Z132" s="19">
        <f t="shared" si="35"/>
        <v>-0.16691758063413972</v>
      </c>
    </row>
    <row r="133" spans="1:26" s="24" customFormat="1" hidden="1" outlineLevel="1" x14ac:dyDescent="0.25">
      <c r="A133" s="44"/>
      <c r="B133" s="11" t="str">
        <f>CONCATENATE("          ", "5033", " - ", "PURCHASES @ COST-CANDY")</f>
        <v xml:space="preserve">          5033 - PURCHASES @ COST-CANDY</v>
      </c>
      <c r="C133" s="11"/>
      <c r="D133" s="2">
        <v>-25.2</v>
      </c>
      <c r="E133" s="2"/>
      <c r="F133" s="19">
        <f t="shared" si="28"/>
        <v>-1.5287871530919567E-4</v>
      </c>
      <c r="G133" s="2"/>
      <c r="H133" s="2">
        <v>1244.29</v>
      </c>
      <c r="I133" s="2"/>
      <c r="J133" s="19">
        <f t="shared" si="29"/>
        <v>2.1175298590191648E-3</v>
      </c>
      <c r="K133" s="2"/>
      <c r="L133" s="2">
        <f t="shared" si="30"/>
        <v>-1269.49</v>
      </c>
      <c r="M133" s="2"/>
      <c r="N133" s="19">
        <f t="shared" si="31"/>
        <v>-1.0202525134815839</v>
      </c>
      <c r="O133" s="11"/>
      <c r="P133" s="2">
        <v>9998.41</v>
      </c>
      <c r="Q133" s="2"/>
      <c r="R133" s="19">
        <f t="shared" si="32"/>
        <v>1.1409640372817796E-3</v>
      </c>
      <c r="S133" s="2"/>
      <c r="T133" s="2">
        <v>9175.83</v>
      </c>
      <c r="U133" s="2"/>
      <c r="V133" s="19">
        <f t="shared" si="33"/>
        <v>8.7897056830155433E-4</v>
      </c>
      <c r="W133" s="2"/>
      <c r="X133" s="2">
        <f t="shared" si="34"/>
        <v>822.57999999999993</v>
      </c>
      <c r="Y133" s="2"/>
      <c r="Z133" s="19">
        <f t="shared" si="35"/>
        <v>8.9646386212473408E-2</v>
      </c>
    </row>
    <row r="134" spans="1:26" s="24" customFormat="1" hidden="1" outlineLevel="1" x14ac:dyDescent="0.25">
      <c r="A134" s="44"/>
      <c r="B134" s="11" t="str">
        <f>CONCATENATE("          ", "5034", " - ", "PURCHASES @ COST-SODA")</f>
        <v xml:space="preserve">          5034 - PURCHASES @ COST-SODA</v>
      </c>
      <c r="C134" s="11"/>
      <c r="D134" s="2"/>
      <c r="E134" s="2"/>
      <c r="F134" s="19">
        <f t="shared" si="28"/>
        <v>0</v>
      </c>
      <c r="G134" s="2"/>
      <c r="H134" s="2">
        <v>367.08</v>
      </c>
      <c r="I134" s="2"/>
      <c r="J134" s="19">
        <f t="shared" si="29"/>
        <v>6.2469589938740568E-4</v>
      </c>
      <c r="K134" s="2"/>
      <c r="L134" s="2">
        <f t="shared" si="30"/>
        <v>-367.08</v>
      </c>
      <c r="M134" s="2"/>
      <c r="N134" s="19">
        <f t="shared" si="31"/>
        <v>-1</v>
      </c>
      <c r="O134" s="11"/>
      <c r="P134" s="2">
        <v>4033.88</v>
      </c>
      <c r="Q134" s="2"/>
      <c r="R134" s="19">
        <f t="shared" si="32"/>
        <v>4.6032439264945382E-4</v>
      </c>
      <c r="S134" s="2"/>
      <c r="T134" s="2">
        <v>3799.26</v>
      </c>
      <c r="U134" s="2"/>
      <c r="V134" s="19">
        <f t="shared" si="33"/>
        <v>3.6393849072240478E-4</v>
      </c>
      <c r="W134" s="2"/>
      <c r="X134" s="2">
        <f t="shared" si="34"/>
        <v>234.61999999999989</v>
      </c>
      <c r="Y134" s="2"/>
      <c r="Z134" s="19">
        <f t="shared" si="35"/>
        <v>6.1754131067628927E-2</v>
      </c>
    </row>
    <row r="135" spans="1:26" s="24" customFormat="1" hidden="1" outlineLevel="1" x14ac:dyDescent="0.25">
      <c r="A135" s="44"/>
      <c r="B135" s="11" t="str">
        <f>CONCATENATE("          ", "5035", " - ", "PURCHASES @ COST-HEALTH &amp; BEAU")</f>
        <v xml:space="preserve">          5035 - PURCHASES @ COST-HEALTH &amp; BEAU</v>
      </c>
      <c r="C135" s="11"/>
      <c r="D135" s="2"/>
      <c r="E135" s="2"/>
      <c r="F135" s="19">
        <f t="shared" si="28"/>
        <v>0</v>
      </c>
      <c r="G135" s="2"/>
      <c r="H135" s="2">
        <v>117.8</v>
      </c>
      <c r="I135" s="2"/>
      <c r="J135" s="19">
        <f t="shared" si="29"/>
        <v>2.0047176895455048E-4</v>
      </c>
      <c r="K135" s="2"/>
      <c r="L135" s="2">
        <f t="shared" si="30"/>
        <v>-117.8</v>
      </c>
      <c r="M135" s="2"/>
      <c r="N135" s="19">
        <f t="shared" si="31"/>
        <v>-1</v>
      </c>
      <c r="O135" s="11"/>
      <c r="P135" s="2">
        <v>1117.6500000000001</v>
      </c>
      <c r="Q135" s="2"/>
      <c r="R135" s="19">
        <f t="shared" si="32"/>
        <v>1.2754012450659467E-4</v>
      </c>
      <c r="S135" s="2"/>
      <c r="T135" s="2">
        <v>1197.8499999999999</v>
      </c>
      <c r="U135" s="2"/>
      <c r="V135" s="19">
        <f t="shared" si="33"/>
        <v>1.1474437682912792E-4</v>
      </c>
      <c r="W135" s="2"/>
      <c r="X135" s="2">
        <f t="shared" si="34"/>
        <v>-80.199999999999818</v>
      </c>
      <c r="Y135" s="2"/>
      <c r="Z135" s="19">
        <f t="shared" si="35"/>
        <v>-6.6953291313603391E-2</v>
      </c>
    </row>
    <row r="136" spans="1:26" s="24" customFormat="1" hidden="1" outlineLevel="1" x14ac:dyDescent="0.25">
      <c r="A136" s="44"/>
      <c r="B136" s="11" t="str">
        <f>CONCATENATE("          ", "5037", " - ", "PURCHASES @ COST-WATER")</f>
        <v xml:space="preserve">          5037 - PURCHASES @ COST-WATER</v>
      </c>
      <c r="C136" s="11"/>
      <c r="D136" s="2"/>
      <c r="E136" s="2"/>
      <c r="F136" s="19">
        <f t="shared" si="28"/>
        <v>0</v>
      </c>
      <c r="G136" s="2"/>
      <c r="H136" s="2">
        <v>460.25</v>
      </c>
      <c r="I136" s="2"/>
      <c r="J136" s="19">
        <f t="shared" si="29"/>
        <v>7.8325239101300389E-4</v>
      </c>
      <c r="K136" s="2"/>
      <c r="L136" s="2">
        <f t="shared" si="30"/>
        <v>-460.25</v>
      </c>
      <c r="M136" s="2"/>
      <c r="N136" s="19">
        <f t="shared" si="31"/>
        <v>-1</v>
      </c>
      <c r="O136" s="11"/>
      <c r="P136" s="2">
        <v>5693.57</v>
      </c>
      <c r="Q136" s="2"/>
      <c r="R136" s="19">
        <f t="shared" si="32"/>
        <v>6.4971916672215105E-4</v>
      </c>
      <c r="S136" s="2"/>
      <c r="T136" s="2">
        <v>5848.83</v>
      </c>
      <c r="U136" s="2"/>
      <c r="V136" s="19">
        <f t="shared" si="33"/>
        <v>5.6027077975498462E-4</v>
      </c>
      <c r="W136" s="2"/>
      <c r="X136" s="2">
        <f t="shared" si="34"/>
        <v>-155.26000000000022</v>
      </c>
      <c r="Y136" s="2"/>
      <c r="Z136" s="19">
        <f t="shared" si="35"/>
        <v>-2.6545480036178213E-2</v>
      </c>
    </row>
    <row r="137" spans="1:26" s="24" customFormat="1" hidden="1" outlineLevel="1" x14ac:dyDescent="0.25">
      <c r="A137" s="44"/>
      <c r="B137" s="11" t="str">
        <f>CONCATENATE("          ", "5040", " - ", "PURCHASES @ COST-LOGO CLOTHING")</f>
        <v xml:space="preserve">          5040 - PURCHASES @ COST-LOGO CLOTHING</v>
      </c>
      <c r="C137" s="11"/>
      <c r="D137" s="2">
        <v>8012.9</v>
      </c>
      <c r="E137" s="2"/>
      <c r="F137" s="19">
        <f t="shared" si="28"/>
        <v>4.8611184837343412E-2</v>
      </c>
      <c r="G137" s="2"/>
      <c r="H137" s="2">
        <v>64538.15</v>
      </c>
      <c r="I137" s="2"/>
      <c r="J137" s="19">
        <f t="shared" si="29"/>
        <v>0.10983087517448321</v>
      </c>
      <c r="K137" s="2"/>
      <c r="L137" s="2">
        <f t="shared" si="30"/>
        <v>-56525.25</v>
      </c>
      <c r="M137" s="2"/>
      <c r="N137" s="19">
        <f t="shared" si="31"/>
        <v>-0.87584242808323443</v>
      </c>
      <c r="O137" s="11"/>
      <c r="P137" s="2">
        <v>974911.44</v>
      </c>
      <c r="Q137" s="2"/>
      <c r="R137" s="19">
        <f t="shared" si="32"/>
        <v>0.11125157825840243</v>
      </c>
      <c r="S137" s="2"/>
      <c r="T137" s="2">
        <v>1004849.15</v>
      </c>
      <c r="U137" s="2"/>
      <c r="V137" s="19">
        <f t="shared" si="33"/>
        <v>9.6256450744274233E-2</v>
      </c>
      <c r="W137" s="2"/>
      <c r="X137" s="2">
        <f t="shared" si="34"/>
        <v>-29937.710000000079</v>
      </c>
      <c r="Y137" s="2"/>
      <c r="Z137" s="19">
        <f t="shared" si="35"/>
        <v>-2.9793238119373518E-2</v>
      </c>
    </row>
    <row r="138" spans="1:26" s="24" customFormat="1" hidden="1" outlineLevel="1" x14ac:dyDescent="0.25">
      <c r="A138" s="44"/>
      <c r="B138" s="11" t="str">
        <f>CONCATENATE("          ", "5041", " - ", "PURCHASES @ COST-LOGO GIFTS")</f>
        <v xml:space="preserve">          5041 - PURCHASES @ COST-LOGO GIFTS</v>
      </c>
      <c r="C138" s="11"/>
      <c r="D138" s="2">
        <v>-4050.7</v>
      </c>
      <c r="E138" s="2"/>
      <c r="F138" s="19">
        <f t="shared" si="28"/>
        <v>-2.4574040162815829E-2</v>
      </c>
      <c r="G138" s="2"/>
      <c r="H138" s="2">
        <v>29207.06</v>
      </c>
      <c r="I138" s="2"/>
      <c r="J138" s="19">
        <f t="shared" si="29"/>
        <v>4.9704507505617092E-2</v>
      </c>
      <c r="K138" s="2"/>
      <c r="L138" s="2">
        <f t="shared" si="30"/>
        <v>-33257.760000000002</v>
      </c>
      <c r="M138" s="2"/>
      <c r="N138" s="19">
        <f t="shared" si="31"/>
        <v>-1.1386890703822981</v>
      </c>
      <c r="O138" s="11"/>
      <c r="P138" s="2">
        <v>145460.03</v>
      </c>
      <c r="Q138" s="2"/>
      <c r="R138" s="19">
        <f t="shared" si="32"/>
        <v>1.659910556697803E-2</v>
      </c>
      <c r="S138" s="2"/>
      <c r="T138" s="2">
        <v>245362.05000000002</v>
      </c>
      <c r="U138" s="2"/>
      <c r="V138" s="19">
        <f t="shared" si="33"/>
        <v>2.3503707079156264E-2</v>
      </c>
      <c r="W138" s="2"/>
      <c r="X138" s="2">
        <f t="shared" si="34"/>
        <v>-99902.020000000019</v>
      </c>
      <c r="Y138" s="2"/>
      <c r="Z138" s="19">
        <f t="shared" si="35"/>
        <v>-0.40716166171581958</v>
      </c>
    </row>
    <row r="139" spans="1:26" s="24" customFormat="1" hidden="1" outlineLevel="1" x14ac:dyDescent="0.25">
      <c r="A139" s="44"/>
      <c r="B139" s="11" t="str">
        <f>CONCATENATE("          ", "5042", " - ", "PURCHASES @ COST-EVERYDAY GIFT")</f>
        <v xml:space="preserve">          5042 - PURCHASES @ COST-EVERYDAY GIFT</v>
      </c>
      <c r="C139" s="11"/>
      <c r="D139" s="2">
        <v>521.79999999999995</v>
      </c>
      <c r="E139" s="2"/>
      <c r="F139" s="19">
        <f t="shared" si="28"/>
        <v>3.1655600654102497E-3</v>
      </c>
      <c r="G139" s="2"/>
      <c r="H139" s="2">
        <v>11596.65</v>
      </c>
      <c r="I139" s="2"/>
      <c r="J139" s="19">
        <f t="shared" si="29"/>
        <v>1.9735152287324174E-2</v>
      </c>
      <c r="K139" s="2"/>
      <c r="L139" s="2">
        <f t="shared" si="30"/>
        <v>-11074.85</v>
      </c>
      <c r="M139" s="2"/>
      <c r="N139" s="19">
        <f t="shared" si="31"/>
        <v>-0.95500424691613528</v>
      </c>
      <c r="O139" s="11"/>
      <c r="P139" s="2">
        <v>115885.04</v>
      </c>
      <c r="Q139" s="2"/>
      <c r="R139" s="19">
        <f t="shared" si="32"/>
        <v>1.3224168952759541E-2</v>
      </c>
      <c r="S139" s="2"/>
      <c r="T139" s="2">
        <v>130164.17000000001</v>
      </c>
      <c r="U139" s="2"/>
      <c r="V139" s="19">
        <f t="shared" si="33"/>
        <v>1.2468678525800952E-2</v>
      </c>
      <c r="W139" s="2"/>
      <c r="X139" s="2">
        <f t="shared" si="34"/>
        <v>-14279.130000000019</v>
      </c>
      <c r="Y139" s="2"/>
      <c r="Z139" s="19">
        <f t="shared" si="35"/>
        <v>-0.10970092614580508</v>
      </c>
    </row>
    <row r="140" spans="1:26" s="24" customFormat="1" hidden="1" outlineLevel="1" x14ac:dyDescent="0.25">
      <c r="A140" s="44"/>
      <c r="B140" s="11" t="str">
        <f>CONCATENATE("          ", "5043", " - ", "PURCHASES @ COST-CARDS")</f>
        <v xml:space="preserve">          5043 - PURCHASES @ COST-CARDS</v>
      </c>
      <c r="C140" s="11"/>
      <c r="D140" s="2">
        <v>6137.75</v>
      </c>
      <c r="E140" s="2"/>
      <c r="F140" s="19">
        <f t="shared" si="28"/>
        <v>3.7235370432103801E-2</v>
      </c>
      <c r="G140" s="2"/>
      <c r="H140" s="2">
        <v>978.5</v>
      </c>
      <c r="I140" s="2"/>
      <c r="J140" s="19">
        <f t="shared" si="29"/>
        <v>1.6652090485740887E-3</v>
      </c>
      <c r="K140" s="2"/>
      <c r="L140" s="2">
        <f t="shared" si="30"/>
        <v>5159.25</v>
      </c>
      <c r="M140" s="2"/>
      <c r="N140" s="19">
        <f t="shared" si="31"/>
        <v>5.2726111394992339</v>
      </c>
      <c r="O140" s="11"/>
      <c r="P140" s="2">
        <v>30914.659999999996</v>
      </c>
      <c r="Q140" s="2"/>
      <c r="R140" s="19">
        <f t="shared" si="32"/>
        <v>3.5278124506590088E-3</v>
      </c>
      <c r="S140" s="2"/>
      <c r="T140" s="2">
        <v>4361.58</v>
      </c>
      <c r="U140" s="2"/>
      <c r="V140" s="19">
        <f t="shared" si="33"/>
        <v>4.1780421512742642E-4</v>
      </c>
      <c r="W140" s="2"/>
      <c r="X140" s="2">
        <f t="shared" si="34"/>
        <v>26553.079999999994</v>
      </c>
      <c r="Y140" s="2"/>
      <c r="Z140" s="19">
        <f t="shared" si="35"/>
        <v>6.0879497796670003</v>
      </c>
    </row>
    <row r="141" spans="1:26" s="24" customFormat="1" hidden="1" outlineLevel="1" x14ac:dyDescent="0.25">
      <c r="A141" s="44"/>
      <c r="B141" s="11" t="str">
        <f>CONCATENATE("          ", "5044", " - ", "PURCHASES @ COST-ACCESSORIES")</f>
        <v xml:space="preserve">          5044 - PURCHASES @ COST-ACCESSORIES</v>
      </c>
      <c r="C141" s="11"/>
      <c r="D141" s="2">
        <v>4380</v>
      </c>
      <c r="E141" s="2"/>
      <c r="F141" s="19">
        <f t="shared" si="28"/>
        <v>2.6571776708503057E-2</v>
      </c>
      <c r="G141" s="2"/>
      <c r="H141" s="2">
        <v>1248</v>
      </c>
      <c r="I141" s="2"/>
      <c r="J141" s="19">
        <f t="shared" si="29"/>
        <v>2.1238435284828437E-3</v>
      </c>
      <c r="K141" s="2"/>
      <c r="L141" s="2">
        <f t="shared" si="30"/>
        <v>3132</v>
      </c>
      <c r="M141" s="2"/>
      <c r="N141" s="19">
        <f t="shared" si="31"/>
        <v>2.5096153846153846</v>
      </c>
      <c r="O141" s="11"/>
      <c r="P141" s="2">
        <v>36474.03</v>
      </c>
      <c r="Q141" s="2"/>
      <c r="R141" s="19">
        <f t="shared" si="32"/>
        <v>4.1622174450474374E-3</v>
      </c>
      <c r="S141" s="2"/>
      <c r="T141" s="2">
        <v>34227.11</v>
      </c>
      <c r="U141" s="2"/>
      <c r="V141" s="19">
        <f t="shared" si="33"/>
        <v>3.278681310357735E-3</v>
      </c>
      <c r="W141" s="2"/>
      <c r="X141" s="2">
        <f t="shared" si="34"/>
        <v>2246.9199999999983</v>
      </c>
      <c r="Y141" s="2"/>
      <c r="Z141" s="19">
        <f t="shared" si="35"/>
        <v>6.5647377181421343E-2</v>
      </c>
    </row>
    <row r="142" spans="1:26" s="24" customFormat="1" hidden="1" outlineLevel="1" x14ac:dyDescent="0.25">
      <c r="A142" s="44"/>
      <c r="B142" s="11" t="str">
        <f>CONCATENATE("          ", "5045", " - ", "PURCHASES @ COST-SPECIAL ORDER")</f>
        <v xml:space="preserve">          5045 - PURCHASES @ COST-SPECIAL ORDER</v>
      </c>
      <c r="C142" s="11"/>
      <c r="D142" s="2">
        <v>4221.8999999999996</v>
      </c>
      <c r="E142" s="2"/>
      <c r="F142" s="19">
        <f t="shared" si="28"/>
        <v>2.5612644768408459E-2</v>
      </c>
      <c r="G142" s="2"/>
      <c r="H142" s="2">
        <v>30972.289999999997</v>
      </c>
      <c r="I142" s="2"/>
      <c r="J142" s="19">
        <f t="shared" si="29"/>
        <v>5.2708571858007924E-2</v>
      </c>
      <c r="K142" s="2"/>
      <c r="L142" s="2">
        <f t="shared" si="30"/>
        <v>-26750.39</v>
      </c>
      <c r="M142" s="2"/>
      <c r="N142" s="19">
        <f t="shared" si="31"/>
        <v>-0.86368783192976695</v>
      </c>
      <c r="O142" s="11"/>
      <c r="P142" s="2">
        <v>61923.149999999994</v>
      </c>
      <c r="Q142" s="2"/>
      <c r="R142" s="19">
        <f t="shared" si="32"/>
        <v>7.0663322693513501E-3</v>
      </c>
      <c r="S142" s="2"/>
      <c r="T142" s="2">
        <v>99636.95</v>
      </c>
      <c r="U142" s="2"/>
      <c r="V142" s="19">
        <f t="shared" si="33"/>
        <v>9.5444168609633735E-3</v>
      </c>
      <c r="W142" s="2"/>
      <c r="X142" s="2">
        <f t="shared" si="34"/>
        <v>-37713.800000000003</v>
      </c>
      <c r="Y142" s="2"/>
      <c r="Z142" s="19">
        <f t="shared" si="35"/>
        <v>-0.37851218850035057</v>
      </c>
    </row>
    <row r="143" spans="1:26" s="24" customFormat="1" hidden="1" outlineLevel="1" x14ac:dyDescent="0.25">
      <c r="A143" s="44"/>
      <c r="B143" s="11" t="str">
        <f>CONCATENATE("          ", "5081", " - ", "PURCHASES @ COST-ELECTRONICS")</f>
        <v xml:space="preserve">          5081 - PURCHASES @ COST-ELECTRONICS</v>
      </c>
      <c r="C143" s="11"/>
      <c r="D143" s="2"/>
      <c r="E143" s="2"/>
      <c r="F143" s="19">
        <f t="shared" si="28"/>
        <v>0</v>
      </c>
      <c r="G143" s="2"/>
      <c r="H143" s="2"/>
      <c r="I143" s="2"/>
      <c r="J143" s="19">
        <f t="shared" si="29"/>
        <v>0</v>
      </c>
      <c r="K143" s="2"/>
      <c r="L143" s="2">
        <f t="shared" si="30"/>
        <v>0</v>
      </c>
      <c r="M143" s="2"/>
      <c r="N143" s="19">
        <f t="shared" si="31"/>
        <v>0</v>
      </c>
      <c r="O143" s="11"/>
      <c r="P143" s="2">
        <v>2008.03</v>
      </c>
      <c r="Q143" s="2"/>
      <c r="R143" s="19">
        <f t="shared" si="32"/>
        <v>2.291454357025699E-4</v>
      </c>
      <c r="S143" s="2"/>
      <c r="T143" s="2">
        <v>2554.86</v>
      </c>
      <c r="U143" s="2"/>
      <c r="V143" s="19">
        <f t="shared" si="33"/>
        <v>2.4473499902797995E-4</v>
      </c>
      <c r="W143" s="2"/>
      <c r="X143" s="2">
        <f t="shared" si="34"/>
        <v>-546.83000000000015</v>
      </c>
      <c r="Y143" s="2"/>
      <c r="Z143" s="19">
        <f t="shared" si="35"/>
        <v>-0.21403521132273398</v>
      </c>
    </row>
    <row r="144" spans="1:26" s="24" customFormat="1" hidden="1" outlineLevel="1" x14ac:dyDescent="0.25">
      <c r="A144" s="44"/>
      <c r="B144" s="11" t="str">
        <f>CONCATENATE("          ", "5082", " - ", "PURCHASES @ COST-COMPUTER HARD")</f>
        <v xml:space="preserve">          5082 - PURCHASES @ COST-COMPUTER HARD</v>
      </c>
      <c r="C144" s="11"/>
      <c r="D144" s="2"/>
      <c r="E144" s="2"/>
      <c r="F144" s="19">
        <f t="shared" si="28"/>
        <v>0</v>
      </c>
      <c r="G144" s="2"/>
      <c r="H144" s="2"/>
      <c r="I144" s="2"/>
      <c r="J144" s="19">
        <f t="shared" si="29"/>
        <v>0</v>
      </c>
      <c r="K144" s="2"/>
      <c r="L144" s="2">
        <f t="shared" si="30"/>
        <v>0</v>
      </c>
      <c r="M144" s="2"/>
      <c r="N144" s="19">
        <f t="shared" si="31"/>
        <v>0</v>
      </c>
      <c r="O144" s="11"/>
      <c r="P144" s="2">
        <v>349.6</v>
      </c>
      <c r="Q144" s="2"/>
      <c r="R144" s="19">
        <f t="shared" si="32"/>
        <v>3.9894445960278703E-5</v>
      </c>
      <c r="S144" s="2"/>
      <c r="T144" s="2">
        <v>1118</v>
      </c>
      <c r="U144" s="2"/>
      <c r="V144" s="19">
        <f t="shared" si="33"/>
        <v>1.0709539032012774E-4</v>
      </c>
      <c r="W144" s="2"/>
      <c r="X144" s="2">
        <f t="shared" si="34"/>
        <v>-768.4</v>
      </c>
      <c r="Y144" s="2"/>
      <c r="Z144" s="19">
        <f t="shared" si="35"/>
        <v>-0.68729874776386402</v>
      </c>
    </row>
    <row r="145" spans="1:26" s="24" customFormat="1" hidden="1" outlineLevel="1" x14ac:dyDescent="0.25">
      <c r="A145" s="44"/>
      <c r="B145" s="11" t="str">
        <f>CONCATENATE("          ", "5083", " - ", "PURCHASES @ COST-COMPUTER EQUI")</f>
        <v xml:space="preserve">          5083 - PURCHASES @ COST-COMPUTER EQUI</v>
      </c>
      <c r="C145" s="11"/>
      <c r="D145" s="2"/>
      <c r="E145" s="2"/>
      <c r="F145" s="19">
        <f t="shared" si="28"/>
        <v>0</v>
      </c>
      <c r="G145" s="2"/>
      <c r="H145" s="2"/>
      <c r="I145" s="2"/>
      <c r="J145" s="19">
        <f t="shared" si="29"/>
        <v>0</v>
      </c>
      <c r="K145" s="2"/>
      <c r="L145" s="2">
        <f t="shared" si="30"/>
        <v>0</v>
      </c>
      <c r="M145" s="2"/>
      <c r="N145" s="19">
        <f t="shared" si="31"/>
        <v>0</v>
      </c>
      <c r="O145" s="11"/>
      <c r="P145" s="2">
        <v>395.06</v>
      </c>
      <c r="Q145" s="2"/>
      <c r="R145" s="19">
        <f t="shared" si="32"/>
        <v>4.5082093309690229E-5</v>
      </c>
      <c r="S145" s="2"/>
      <c r="T145" s="2">
        <v>725.99</v>
      </c>
      <c r="U145" s="2"/>
      <c r="V145" s="19">
        <f t="shared" si="33"/>
        <v>6.9543991429793861E-5</v>
      </c>
      <c r="W145" s="2"/>
      <c r="X145" s="2">
        <f t="shared" si="34"/>
        <v>-330.93</v>
      </c>
      <c r="Y145" s="2"/>
      <c r="Z145" s="19">
        <f t="shared" si="35"/>
        <v>-0.45583272496866351</v>
      </c>
    </row>
    <row r="146" spans="1:26" s="24" customFormat="1" hidden="1" outlineLevel="1" x14ac:dyDescent="0.25">
      <c r="A146" s="44"/>
      <c r="B146" s="11" t="str">
        <f>CONCATENATE("          ", "5086", " - ", "PURCHASES @ COST-COMPUTER SUPP")</f>
        <v xml:space="preserve">          5086 - PURCHASES @ COST-COMPUTER SUPP</v>
      </c>
      <c r="C146" s="11"/>
      <c r="D146" s="2"/>
      <c r="E146" s="2"/>
      <c r="F146" s="19">
        <f t="shared" si="28"/>
        <v>0</v>
      </c>
      <c r="G146" s="2"/>
      <c r="H146" s="2"/>
      <c r="I146" s="2"/>
      <c r="J146" s="19">
        <f t="shared" si="29"/>
        <v>0</v>
      </c>
      <c r="K146" s="2"/>
      <c r="L146" s="2">
        <f t="shared" si="30"/>
        <v>0</v>
      </c>
      <c r="M146" s="2"/>
      <c r="N146" s="19">
        <f t="shared" si="31"/>
        <v>0</v>
      </c>
      <c r="O146" s="11"/>
      <c r="P146" s="2">
        <v>426.22</v>
      </c>
      <c r="Q146" s="2"/>
      <c r="R146" s="19">
        <f t="shared" si="32"/>
        <v>4.8637902623541159E-5</v>
      </c>
      <c r="S146" s="2"/>
      <c r="T146" s="2">
        <v>971.76</v>
      </c>
      <c r="U146" s="2"/>
      <c r="V146" s="19">
        <f t="shared" si="33"/>
        <v>9.3086776831384019E-5</v>
      </c>
      <c r="W146" s="2"/>
      <c r="X146" s="2">
        <f t="shared" si="34"/>
        <v>-545.54</v>
      </c>
      <c r="Y146" s="2"/>
      <c r="Z146" s="19">
        <f t="shared" si="35"/>
        <v>-0.56139375977607642</v>
      </c>
    </row>
    <row r="147" spans="1:26" s="24" customFormat="1" hidden="1" outlineLevel="1" x14ac:dyDescent="0.25">
      <c r="A147" s="44"/>
      <c r="B147" s="11" t="str">
        <f>CONCATENATE("          ", "5092", " - ", "PURCHASES @ COST-GRAD MERCH")</f>
        <v xml:space="preserve">          5092 - PURCHASES @ COST-GRAD MERCH</v>
      </c>
      <c r="C147" s="11"/>
      <c r="D147" s="2">
        <v>5539.35</v>
      </c>
      <c r="E147" s="2"/>
      <c r="F147" s="19">
        <f t="shared" si="28"/>
        <v>3.3605107605079093E-2</v>
      </c>
      <c r="G147" s="2"/>
      <c r="H147" s="2">
        <v>27387.5</v>
      </c>
      <c r="I147" s="2"/>
      <c r="J147" s="19">
        <f t="shared" si="29"/>
        <v>4.660798448423388E-2</v>
      </c>
      <c r="K147" s="2"/>
      <c r="L147" s="2">
        <f t="shared" si="30"/>
        <v>-21848.15</v>
      </c>
      <c r="M147" s="2"/>
      <c r="N147" s="19">
        <f t="shared" si="31"/>
        <v>-0.79774167047010502</v>
      </c>
      <c r="O147" s="11"/>
      <c r="P147" s="2">
        <v>8485.48</v>
      </c>
      <c r="Q147" s="2"/>
      <c r="R147" s="19">
        <f t="shared" si="32"/>
        <v>9.6831671426494763E-4</v>
      </c>
      <c r="S147" s="2"/>
      <c r="T147" s="2">
        <v>35607.46</v>
      </c>
      <c r="U147" s="2"/>
      <c r="V147" s="19">
        <f t="shared" si="33"/>
        <v>3.4109077164654164E-3</v>
      </c>
      <c r="W147" s="2"/>
      <c r="X147" s="2">
        <f t="shared" si="34"/>
        <v>-27121.98</v>
      </c>
      <c r="Y147" s="2"/>
      <c r="Z147" s="19">
        <f t="shared" si="35"/>
        <v>-0.76169375743172918</v>
      </c>
    </row>
    <row r="148" spans="1:26" s="24" customFormat="1" hidden="1" outlineLevel="1" x14ac:dyDescent="0.25">
      <c r="A148" s="44"/>
      <c r="B148" s="11" t="str">
        <f>CONCATENATE("          ", "5095", " - ", "PURCHASES @ COST-CUSTOMER SERV")</f>
        <v xml:space="preserve">          5095 - PURCHASES @ COST-CUSTOMER SERV</v>
      </c>
      <c r="C148" s="11"/>
      <c r="D148" s="2"/>
      <c r="E148" s="2"/>
      <c r="F148" s="19">
        <f t="shared" si="28"/>
        <v>0</v>
      </c>
      <c r="G148" s="2"/>
      <c r="H148" s="2">
        <v>0</v>
      </c>
      <c r="I148" s="2"/>
      <c r="J148" s="19">
        <f t="shared" si="29"/>
        <v>0</v>
      </c>
      <c r="K148" s="2"/>
      <c r="L148" s="2">
        <f t="shared" si="30"/>
        <v>0</v>
      </c>
      <c r="M148" s="2"/>
      <c r="N148" s="19">
        <f t="shared" si="31"/>
        <v>0</v>
      </c>
      <c r="O148" s="11"/>
      <c r="P148" s="2">
        <v>0</v>
      </c>
      <c r="Q148" s="2"/>
      <c r="R148" s="19">
        <f t="shared" si="32"/>
        <v>0</v>
      </c>
      <c r="S148" s="2"/>
      <c r="T148" s="2">
        <v>0</v>
      </c>
      <c r="U148" s="2"/>
      <c r="V148" s="19">
        <f t="shared" si="33"/>
        <v>0</v>
      </c>
      <c r="W148" s="2"/>
      <c r="X148" s="2">
        <f t="shared" si="34"/>
        <v>0</v>
      </c>
      <c r="Y148" s="2"/>
      <c r="Z148" s="19">
        <f t="shared" si="35"/>
        <v>0</v>
      </c>
    </row>
    <row r="149" spans="1:26" s="24" customFormat="1" hidden="1" outlineLevel="1" x14ac:dyDescent="0.25">
      <c r="A149" s="44"/>
      <c r="B149" s="11" t="str">
        <f>CONCATENATE("          ", "5200", " - ", "PURCHASES OFFSET")</f>
        <v xml:space="preserve">          5200 - PURCHASES OFFSET</v>
      </c>
      <c r="C149" s="11"/>
      <c r="D149" s="2">
        <v>-50558</v>
      </c>
      <c r="E149" s="2"/>
      <c r="F149" s="19">
        <f t="shared" si="28"/>
        <v>-0.30671595589691725</v>
      </c>
      <c r="G149" s="2"/>
      <c r="H149" s="2">
        <v>65002</v>
      </c>
      <c r="I149" s="2"/>
      <c r="J149" s="19">
        <f t="shared" si="29"/>
        <v>0.11062025403721298</v>
      </c>
      <c r="K149" s="2"/>
      <c r="L149" s="2">
        <f t="shared" si="30"/>
        <v>-115560</v>
      </c>
      <c r="M149" s="2"/>
      <c r="N149" s="19">
        <f t="shared" si="31"/>
        <v>-1.7777914525706902</v>
      </c>
      <c r="O149" s="11"/>
      <c r="P149" s="2">
        <v>-3418171</v>
      </c>
      <c r="Q149" s="2"/>
      <c r="R149" s="19">
        <f t="shared" si="32"/>
        <v>-0.39006303845106355</v>
      </c>
      <c r="S149" s="2"/>
      <c r="T149" s="2">
        <v>-3903025.9999999995</v>
      </c>
      <c r="U149" s="2"/>
      <c r="V149" s="19">
        <f t="shared" si="33"/>
        <v>-0.37387843729839609</v>
      </c>
      <c r="W149" s="2"/>
      <c r="X149" s="2">
        <f t="shared" si="34"/>
        <v>484854.99999999953</v>
      </c>
      <c r="Y149" s="2"/>
      <c r="Z149" s="19">
        <f t="shared" si="35"/>
        <v>-0.12422540869571445</v>
      </c>
    </row>
    <row r="150" spans="1:26" s="24" customFormat="1" hidden="1" outlineLevel="1" x14ac:dyDescent="0.25">
      <c r="A150" s="44"/>
      <c r="B150" s="11" t="str">
        <f>CONCATENATE("          ", "5300", " - ", "COG$ OFFSET")</f>
        <v xml:space="preserve">          5300 - COG$ OFFSET</v>
      </c>
      <c r="C150" s="11"/>
      <c r="D150" s="2">
        <v>64332</v>
      </c>
      <c r="E150" s="2"/>
      <c r="F150" s="19">
        <f t="shared" si="28"/>
        <v>0.39027752036790381</v>
      </c>
      <c r="G150" s="2"/>
      <c r="H150" s="2">
        <v>247383</v>
      </c>
      <c r="I150" s="2"/>
      <c r="J150" s="19">
        <f t="shared" si="29"/>
        <v>0.4209958201976533</v>
      </c>
      <c r="K150" s="2"/>
      <c r="L150" s="2">
        <f t="shared" si="30"/>
        <v>-183051</v>
      </c>
      <c r="M150" s="2"/>
      <c r="N150" s="19">
        <f t="shared" si="31"/>
        <v>-0.73994979444828468</v>
      </c>
      <c r="O150" s="11"/>
      <c r="P150" s="2">
        <v>3887601.4699999997</v>
      </c>
      <c r="Q150" s="2"/>
      <c r="R150" s="19">
        <f t="shared" si="32"/>
        <v>0.44363188432498579</v>
      </c>
      <c r="S150" s="2"/>
      <c r="T150" s="2">
        <v>4596425</v>
      </c>
      <c r="U150" s="2"/>
      <c r="V150" s="19">
        <f t="shared" si="33"/>
        <v>0.44030047357083468</v>
      </c>
      <c r="W150" s="2"/>
      <c r="X150" s="2">
        <f t="shared" si="34"/>
        <v>-708823.53000000026</v>
      </c>
      <c r="Y150" s="2"/>
      <c r="Z150" s="19">
        <f t="shared" si="35"/>
        <v>-0.15421192122138408</v>
      </c>
    </row>
    <row r="151" spans="1:26" s="24" customFormat="1" hidden="1" outlineLevel="1" x14ac:dyDescent="0.25">
      <c r="A151" s="44"/>
      <c r="B151" s="11" t="str">
        <f>CONCATENATE("          ", "5500", " - ", "FREIGHT-IN")</f>
        <v xml:space="preserve">          5500 - FREIGHT-IN</v>
      </c>
      <c r="C151" s="11"/>
      <c r="D151" s="2"/>
      <c r="E151" s="2"/>
      <c r="F151" s="19">
        <f t="shared" si="28"/>
        <v>0</v>
      </c>
      <c r="G151" s="2"/>
      <c r="H151" s="2"/>
      <c r="I151" s="2"/>
      <c r="J151" s="19">
        <f t="shared" si="29"/>
        <v>0</v>
      </c>
      <c r="K151" s="2"/>
      <c r="L151" s="2">
        <f t="shared" si="30"/>
        <v>0</v>
      </c>
      <c r="M151" s="2"/>
      <c r="N151" s="19">
        <f t="shared" si="31"/>
        <v>0</v>
      </c>
      <c r="O151" s="11"/>
      <c r="P151" s="2">
        <v>156.47999999999999</v>
      </c>
      <c r="Q151" s="2"/>
      <c r="R151" s="19">
        <f t="shared" si="32"/>
        <v>1.7856644461854721E-5</v>
      </c>
      <c r="S151" s="2"/>
      <c r="T151" s="2">
        <v>174.83</v>
      </c>
      <c r="U151" s="2"/>
      <c r="V151" s="19">
        <f t="shared" si="33"/>
        <v>1.674730508914842E-5</v>
      </c>
      <c r="W151" s="2"/>
      <c r="X151" s="2">
        <f t="shared" si="34"/>
        <v>-18.350000000000023</v>
      </c>
      <c r="Y151" s="2"/>
      <c r="Z151" s="19">
        <f t="shared" si="35"/>
        <v>-0.10495910312875377</v>
      </c>
    </row>
    <row r="152" spans="1:26" s="24" customFormat="1" hidden="1" outlineLevel="1" x14ac:dyDescent="0.25">
      <c r="A152" s="44"/>
      <c r="B152" s="11" t="str">
        <f>CONCATENATE("          ", "5501", " - ", "FREIGHT-IN-NEW TEXT")</f>
        <v xml:space="preserve">          5501 - FREIGHT-IN-NEW TEXT</v>
      </c>
      <c r="C152" s="11"/>
      <c r="D152" s="2">
        <v>2428.4</v>
      </c>
      <c r="E152" s="2"/>
      <c r="F152" s="19">
        <f t="shared" si="28"/>
        <v>1.4732169534002014E-2</v>
      </c>
      <c r="G152" s="2"/>
      <c r="H152" s="2">
        <v>105.61</v>
      </c>
      <c r="I152" s="2"/>
      <c r="J152" s="19">
        <f t="shared" si="29"/>
        <v>1.7972685500246245E-4</v>
      </c>
      <c r="K152" s="2"/>
      <c r="L152" s="2">
        <f t="shared" si="30"/>
        <v>2322.79</v>
      </c>
      <c r="M152" s="2"/>
      <c r="N152" s="19">
        <f t="shared" si="31"/>
        <v>21.994034655809109</v>
      </c>
      <c r="O152" s="11"/>
      <c r="P152" s="2">
        <v>69768.95</v>
      </c>
      <c r="Q152" s="2"/>
      <c r="R152" s="19">
        <f t="shared" si="32"/>
        <v>7.9616521895892068E-3</v>
      </c>
      <c r="S152" s="2"/>
      <c r="T152" s="2">
        <v>62766.54</v>
      </c>
      <c r="U152" s="2"/>
      <c r="V152" s="19">
        <f t="shared" si="33"/>
        <v>6.0125287122933012E-3</v>
      </c>
      <c r="W152" s="2"/>
      <c r="X152" s="2">
        <f t="shared" si="34"/>
        <v>7002.4099999999962</v>
      </c>
      <c r="Y152" s="2"/>
      <c r="Z152" s="19">
        <f t="shared" si="35"/>
        <v>0.11156278488506768</v>
      </c>
    </row>
    <row r="153" spans="1:26" s="24" customFormat="1" hidden="1" outlineLevel="1" x14ac:dyDescent="0.25">
      <c r="A153" s="44"/>
      <c r="B153" s="11" t="str">
        <f>CONCATENATE("          ", "5502", " - ", "FREIGHT-IN-USED TEXT")</f>
        <v xml:space="preserve">          5502 - FREIGHT-IN-USED TEXT</v>
      </c>
      <c r="C153" s="11"/>
      <c r="D153" s="2">
        <v>36.700000000000003</v>
      </c>
      <c r="E153" s="2"/>
      <c r="F153" s="19">
        <f t="shared" si="28"/>
        <v>2.2264479570823338E-4</v>
      </c>
      <c r="G153" s="2"/>
      <c r="H153" s="2">
        <v>107.69</v>
      </c>
      <c r="I153" s="2"/>
      <c r="J153" s="19">
        <f t="shared" si="29"/>
        <v>1.832665942166005E-4</v>
      </c>
      <c r="K153" s="2"/>
      <c r="L153" s="2">
        <f t="shared" si="30"/>
        <v>-70.989999999999995</v>
      </c>
      <c r="M153" s="2"/>
      <c r="N153" s="19">
        <f t="shared" si="31"/>
        <v>-0.65920698300677871</v>
      </c>
      <c r="O153" s="11"/>
      <c r="P153" s="2">
        <v>15301.34</v>
      </c>
      <c r="Q153" s="2"/>
      <c r="R153" s="19">
        <f t="shared" si="32"/>
        <v>1.746105496996141E-3</v>
      </c>
      <c r="S153" s="2"/>
      <c r="T153" s="2">
        <v>13737.1</v>
      </c>
      <c r="U153" s="2"/>
      <c r="V153" s="19">
        <f t="shared" si="33"/>
        <v>1.3159034761776626E-3</v>
      </c>
      <c r="W153" s="2"/>
      <c r="X153" s="2">
        <f t="shared" si="34"/>
        <v>1564.2399999999998</v>
      </c>
      <c r="Y153" s="2"/>
      <c r="Z153" s="19">
        <f t="shared" si="35"/>
        <v>0.11386973961025251</v>
      </c>
    </row>
    <row r="154" spans="1:26" s="24" customFormat="1" hidden="1" outlineLevel="1" x14ac:dyDescent="0.25">
      <c r="A154" s="44"/>
      <c r="B154" s="11" t="str">
        <f>CONCATENATE("          ", "5504", " - ", "FREIGHT-IN-DIGITAL TEXT")</f>
        <v xml:space="preserve">          5504 - FREIGHT-IN-DIGITAL TEXT</v>
      </c>
      <c r="C154" s="11"/>
      <c r="D154" s="2"/>
      <c r="E154" s="2"/>
      <c r="F154" s="19">
        <f t="shared" si="28"/>
        <v>0</v>
      </c>
      <c r="G154" s="2"/>
      <c r="H154" s="2"/>
      <c r="I154" s="2"/>
      <c r="J154" s="19">
        <f t="shared" si="29"/>
        <v>0</v>
      </c>
      <c r="K154" s="2"/>
      <c r="L154" s="2">
        <f t="shared" si="30"/>
        <v>0</v>
      </c>
      <c r="M154" s="2"/>
      <c r="N154" s="19">
        <f t="shared" si="31"/>
        <v>0</v>
      </c>
      <c r="O154" s="11"/>
      <c r="P154" s="2">
        <v>118.75</v>
      </c>
      <c r="Q154" s="2"/>
      <c r="R154" s="19">
        <f t="shared" si="32"/>
        <v>1.3551102568029451E-5</v>
      </c>
      <c r="S154" s="2"/>
      <c r="T154" s="2">
        <v>243.53</v>
      </c>
      <c r="U154" s="2"/>
      <c r="V154" s="19">
        <f t="shared" si="33"/>
        <v>2.3328211453184892E-5</v>
      </c>
      <c r="W154" s="2"/>
      <c r="X154" s="2">
        <f t="shared" si="34"/>
        <v>-124.78</v>
      </c>
      <c r="Y154" s="2"/>
      <c r="Z154" s="19">
        <f t="shared" si="35"/>
        <v>-0.5123804048782491</v>
      </c>
    </row>
    <row r="155" spans="1:26" s="24" customFormat="1" hidden="1" outlineLevel="1" x14ac:dyDescent="0.25">
      <c r="A155" s="44"/>
      <c r="B155" s="11" t="str">
        <f>CONCATENATE("          ", "5513", " - ", "FREIGHT-IN-TRADE BOOKS")</f>
        <v xml:space="preserve">          5513 - FREIGHT-IN-TRADE BOOKS</v>
      </c>
      <c r="C155" s="11"/>
      <c r="D155" s="2"/>
      <c r="E155" s="2"/>
      <c r="F155" s="19">
        <f t="shared" si="28"/>
        <v>0</v>
      </c>
      <c r="G155" s="2"/>
      <c r="H155" s="2">
        <v>40.18</v>
      </c>
      <c r="I155" s="2"/>
      <c r="J155" s="19">
        <f t="shared" si="29"/>
        <v>6.8378231550032581E-5</v>
      </c>
      <c r="K155" s="2"/>
      <c r="L155" s="2">
        <f t="shared" si="30"/>
        <v>-40.18</v>
      </c>
      <c r="M155" s="2"/>
      <c r="N155" s="19">
        <f t="shared" si="31"/>
        <v>-1</v>
      </c>
      <c r="O155" s="11"/>
      <c r="P155" s="2">
        <v>30.24</v>
      </c>
      <c r="Q155" s="2"/>
      <c r="R155" s="19">
        <f t="shared" si="32"/>
        <v>3.4508239297449311E-6</v>
      </c>
      <c r="S155" s="2"/>
      <c r="T155" s="2">
        <v>54.9</v>
      </c>
      <c r="U155" s="2"/>
      <c r="V155" s="19">
        <f t="shared" si="33"/>
        <v>5.2589775747540365E-6</v>
      </c>
      <c r="W155" s="2"/>
      <c r="X155" s="2">
        <f t="shared" si="34"/>
        <v>-24.66</v>
      </c>
      <c r="Y155" s="2"/>
      <c r="Z155" s="19">
        <f t="shared" si="35"/>
        <v>-0.44918032786885248</v>
      </c>
    </row>
    <row r="156" spans="1:26" s="24" customFormat="1" hidden="1" outlineLevel="1" x14ac:dyDescent="0.25">
      <c r="A156" s="44"/>
      <c r="B156" s="11" t="str">
        <f>CONCATENATE("          ", "5518", " - ", "FREIGHT-IN-STUDY GUIDES")</f>
        <v xml:space="preserve">          5518 - FREIGHT-IN-STUDY GUIDES</v>
      </c>
      <c r="C156" s="11"/>
      <c r="D156" s="2"/>
      <c r="E156" s="2"/>
      <c r="F156" s="19">
        <f t="shared" si="28"/>
        <v>0</v>
      </c>
      <c r="G156" s="2"/>
      <c r="H156" s="2"/>
      <c r="I156" s="2"/>
      <c r="J156" s="19">
        <f t="shared" si="29"/>
        <v>0</v>
      </c>
      <c r="K156" s="2"/>
      <c r="L156" s="2">
        <f t="shared" si="30"/>
        <v>0</v>
      </c>
      <c r="M156" s="2"/>
      <c r="N156" s="19">
        <f t="shared" si="31"/>
        <v>0</v>
      </c>
      <c r="O156" s="11"/>
      <c r="P156" s="2">
        <v>21.13</v>
      </c>
      <c r="Q156" s="2"/>
      <c r="R156" s="19">
        <f t="shared" si="32"/>
        <v>2.4112403979996825E-6</v>
      </c>
      <c r="S156" s="2"/>
      <c r="T156" s="2"/>
      <c r="U156" s="2"/>
      <c r="V156" s="19">
        <f t="shared" si="33"/>
        <v>0</v>
      </c>
      <c r="W156" s="2"/>
      <c r="X156" s="2">
        <f t="shared" si="34"/>
        <v>21.13</v>
      </c>
      <c r="Y156" s="2"/>
      <c r="Z156" s="19">
        <f t="shared" si="35"/>
        <v>0</v>
      </c>
    </row>
    <row r="157" spans="1:26" s="24" customFormat="1" hidden="1" outlineLevel="1" x14ac:dyDescent="0.25">
      <c r="A157" s="44"/>
      <c r="B157" s="11" t="str">
        <f>CONCATENATE("          ", "5525", " - ", "FREIGHT-IN-TEST FORMS")</f>
        <v xml:space="preserve">          5525 - FREIGHT-IN-TEST FORMS</v>
      </c>
      <c r="C157" s="11"/>
      <c r="D157" s="2"/>
      <c r="E157" s="2"/>
      <c r="F157" s="19">
        <f t="shared" si="28"/>
        <v>0</v>
      </c>
      <c r="G157" s="2"/>
      <c r="H157" s="2">
        <v>32.04</v>
      </c>
      <c r="I157" s="2"/>
      <c r="J157" s="19">
        <f t="shared" si="29"/>
        <v>5.4525598279319163E-5</v>
      </c>
      <c r="K157" s="2"/>
      <c r="L157" s="2">
        <f t="shared" si="30"/>
        <v>-32.04</v>
      </c>
      <c r="M157" s="2"/>
      <c r="N157" s="19">
        <f t="shared" si="31"/>
        <v>-1</v>
      </c>
      <c r="O157" s="11"/>
      <c r="P157" s="2">
        <v>1237.22</v>
      </c>
      <c r="Q157" s="2"/>
      <c r="R157" s="19">
        <f t="shared" si="32"/>
        <v>1.4118480100393599E-4</v>
      </c>
      <c r="S157" s="2"/>
      <c r="T157" s="2">
        <v>335.25</v>
      </c>
      <c r="U157" s="2"/>
      <c r="V157" s="19">
        <f t="shared" si="33"/>
        <v>3.2114248304850467E-5</v>
      </c>
      <c r="W157" s="2"/>
      <c r="X157" s="2">
        <f t="shared" si="34"/>
        <v>901.97</v>
      </c>
      <c r="Y157" s="2"/>
      <c r="Z157" s="19">
        <f t="shared" si="35"/>
        <v>2.6904399701715138</v>
      </c>
    </row>
    <row r="158" spans="1:26" s="24" customFormat="1" hidden="1" outlineLevel="1" x14ac:dyDescent="0.25">
      <c r="A158" s="44"/>
      <c r="B158" s="11" t="str">
        <f>CONCATENATE("          ", "5526", " - ", "FREIGHT-IN-WRITING INSTRUMENTS")</f>
        <v xml:space="preserve">          5526 - FREIGHT-IN-WRITING INSTRUMENTS</v>
      </c>
      <c r="C158" s="11"/>
      <c r="D158" s="2"/>
      <c r="E158" s="2"/>
      <c r="F158" s="19">
        <f t="shared" si="28"/>
        <v>0</v>
      </c>
      <c r="G158" s="2"/>
      <c r="H158" s="2">
        <v>100.95</v>
      </c>
      <c r="I158" s="2"/>
      <c r="J158" s="19">
        <f t="shared" si="29"/>
        <v>1.7179647772463388E-4</v>
      </c>
      <c r="K158" s="2"/>
      <c r="L158" s="2">
        <f t="shared" si="30"/>
        <v>-100.95</v>
      </c>
      <c r="M158" s="2"/>
      <c r="N158" s="19">
        <f t="shared" si="31"/>
        <v>-1</v>
      </c>
      <c r="O158" s="11"/>
      <c r="P158" s="2">
        <v>260.35000000000002</v>
      </c>
      <c r="Q158" s="2"/>
      <c r="R158" s="19">
        <f t="shared" si="32"/>
        <v>2.9709722556517622E-5</v>
      </c>
      <c r="S158" s="2"/>
      <c r="T158" s="2">
        <v>232.11</v>
      </c>
      <c r="U158" s="2"/>
      <c r="V158" s="19">
        <f t="shared" si="33"/>
        <v>2.2234267484083051E-5</v>
      </c>
      <c r="W158" s="2"/>
      <c r="X158" s="2">
        <f t="shared" si="34"/>
        <v>28.240000000000009</v>
      </c>
      <c r="Y158" s="2"/>
      <c r="Z158" s="19">
        <f t="shared" si="35"/>
        <v>0.12166645125156179</v>
      </c>
    </row>
    <row r="159" spans="1:26" s="24" customFormat="1" hidden="1" outlineLevel="1" x14ac:dyDescent="0.25">
      <c r="A159" s="44"/>
      <c r="B159" s="11" t="str">
        <f>CONCATENATE("          ", "5527", " - ", "FREIGHT-IN-SCHOOL SUPPLIES")</f>
        <v xml:space="preserve">          5527 - FREIGHT-IN-SCHOOL SUPPLIES</v>
      </c>
      <c r="C159" s="11"/>
      <c r="D159" s="2"/>
      <c r="E159" s="2"/>
      <c r="F159" s="19">
        <f t="shared" si="28"/>
        <v>0</v>
      </c>
      <c r="G159" s="2"/>
      <c r="H159" s="2">
        <v>336.32</v>
      </c>
      <c r="I159" s="2"/>
      <c r="J159" s="19">
        <f t="shared" si="29"/>
        <v>5.7234860216294069E-4</v>
      </c>
      <c r="K159" s="2"/>
      <c r="L159" s="2">
        <f t="shared" si="30"/>
        <v>-336.32</v>
      </c>
      <c r="M159" s="2"/>
      <c r="N159" s="19">
        <f t="shared" si="31"/>
        <v>-1</v>
      </c>
      <c r="O159" s="11"/>
      <c r="P159" s="2">
        <v>2058.91</v>
      </c>
      <c r="Q159" s="2"/>
      <c r="R159" s="19">
        <f t="shared" si="32"/>
        <v>2.3495158390182328E-4</v>
      </c>
      <c r="S159" s="2"/>
      <c r="T159" s="2">
        <v>1761.28</v>
      </c>
      <c r="U159" s="2"/>
      <c r="V159" s="19">
        <f t="shared" si="33"/>
        <v>1.6871643028893969E-4</v>
      </c>
      <c r="W159" s="2"/>
      <c r="X159" s="2">
        <f t="shared" si="34"/>
        <v>297.62999999999988</v>
      </c>
      <c r="Y159" s="2"/>
      <c r="Z159" s="19">
        <f t="shared" si="35"/>
        <v>0.16898505632267435</v>
      </c>
    </row>
    <row r="160" spans="1:26" s="24" customFormat="1" hidden="1" outlineLevel="1" x14ac:dyDescent="0.25">
      <c r="A160" s="44"/>
      <c r="B160" s="11" t="str">
        <f>CONCATENATE("          ", "5528", " - ", "FREIGHT-IN-ART/TECH")</f>
        <v xml:space="preserve">          5528 - FREIGHT-IN-ART/TECH</v>
      </c>
      <c r="C160" s="11"/>
      <c r="D160" s="2">
        <v>576.6</v>
      </c>
      <c r="E160" s="2"/>
      <c r="F160" s="19">
        <f t="shared" si="28"/>
        <v>3.498010605050882E-3</v>
      </c>
      <c r="G160" s="2"/>
      <c r="H160" s="2">
        <v>241.6</v>
      </c>
      <c r="I160" s="2"/>
      <c r="J160" s="19">
        <f t="shared" si="29"/>
        <v>4.1115432410373002E-4</v>
      </c>
      <c r="K160" s="2"/>
      <c r="L160" s="2">
        <f t="shared" si="30"/>
        <v>335</v>
      </c>
      <c r="M160" s="2"/>
      <c r="N160" s="19">
        <f t="shared" si="31"/>
        <v>1.38658940397351</v>
      </c>
      <c r="O160" s="11"/>
      <c r="P160" s="2">
        <v>2844.12</v>
      </c>
      <c r="Q160" s="2"/>
      <c r="R160" s="19">
        <f t="shared" si="32"/>
        <v>3.2455546809081196E-4</v>
      </c>
      <c r="S160" s="2"/>
      <c r="T160" s="2">
        <v>7493.84</v>
      </c>
      <c r="U160" s="2"/>
      <c r="V160" s="19">
        <f t="shared" si="33"/>
        <v>7.1784948103451355E-4</v>
      </c>
      <c r="W160" s="2"/>
      <c r="X160" s="2">
        <f t="shared" si="34"/>
        <v>-4649.72</v>
      </c>
      <c r="Y160" s="2"/>
      <c r="Z160" s="19">
        <f t="shared" si="35"/>
        <v>-0.62047228123365328</v>
      </c>
    </row>
    <row r="161" spans="1:26" s="24" customFormat="1" hidden="1" outlineLevel="1" x14ac:dyDescent="0.25">
      <c r="A161" s="44"/>
      <c r="B161" s="11" t="str">
        <f>CONCATENATE("          ", "5540", " - ", "FREIGHT-IN-LOGO CLOTHING")</f>
        <v xml:space="preserve">          5540 - FREIGHT-IN-LOGO CLOTHING</v>
      </c>
      <c r="C161" s="11"/>
      <c r="D161" s="2">
        <v>1044.9100000000001</v>
      </c>
      <c r="E161" s="2"/>
      <c r="F161" s="19">
        <f t="shared" si="28"/>
        <v>6.3390673973703036E-3</v>
      </c>
      <c r="G161" s="2"/>
      <c r="H161" s="2">
        <v>4017.61</v>
      </c>
      <c r="I161" s="2"/>
      <c r="J161" s="19">
        <f t="shared" si="29"/>
        <v>6.8371594539006078E-3</v>
      </c>
      <c r="K161" s="2"/>
      <c r="L161" s="2">
        <f t="shared" si="30"/>
        <v>-2972.7</v>
      </c>
      <c r="M161" s="2"/>
      <c r="N161" s="19">
        <f t="shared" si="31"/>
        <v>-0.73991751314836429</v>
      </c>
      <c r="O161" s="11"/>
      <c r="P161" s="2">
        <v>31703.299999999996</v>
      </c>
      <c r="Q161" s="2"/>
      <c r="R161" s="19">
        <f t="shared" si="32"/>
        <v>3.6178077477474358E-3</v>
      </c>
      <c r="S161" s="2"/>
      <c r="T161" s="2">
        <v>29023.84</v>
      </c>
      <c r="U161" s="2"/>
      <c r="V161" s="19">
        <f t="shared" si="33"/>
        <v>2.7802499761976178E-3</v>
      </c>
      <c r="W161" s="2"/>
      <c r="X161" s="2">
        <f t="shared" si="34"/>
        <v>2679.4599999999955</v>
      </c>
      <c r="Y161" s="2"/>
      <c r="Z161" s="19">
        <f t="shared" si="35"/>
        <v>9.2319279599115608E-2</v>
      </c>
    </row>
    <row r="162" spans="1:26" s="24" customFormat="1" hidden="1" outlineLevel="1" x14ac:dyDescent="0.25">
      <c r="A162" s="44"/>
      <c r="B162" s="11" t="str">
        <f>CONCATENATE("          ", "5541", " - ", "FREIGHT-IN-LOGO GIFTS")</f>
        <v xml:space="preserve">          5541 - FREIGHT-IN-LOGO GIFTS</v>
      </c>
      <c r="C162" s="11"/>
      <c r="D162" s="2">
        <v>186.99</v>
      </c>
      <c r="E162" s="2"/>
      <c r="F162" s="19">
        <f t="shared" si="28"/>
        <v>1.1343964672883532E-3</v>
      </c>
      <c r="G162" s="2"/>
      <c r="H162" s="2">
        <v>769.17</v>
      </c>
      <c r="I162" s="2"/>
      <c r="J162" s="19">
        <f t="shared" si="29"/>
        <v>1.3089717362204719E-3</v>
      </c>
      <c r="K162" s="2"/>
      <c r="L162" s="2">
        <f t="shared" si="30"/>
        <v>-582.17999999999995</v>
      </c>
      <c r="M162" s="2"/>
      <c r="N162" s="19">
        <f t="shared" si="31"/>
        <v>-0.75689379460977413</v>
      </c>
      <c r="O162" s="11"/>
      <c r="P162" s="2">
        <v>4882.9399999999996</v>
      </c>
      <c r="Q162" s="2"/>
      <c r="R162" s="19">
        <f t="shared" si="32"/>
        <v>5.5721449072449445E-4</v>
      </c>
      <c r="S162" s="2"/>
      <c r="T162" s="2">
        <v>7484.78</v>
      </c>
      <c r="U162" s="2"/>
      <c r="V162" s="19">
        <f t="shared" si="33"/>
        <v>7.1698160604676713E-4</v>
      </c>
      <c r="W162" s="2"/>
      <c r="X162" s="2">
        <f t="shared" si="34"/>
        <v>-2601.84</v>
      </c>
      <c r="Y162" s="2"/>
      <c r="Z162" s="19">
        <f t="shared" si="35"/>
        <v>-0.3476174316412774</v>
      </c>
    </row>
    <row r="163" spans="1:26" s="24" customFormat="1" hidden="1" outlineLevel="1" x14ac:dyDescent="0.25">
      <c r="A163" s="44"/>
      <c r="B163" s="11" t="str">
        <f>CONCATENATE("          ", "5542", " - ", "FREIGHT-IN-EVERYDAY GIFTS")</f>
        <v xml:space="preserve">          5542 - FREIGHT-IN-EVERYDAY GIFTS</v>
      </c>
      <c r="C163" s="11"/>
      <c r="D163" s="2">
        <v>45.1</v>
      </c>
      <c r="E163" s="2"/>
      <c r="F163" s="19">
        <f t="shared" si="28"/>
        <v>2.7360436747796526E-4</v>
      </c>
      <c r="G163" s="2"/>
      <c r="H163" s="2">
        <v>86.05</v>
      </c>
      <c r="I163" s="2"/>
      <c r="J163" s="19">
        <f t="shared" si="29"/>
        <v>1.464396920079717E-4</v>
      </c>
      <c r="K163" s="2"/>
      <c r="L163" s="2">
        <f t="shared" si="30"/>
        <v>-40.949999999999996</v>
      </c>
      <c r="M163" s="2"/>
      <c r="N163" s="19">
        <f t="shared" si="31"/>
        <v>-0.47588611272515974</v>
      </c>
      <c r="O163" s="11"/>
      <c r="P163" s="2">
        <v>1839.04</v>
      </c>
      <c r="Q163" s="2"/>
      <c r="R163" s="19">
        <f t="shared" si="32"/>
        <v>2.0986121824596952E-4</v>
      </c>
      <c r="S163" s="2"/>
      <c r="T163" s="2">
        <v>1592.16</v>
      </c>
      <c r="U163" s="2"/>
      <c r="V163" s="19">
        <f t="shared" si="33"/>
        <v>1.5251609718434223E-4</v>
      </c>
      <c r="W163" s="2"/>
      <c r="X163" s="2">
        <f t="shared" si="34"/>
        <v>246.87999999999988</v>
      </c>
      <c r="Y163" s="2"/>
      <c r="Z163" s="19">
        <f t="shared" si="35"/>
        <v>0.1550597929856295</v>
      </c>
    </row>
    <row r="164" spans="1:26" s="24" customFormat="1" hidden="1" outlineLevel="1" x14ac:dyDescent="0.25">
      <c r="A164" s="44"/>
      <c r="B164" s="11" t="str">
        <f>CONCATENATE("          ", "5543", " - ", "FREIGHT-IN-CARDS")</f>
        <v xml:space="preserve">          5543 - FREIGHT-IN-CARDS</v>
      </c>
      <c r="C164" s="11"/>
      <c r="D164" s="2"/>
      <c r="E164" s="2"/>
      <c r="F164" s="19">
        <f t="shared" si="28"/>
        <v>0</v>
      </c>
      <c r="G164" s="2"/>
      <c r="H164" s="2"/>
      <c r="I164" s="2"/>
      <c r="J164" s="19">
        <f t="shared" si="29"/>
        <v>0</v>
      </c>
      <c r="K164" s="2"/>
      <c r="L164" s="2">
        <f t="shared" si="30"/>
        <v>0</v>
      </c>
      <c r="M164" s="2"/>
      <c r="N164" s="19">
        <f t="shared" si="31"/>
        <v>0</v>
      </c>
      <c r="O164" s="11"/>
      <c r="P164" s="2">
        <v>2926.76</v>
      </c>
      <c r="Q164" s="2"/>
      <c r="R164" s="19">
        <f t="shared" si="32"/>
        <v>3.3398589433268107E-4</v>
      </c>
      <c r="S164" s="2"/>
      <c r="T164" s="2">
        <v>57.18</v>
      </c>
      <c r="U164" s="2"/>
      <c r="V164" s="19">
        <f t="shared" si="33"/>
        <v>5.4773832008093954E-6</v>
      </c>
      <c r="W164" s="2"/>
      <c r="X164" s="2">
        <f t="shared" si="34"/>
        <v>2869.5800000000004</v>
      </c>
      <c r="Y164" s="2"/>
      <c r="Z164" s="19">
        <f t="shared" si="35"/>
        <v>50.185029730675069</v>
      </c>
    </row>
    <row r="165" spans="1:26" s="24" customFormat="1" hidden="1" outlineLevel="1" x14ac:dyDescent="0.25">
      <c r="A165" s="44"/>
      <c r="B165" s="11" t="str">
        <f>CONCATENATE("          ", "5544", " - ", "FREIGHT-IN-ACCESSORIES")</f>
        <v xml:space="preserve">          5544 - FREIGHT-IN-ACCESSORIES</v>
      </c>
      <c r="C165" s="11"/>
      <c r="D165" s="2"/>
      <c r="E165" s="2"/>
      <c r="F165" s="19">
        <f t="shared" si="28"/>
        <v>0</v>
      </c>
      <c r="G165" s="2"/>
      <c r="H165" s="2">
        <v>66.27</v>
      </c>
      <c r="I165" s="2"/>
      <c r="J165" s="19">
        <f t="shared" si="29"/>
        <v>1.1277813351967792E-4</v>
      </c>
      <c r="K165" s="2"/>
      <c r="L165" s="2">
        <f t="shared" si="30"/>
        <v>-66.27</v>
      </c>
      <c r="M165" s="2"/>
      <c r="N165" s="19">
        <f t="shared" si="31"/>
        <v>-1</v>
      </c>
      <c r="O165" s="11"/>
      <c r="P165" s="2">
        <v>483.44</v>
      </c>
      <c r="Q165" s="2"/>
      <c r="R165" s="19">
        <f t="shared" si="32"/>
        <v>5.5167537056742376E-5</v>
      </c>
      <c r="S165" s="2"/>
      <c r="T165" s="2">
        <v>1133.42</v>
      </c>
      <c r="U165" s="2"/>
      <c r="V165" s="19">
        <f t="shared" si="33"/>
        <v>1.0857250205423899E-4</v>
      </c>
      <c r="W165" s="2"/>
      <c r="X165" s="2">
        <f t="shared" si="34"/>
        <v>-649.98</v>
      </c>
      <c r="Y165" s="2"/>
      <c r="Z165" s="19">
        <f t="shared" si="35"/>
        <v>-0.57346791127737284</v>
      </c>
    </row>
    <row r="166" spans="1:26" s="24" customFormat="1" hidden="1" outlineLevel="1" x14ac:dyDescent="0.25">
      <c r="A166" s="44"/>
      <c r="B166" s="11" t="str">
        <f>CONCATENATE("          ", "5545", " - ", "FREIGHT-IN-SPECIAL ORDERS")</f>
        <v xml:space="preserve">          5545 - FREIGHT-IN-SPECIAL ORDERS</v>
      </c>
      <c r="C166" s="11"/>
      <c r="D166" s="2">
        <v>17.190000000000001</v>
      </c>
      <c r="E166" s="2"/>
      <c r="F166" s="19">
        <f t="shared" si="28"/>
        <v>1.0428512365734419E-4</v>
      </c>
      <c r="G166" s="2"/>
      <c r="H166" s="2">
        <v>86.51</v>
      </c>
      <c r="I166" s="2"/>
      <c r="J166" s="19">
        <f t="shared" si="29"/>
        <v>1.4722251894955994E-4</v>
      </c>
      <c r="K166" s="2"/>
      <c r="L166" s="2">
        <f t="shared" si="30"/>
        <v>-69.320000000000007</v>
      </c>
      <c r="M166" s="2"/>
      <c r="N166" s="19">
        <f t="shared" si="31"/>
        <v>-0.80129464801757022</v>
      </c>
      <c r="O166" s="11"/>
      <c r="P166" s="2">
        <v>892.26</v>
      </c>
      <c r="Q166" s="2"/>
      <c r="R166" s="19">
        <f t="shared" si="32"/>
        <v>1.018198465461049E-4</v>
      </c>
      <c r="S166" s="2"/>
      <c r="T166" s="2">
        <v>1644.18</v>
      </c>
      <c r="U166" s="2"/>
      <c r="V166" s="19">
        <f t="shared" si="33"/>
        <v>1.5749919396828947E-4</v>
      </c>
      <c r="W166" s="2"/>
      <c r="X166" s="2">
        <f t="shared" si="34"/>
        <v>-751.92000000000007</v>
      </c>
      <c r="Y166" s="2"/>
      <c r="Z166" s="19">
        <f t="shared" si="35"/>
        <v>-0.45732219100098531</v>
      </c>
    </row>
    <row r="167" spans="1:26" s="24" customFormat="1" hidden="1" outlineLevel="1" x14ac:dyDescent="0.25">
      <c r="A167" s="44"/>
      <c r="B167" s="11" t="str">
        <f>CONCATENATE("          ", "5592", " - ", "FREIGHT-IN-GRAD MERCH")</f>
        <v xml:space="preserve">          5592 - FREIGHT-IN-GRAD MERCH</v>
      </c>
      <c r="C167" s="11"/>
      <c r="D167" s="2"/>
      <c r="E167" s="2"/>
      <c r="F167" s="19">
        <f t="shared" si="28"/>
        <v>0</v>
      </c>
      <c r="G167" s="2"/>
      <c r="H167" s="2">
        <v>1266.43</v>
      </c>
      <c r="I167" s="2"/>
      <c r="J167" s="19">
        <f t="shared" si="29"/>
        <v>2.1552076600773462E-3</v>
      </c>
      <c r="K167" s="2"/>
      <c r="L167" s="2">
        <f t="shared" si="30"/>
        <v>-1266.43</v>
      </c>
      <c r="M167" s="2"/>
      <c r="N167" s="19">
        <f t="shared" si="31"/>
        <v>-1</v>
      </c>
      <c r="O167" s="11"/>
      <c r="P167" s="2">
        <v>118.73</v>
      </c>
      <c r="Q167" s="2"/>
      <c r="R167" s="19">
        <f t="shared" si="32"/>
        <v>1.3548820277070624E-5</v>
      </c>
      <c r="S167" s="2"/>
      <c r="T167" s="2">
        <v>1580.77</v>
      </c>
      <c r="U167" s="2"/>
      <c r="V167" s="19">
        <f t="shared" si="33"/>
        <v>1.5142502697347793E-4</v>
      </c>
      <c r="W167" s="2"/>
      <c r="X167" s="2">
        <f t="shared" si="34"/>
        <v>-1462.04</v>
      </c>
      <c r="Y167" s="2"/>
      <c r="Z167" s="19">
        <f t="shared" si="35"/>
        <v>-0.92489103411628504</v>
      </c>
    </row>
    <row r="168" spans="1:26" x14ac:dyDescent="0.25">
      <c r="A168" s="9"/>
      <c r="B168" s="10"/>
      <c r="C168" s="10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0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x14ac:dyDescent="0.25">
      <c r="A169" s="10"/>
      <c r="B169" s="28" t="s">
        <v>6</v>
      </c>
      <c r="C169" s="28"/>
      <c r="D169" s="21">
        <f>D12-D116</f>
        <v>84160.92</v>
      </c>
      <c r="E169" s="14"/>
      <c r="F169" s="20">
        <f>IF(D$12=0,0,D169/D$12)</f>
        <v>0.51057195749365047</v>
      </c>
      <c r="G169" s="14"/>
      <c r="H169" s="21">
        <f>H12-H116</f>
        <v>373913.39</v>
      </c>
      <c r="I169" s="14"/>
      <c r="J169" s="20">
        <f>IF(H$12=0,0,H169/H$12)</f>
        <v>0.63632494676649176</v>
      </c>
      <c r="K169" s="15"/>
      <c r="L169" s="21">
        <f>+D169-H169</f>
        <v>-289752.47000000003</v>
      </c>
      <c r="M169" s="15"/>
      <c r="N169" s="20">
        <f>IF(H169=0,0,L169/H169)</f>
        <v>-0.77491867836024808</v>
      </c>
      <c r="O169" s="29"/>
      <c r="P169" s="21">
        <f>P12-P116</f>
        <v>3670770.669999999</v>
      </c>
      <c r="Q169" s="14"/>
      <c r="R169" s="20">
        <f>IF(P$12=0,0,P169/P$12)</f>
        <v>0.41888833560323513</v>
      </c>
      <c r="S169" s="14"/>
      <c r="T169" s="21">
        <f>T12-T116</f>
        <v>4353699.1900000023</v>
      </c>
      <c r="U169" s="14"/>
      <c r="V169" s="20">
        <f>IF(T$12=0,0,T169/T$12)</f>
        <v>0.41704929703888571</v>
      </c>
      <c r="W169" s="15"/>
      <c r="X169" s="21">
        <f>+P169-T169</f>
        <v>-682928.52000000328</v>
      </c>
      <c r="Y169" s="15"/>
      <c r="Z169" s="20">
        <f>IF(T169=0,0,X169/T169)</f>
        <v>-0.15686166870890383</v>
      </c>
    </row>
    <row r="170" spans="1:26" x14ac:dyDescent="0.25">
      <c r="A170" s="9"/>
      <c r="B170" s="10"/>
      <c r="C170" s="9"/>
      <c r="D170" s="1"/>
      <c r="E170" s="1"/>
      <c r="F170" s="5"/>
      <c r="G170" s="1"/>
      <c r="H170" s="1"/>
      <c r="I170" s="1"/>
      <c r="J170" s="5"/>
      <c r="K170" s="1"/>
      <c r="L170" s="1"/>
      <c r="M170" s="1"/>
      <c r="N170" s="5"/>
      <c r="O170" s="37"/>
      <c r="P170" s="1"/>
      <c r="Q170" s="1"/>
      <c r="R170" s="5"/>
      <c r="S170" s="1"/>
      <c r="T170" s="1"/>
      <c r="U170" s="1"/>
      <c r="V170" s="5"/>
      <c r="W170" s="1"/>
      <c r="X170" s="1"/>
      <c r="Y170" s="1"/>
      <c r="Z170" s="5"/>
    </row>
    <row r="171" spans="1:26" s="23" customFormat="1" x14ac:dyDescent="0.25">
      <c r="A171" s="10"/>
      <c r="B171" s="29" t="s">
        <v>9</v>
      </c>
      <c r="C171" s="10"/>
      <c r="D171" s="22">
        <f>SUM(OSRRefD22x_0)</f>
        <v>252699.98999999996</v>
      </c>
      <c r="E171" s="22"/>
      <c r="F171" s="35">
        <f t="shared" ref="F171:F181" si="36">IF(D$12=0,0,D171/D$12)</f>
        <v>1.5330337234066105</v>
      </c>
      <c r="G171" s="22"/>
      <c r="H171" s="22">
        <f>SUM(OSRRefH22x_0)</f>
        <v>368721.46000000014</v>
      </c>
      <c r="I171" s="22"/>
      <c r="J171" s="35">
        <f t="shared" ref="J171:J181" si="37">IF(H$12=0,0,H171/H$12)</f>
        <v>0.6274893322385785</v>
      </c>
      <c r="K171" s="4"/>
      <c r="L171" s="22">
        <f t="shared" ref="L171:L181" si="38">+D171-H171</f>
        <v>-116021.47000000018</v>
      </c>
      <c r="M171" s="4"/>
      <c r="N171" s="35">
        <f t="shared" ref="N171:N181" si="39">IF(H171=0,0,L171/H171)</f>
        <v>-0.31465884844348396</v>
      </c>
      <c r="O171" s="10"/>
      <c r="P171" s="22">
        <f>SUM(OSRRefP22x_0)</f>
        <v>3648680.1600000006</v>
      </c>
      <c r="Q171" s="22"/>
      <c r="R171" s="35">
        <f t="shared" ref="R171:R181" si="40">IF(P$12=0,0,P171/P$12)</f>
        <v>0.41636748704079252</v>
      </c>
      <c r="S171" s="22"/>
      <c r="T171" s="22">
        <f>SUM(OSRRefT22x_0)</f>
        <v>3904098.3200000017</v>
      </c>
      <c r="U171" s="22"/>
      <c r="V171" s="35">
        <f t="shared" ref="V171:V181" si="41">IF(T$12=0,0,T171/T$12)</f>
        <v>0.37398115691284006</v>
      </c>
      <c r="W171" s="4"/>
      <c r="X171" s="22">
        <f t="shared" ref="X171:X181" si="42">+P171-T171</f>
        <v>-255418.16000000108</v>
      </c>
      <c r="Y171" s="4"/>
      <c r="Z171" s="35">
        <f t="shared" ref="Z171:Z181" si="43">IF(T171=0,0,X171/T171)</f>
        <v>-6.5423085963675465E-2</v>
      </c>
    </row>
    <row r="172" spans="1:26" s="25" customFormat="1" outlineLevel="1" collapsed="1" x14ac:dyDescent="0.25">
      <c r="A172" s="26"/>
      <c r="B172" s="13" t="str">
        <f>CONCATENATE("     ","*Benefits                                         ")</f>
        <v xml:space="preserve">     *Benefits                                         </v>
      </c>
      <c r="C172" s="13"/>
      <c r="D172" s="1">
        <f>SUM(OSRRefD22_0x_0)</f>
        <v>24024.21</v>
      </c>
      <c r="E172" s="1"/>
      <c r="F172" s="5">
        <f t="shared" si="36"/>
        <v>0.14574564925072744</v>
      </c>
      <c r="G172" s="1"/>
      <c r="H172" s="1">
        <f>SUM(OSRRefH22_0x_0)</f>
        <v>44848.18</v>
      </c>
      <c r="I172" s="1"/>
      <c r="J172" s="5">
        <f t="shared" si="37"/>
        <v>7.6322529533039821E-2</v>
      </c>
      <c r="K172" s="1"/>
      <c r="L172" s="1">
        <f t="shared" si="38"/>
        <v>-20823.97</v>
      </c>
      <c r="M172" s="1"/>
      <c r="N172" s="5">
        <f t="shared" si="39"/>
        <v>-0.46432140613063899</v>
      </c>
      <c r="O172" s="13"/>
      <c r="P172" s="1">
        <f>SUM(OSRRefP22_0x_0)</f>
        <v>450618.23</v>
      </c>
      <c r="Q172" s="1"/>
      <c r="R172" s="5">
        <f t="shared" si="40"/>
        <v>5.1422095610559035E-2</v>
      </c>
      <c r="S172" s="1"/>
      <c r="T172" s="1">
        <f>SUM(OSRRefT22_0x_0)</f>
        <v>501610.54</v>
      </c>
      <c r="U172" s="1"/>
      <c r="V172" s="5">
        <f t="shared" si="41"/>
        <v>4.8050247379239755E-2</v>
      </c>
      <c r="W172" s="1"/>
      <c r="X172" s="1">
        <f t="shared" si="42"/>
        <v>-50992.31</v>
      </c>
      <c r="Y172" s="1"/>
      <c r="Z172" s="5">
        <f t="shared" si="43"/>
        <v>-0.10165717410961898</v>
      </c>
    </row>
    <row r="173" spans="1:26" s="24" customFormat="1" hidden="1" outlineLevel="2" x14ac:dyDescent="0.25">
      <c r="A173" s="27"/>
      <c r="B173" s="11" t="str">
        <f>CONCATENATE("          ", "6111", " - ", "F.I.C.A.")</f>
        <v xml:space="preserve">          6111 - F.I.C.A.</v>
      </c>
      <c r="C173" s="11"/>
      <c r="D173" s="6">
        <v>8238</v>
      </c>
      <c r="E173" s="2"/>
      <c r="F173" s="7">
        <f t="shared" si="36"/>
        <v>4.9976780028458491E-2</v>
      </c>
      <c r="G173" s="2"/>
      <c r="H173" s="6">
        <v>6829.31</v>
      </c>
      <c r="I173" s="2"/>
      <c r="J173" s="7">
        <f t="shared" si="37"/>
        <v>1.1622104044473695E-2</v>
      </c>
      <c r="K173" s="2"/>
      <c r="L173" s="6">
        <f t="shared" si="38"/>
        <v>1408.6899999999996</v>
      </c>
      <c r="M173" s="2"/>
      <c r="N173" s="7">
        <f t="shared" si="39"/>
        <v>0.20627120455800066</v>
      </c>
      <c r="O173" s="11"/>
      <c r="P173" s="6">
        <v>93795.12</v>
      </c>
      <c r="Q173" s="2"/>
      <c r="R173" s="7">
        <f t="shared" si="40"/>
        <v>1.0703387717900045E-2</v>
      </c>
      <c r="S173" s="2"/>
      <c r="T173" s="6">
        <v>90624.099999999991</v>
      </c>
      <c r="U173" s="2"/>
      <c r="V173" s="7">
        <f t="shared" si="41"/>
        <v>8.6810584632471266E-3</v>
      </c>
      <c r="W173" s="2"/>
      <c r="X173" s="6">
        <f t="shared" si="42"/>
        <v>3171.0200000000041</v>
      </c>
      <c r="Y173" s="2"/>
      <c r="Z173" s="7">
        <f t="shared" si="43"/>
        <v>3.4990913013205144E-2</v>
      </c>
    </row>
    <row r="174" spans="1:26" s="24" customFormat="1" hidden="1" outlineLevel="2" x14ac:dyDescent="0.25">
      <c r="A174" s="27"/>
      <c r="B174" s="11" t="str">
        <f>CONCATENATE("          ", "6112", " - ", "COMPENSATION INSURANCE")</f>
        <v xml:space="preserve">          6112 - COMPENSATION INSURANCE</v>
      </c>
      <c r="C174" s="11"/>
      <c r="D174" s="6">
        <v>1213.8699999999999</v>
      </c>
      <c r="E174" s="2"/>
      <c r="F174" s="7">
        <f t="shared" si="36"/>
        <v>7.3640827838243389E-3</v>
      </c>
      <c r="G174" s="2"/>
      <c r="H174" s="6">
        <v>1313.48</v>
      </c>
      <c r="I174" s="2"/>
      <c r="J174" s="7">
        <f t="shared" si="37"/>
        <v>2.2352772418202287E-3</v>
      </c>
      <c r="K174" s="2"/>
      <c r="L174" s="6">
        <f t="shared" si="38"/>
        <v>-99.610000000000127</v>
      </c>
      <c r="M174" s="2"/>
      <c r="N174" s="7">
        <f t="shared" si="39"/>
        <v>-7.5836708590918872E-2</v>
      </c>
      <c r="O174" s="11"/>
      <c r="P174" s="6">
        <v>24375.06</v>
      </c>
      <c r="Q174" s="2"/>
      <c r="R174" s="7">
        <f t="shared" si="40"/>
        <v>2.7815489529420794E-3</v>
      </c>
      <c r="S174" s="2"/>
      <c r="T174" s="6">
        <v>15409.12</v>
      </c>
      <c r="U174" s="2"/>
      <c r="V174" s="7">
        <f t="shared" si="41"/>
        <v>1.4760695177904177E-3</v>
      </c>
      <c r="W174" s="2"/>
      <c r="X174" s="6">
        <f t="shared" si="42"/>
        <v>8965.94</v>
      </c>
      <c r="Y174" s="2"/>
      <c r="Z174" s="7">
        <f t="shared" si="43"/>
        <v>0.58185931448389006</v>
      </c>
    </row>
    <row r="175" spans="1:26" s="24" customFormat="1" hidden="1" outlineLevel="2" x14ac:dyDescent="0.25">
      <c r="A175" s="27"/>
      <c r="B175" s="11" t="str">
        <f>CONCATENATE("          ", "6113", " - ", "GROUP INSURANCE")</f>
        <v xml:space="preserve">          6113 - GROUP INSURANCE</v>
      </c>
      <c r="C175" s="11"/>
      <c r="D175" s="6">
        <v>13413.27</v>
      </c>
      <c r="E175" s="2"/>
      <c r="F175" s="7">
        <f t="shared" si="36"/>
        <v>8.1373154194260916E-2</v>
      </c>
      <c r="G175" s="2"/>
      <c r="H175" s="6">
        <v>20362.080000000002</v>
      </c>
      <c r="I175" s="2"/>
      <c r="J175" s="7">
        <f t="shared" si="37"/>
        <v>3.4652140892988736E-2</v>
      </c>
      <c r="K175" s="2"/>
      <c r="L175" s="6">
        <f t="shared" si="38"/>
        <v>-6948.8100000000013</v>
      </c>
      <c r="M175" s="2"/>
      <c r="N175" s="7">
        <f t="shared" si="39"/>
        <v>-0.34126228754626248</v>
      </c>
      <c r="O175" s="11"/>
      <c r="P175" s="6">
        <v>176615.80000000002</v>
      </c>
      <c r="Q175" s="2"/>
      <c r="R175" s="7">
        <f t="shared" si="40"/>
        <v>2.0154432176291166E-2</v>
      </c>
      <c r="S175" s="2"/>
      <c r="T175" s="6">
        <v>194652.64</v>
      </c>
      <c r="U175" s="2"/>
      <c r="V175" s="7">
        <f t="shared" si="41"/>
        <v>1.8646154255494912E-2</v>
      </c>
      <c r="W175" s="2"/>
      <c r="X175" s="6">
        <f t="shared" si="42"/>
        <v>-18036.839999999997</v>
      </c>
      <c r="Y175" s="2"/>
      <c r="Z175" s="7">
        <f t="shared" si="43"/>
        <v>-9.2661676718075819E-2</v>
      </c>
    </row>
    <row r="176" spans="1:26" s="24" customFormat="1" hidden="1" outlineLevel="2" x14ac:dyDescent="0.25">
      <c r="A176" s="27"/>
      <c r="B176" s="11" t="str">
        <f>CONCATENATE("          ", "6114", " - ", "STATE UNEMPLOYMENT INSURANCE")</f>
        <v xml:space="preserve">          6114 - STATE UNEMPLOYMENT INSURANCE</v>
      </c>
      <c r="C176" s="11"/>
      <c r="D176" s="6">
        <v>223.05</v>
      </c>
      <c r="E176" s="2"/>
      <c r="F176" s="7">
        <f t="shared" si="36"/>
        <v>1.353158628956988E-3</v>
      </c>
      <c r="G176" s="2"/>
      <c r="H176" s="6">
        <v>379.09</v>
      </c>
      <c r="I176" s="2"/>
      <c r="J176" s="7">
        <f t="shared" si="37"/>
        <v>6.4513448975365474E-4</v>
      </c>
      <c r="K176" s="2"/>
      <c r="L176" s="6">
        <f t="shared" si="38"/>
        <v>-156.03999999999996</v>
      </c>
      <c r="M176" s="2"/>
      <c r="N176" s="7">
        <f t="shared" si="39"/>
        <v>-0.41161729404626862</v>
      </c>
      <c r="O176" s="11"/>
      <c r="P176" s="6">
        <v>4765.53</v>
      </c>
      <c r="Q176" s="2"/>
      <c r="R176" s="7">
        <f t="shared" si="40"/>
        <v>5.4381630165070639E-4</v>
      </c>
      <c r="S176" s="2"/>
      <c r="T176" s="6">
        <v>4863.68</v>
      </c>
      <c r="U176" s="2"/>
      <c r="V176" s="7">
        <f t="shared" si="41"/>
        <v>4.6590134883023158E-4</v>
      </c>
      <c r="W176" s="2"/>
      <c r="X176" s="6">
        <f t="shared" si="42"/>
        <v>-98.150000000000546</v>
      </c>
      <c r="Y176" s="2"/>
      <c r="Z176" s="7">
        <f t="shared" si="43"/>
        <v>-2.0180192775840627E-2</v>
      </c>
    </row>
    <row r="177" spans="1:26" s="24" customFormat="1" hidden="1" outlineLevel="2" x14ac:dyDescent="0.25">
      <c r="A177" s="27"/>
      <c r="B177" s="11" t="str">
        <f>CONCATENATE("          ", "6115", " - ", "P.E.R.S.")</f>
        <v xml:space="preserve">          6115 - P.E.R.S.</v>
      </c>
      <c r="C177" s="11"/>
      <c r="D177" s="6">
        <v>4765.76</v>
      </c>
      <c r="E177" s="2"/>
      <c r="F177" s="7">
        <f t="shared" si="36"/>
        <v>2.8912034375871126E-2</v>
      </c>
      <c r="G177" s="2"/>
      <c r="H177" s="6">
        <v>5498.63</v>
      </c>
      <c r="I177" s="2"/>
      <c r="J177" s="7">
        <f t="shared" si="37"/>
        <v>9.3575558822288612E-3</v>
      </c>
      <c r="K177" s="2"/>
      <c r="L177" s="6">
        <f t="shared" si="38"/>
        <v>-732.86999999999989</v>
      </c>
      <c r="M177" s="2"/>
      <c r="N177" s="7">
        <f t="shared" si="39"/>
        <v>-0.1332822903159514</v>
      </c>
      <c r="O177" s="11"/>
      <c r="P177" s="6">
        <v>69796.55</v>
      </c>
      <c r="Q177" s="2"/>
      <c r="R177" s="7">
        <f t="shared" si="40"/>
        <v>7.9648017511123863E-3</v>
      </c>
      <c r="S177" s="2"/>
      <c r="T177" s="6">
        <v>66048.47</v>
      </c>
      <c r="U177" s="2"/>
      <c r="V177" s="7">
        <f t="shared" si="41"/>
        <v>6.3269111580476281E-3</v>
      </c>
      <c r="W177" s="2"/>
      <c r="X177" s="6">
        <f t="shared" si="42"/>
        <v>3748.0800000000017</v>
      </c>
      <c r="Y177" s="2"/>
      <c r="Z177" s="7">
        <f t="shared" si="43"/>
        <v>5.6747415950740447E-2</v>
      </c>
    </row>
    <row r="178" spans="1:26" s="24" customFormat="1" hidden="1" outlineLevel="2" x14ac:dyDescent="0.25">
      <c r="A178" s="27"/>
      <c r="B178" s="11" t="str">
        <f>CONCATENATE("          ", "6117", " - ", "RETIREMENT STAFF HOURLY")</f>
        <v xml:space="preserve">          6117 - RETIREMENT STAFF HOURLY</v>
      </c>
      <c r="C178" s="11"/>
      <c r="D178" s="6">
        <v>442.21</v>
      </c>
      <c r="E178" s="2"/>
      <c r="F178" s="7">
        <f t="shared" si="36"/>
        <v>2.68271812289204E-3</v>
      </c>
      <c r="G178" s="2"/>
      <c r="H178" s="6">
        <v>386.43</v>
      </c>
      <c r="I178" s="2"/>
      <c r="J178" s="7">
        <f t="shared" si="37"/>
        <v>6.5762568486508436E-4</v>
      </c>
      <c r="K178" s="2"/>
      <c r="L178" s="6">
        <f t="shared" si="38"/>
        <v>55.779999999999973</v>
      </c>
      <c r="M178" s="2"/>
      <c r="N178" s="7">
        <f t="shared" si="39"/>
        <v>0.14434697099086502</v>
      </c>
      <c r="O178" s="11"/>
      <c r="P178" s="6">
        <v>1616.32</v>
      </c>
      <c r="Q178" s="2"/>
      <c r="R178" s="7">
        <f t="shared" si="40"/>
        <v>1.8444562612848303E-4</v>
      </c>
      <c r="S178" s="2"/>
      <c r="T178" s="6">
        <v>2948.23</v>
      </c>
      <c r="U178" s="2"/>
      <c r="V178" s="7">
        <f t="shared" si="41"/>
        <v>2.8241667495841703E-4</v>
      </c>
      <c r="W178" s="2"/>
      <c r="X178" s="6">
        <f t="shared" si="42"/>
        <v>-1331.91</v>
      </c>
      <c r="Y178" s="2"/>
      <c r="Z178" s="7">
        <f t="shared" si="43"/>
        <v>-0.45176597483914077</v>
      </c>
    </row>
    <row r="179" spans="1:26" s="24" customFormat="1" hidden="1" outlineLevel="2" x14ac:dyDescent="0.25">
      <c r="A179" s="27"/>
      <c r="B179" s="11" t="str">
        <f>CONCATENATE("          ", "6118", " - ", "VACATION")</f>
        <v xml:space="preserve">          6118 - VACATION</v>
      </c>
      <c r="C179" s="11"/>
      <c r="D179" s="6">
        <v>6225.62</v>
      </c>
      <c r="E179" s="2"/>
      <c r="F179" s="7">
        <f t="shared" si="36"/>
        <v>3.7768443952509313E-2</v>
      </c>
      <c r="G179" s="2"/>
      <c r="H179" s="6">
        <v>4904</v>
      </c>
      <c r="I179" s="2"/>
      <c r="J179" s="7">
        <f t="shared" si="37"/>
        <v>8.3456159164101481E-3</v>
      </c>
      <c r="K179" s="2"/>
      <c r="L179" s="6">
        <f t="shared" si="38"/>
        <v>1321.62</v>
      </c>
      <c r="M179" s="2"/>
      <c r="N179" s="7">
        <f t="shared" si="39"/>
        <v>0.26949836867862964</v>
      </c>
      <c r="O179" s="11"/>
      <c r="P179" s="6">
        <v>58219.409999999996</v>
      </c>
      <c r="Q179" s="2"/>
      <c r="R179" s="7">
        <f t="shared" si="40"/>
        <v>6.6436816535592374E-3</v>
      </c>
      <c r="S179" s="2"/>
      <c r="T179" s="6">
        <v>60360.509999999995</v>
      </c>
      <c r="U179" s="2"/>
      <c r="V179" s="7">
        <f t="shared" si="41"/>
        <v>5.7820504278819082E-3</v>
      </c>
      <c r="W179" s="2"/>
      <c r="X179" s="6">
        <f t="shared" si="42"/>
        <v>-2141.0999999999985</v>
      </c>
      <c r="Y179" s="2"/>
      <c r="Z179" s="7">
        <f t="shared" si="43"/>
        <v>-3.5471867285415556E-2</v>
      </c>
    </row>
    <row r="180" spans="1:26" s="24" customFormat="1" hidden="1" outlineLevel="2" x14ac:dyDescent="0.25">
      <c r="A180" s="27"/>
      <c r="B180" s="11" t="str">
        <f>CONCATENATE("          ", "6119", " - ", "SICK LEAVE")</f>
        <v xml:space="preserve">          6119 - SICK LEAVE</v>
      </c>
      <c r="C180" s="11"/>
      <c r="D180" s="6">
        <v>-10905.45</v>
      </c>
      <c r="E180" s="2"/>
      <c r="F180" s="7">
        <f t="shared" si="36"/>
        <v>-6.6159174042407468E-2</v>
      </c>
      <c r="G180" s="2"/>
      <c r="H180" s="6">
        <v>3324.67</v>
      </c>
      <c r="I180" s="2"/>
      <c r="J180" s="7">
        <f t="shared" si="37"/>
        <v>5.6579157562828978E-3</v>
      </c>
      <c r="K180" s="2"/>
      <c r="L180" s="6">
        <f t="shared" si="38"/>
        <v>-14230.12</v>
      </c>
      <c r="M180" s="2"/>
      <c r="N180" s="7">
        <f t="shared" si="39"/>
        <v>-4.2801601361939685</v>
      </c>
      <c r="O180" s="11"/>
      <c r="P180" s="6">
        <v>3185.67</v>
      </c>
      <c r="Q180" s="2"/>
      <c r="R180" s="7">
        <f t="shared" si="40"/>
        <v>3.6353129194016318E-4</v>
      </c>
      <c r="S180" s="2"/>
      <c r="T180" s="6">
        <v>46305.599999999999</v>
      </c>
      <c r="U180" s="2"/>
      <c r="V180" s="7">
        <f t="shared" si="41"/>
        <v>4.4357033148548367E-3</v>
      </c>
      <c r="W180" s="2"/>
      <c r="X180" s="6">
        <f t="shared" si="42"/>
        <v>-43119.93</v>
      </c>
      <c r="Y180" s="2"/>
      <c r="Z180" s="7">
        <f t="shared" si="43"/>
        <v>-0.93120335337410598</v>
      </c>
    </row>
    <row r="181" spans="1:26" s="24" customFormat="1" hidden="1" outlineLevel="2" x14ac:dyDescent="0.25">
      <c r="A181" s="27"/>
      <c r="B181" s="11" t="str">
        <f>CONCATENATE("          ", "6156", " - ", "EMPLOYEE MEALS")</f>
        <v xml:space="preserve">          6156 - EMPLOYEE MEALS</v>
      </c>
      <c r="C181" s="11"/>
      <c r="D181" s="6">
        <v>407.88</v>
      </c>
      <c r="E181" s="2"/>
      <c r="F181" s="7">
        <f t="shared" si="36"/>
        <v>2.4744512063616954E-3</v>
      </c>
      <c r="G181" s="2"/>
      <c r="H181" s="6">
        <v>1850.49</v>
      </c>
      <c r="I181" s="2"/>
      <c r="J181" s="7">
        <f t="shared" si="37"/>
        <v>3.1491596242165204E-3</v>
      </c>
      <c r="K181" s="2"/>
      <c r="L181" s="6">
        <f t="shared" si="38"/>
        <v>-1442.6100000000001</v>
      </c>
      <c r="M181" s="2"/>
      <c r="N181" s="7">
        <f t="shared" si="39"/>
        <v>-0.77958270512134631</v>
      </c>
      <c r="O181" s="11"/>
      <c r="P181" s="6">
        <v>18248.769999999997</v>
      </c>
      <c r="Q181" s="2"/>
      <c r="R181" s="7">
        <f t="shared" si="40"/>
        <v>2.0824501390347685E-3</v>
      </c>
      <c r="S181" s="2"/>
      <c r="T181" s="6">
        <v>20398.190000000002</v>
      </c>
      <c r="U181" s="2"/>
      <c r="V181" s="7">
        <f t="shared" si="41"/>
        <v>1.9539822181342814E-3</v>
      </c>
      <c r="W181" s="2"/>
      <c r="X181" s="6">
        <f t="shared" si="42"/>
        <v>-2149.4200000000055</v>
      </c>
      <c r="Y181" s="2"/>
      <c r="Z181" s="7">
        <f t="shared" si="43"/>
        <v>-0.10537307476790859</v>
      </c>
    </row>
    <row r="182" spans="1:26" s="25" customFormat="1" outlineLevel="1" collapsed="1" x14ac:dyDescent="0.25">
      <c r="A182" s="26"/>
      <c r="B182" s="13" t="str">
        <f>CONCATENATE("     ","*Payroll                                          ")</f>
        <v xml:space="preserve">     *Payroll                                          </v>
      </c>
      <c r="C182" s="13"/>
      <c r="D182" s="1">
        <f>SUM(OSRRefD22_1x_0)</f>
        <v>85550.97</v>
      </c>
      <c r="E182" s="1"/>
      <c r="F182" s="5">
        <f t="shared" ref="F182:F189" si="44">IF(D$12=0,0,D182/D$12)</f>
        <v>0.51900485662918805</v>
      </c>
      <c r="G182" s="1"/>
      <c r="H182" s="1">
        <f>SUM(OSRRefH22_1x_0)</f>
        <v>136279.32</v>
      </c>
      <c r="I182" s="1"/>
      <c r="J182" s="5">
        <f t="shared" ref="J182:J189" si="45">IF(H$12=0,0,H182/H$12)</f>
        <v>0.23191983321157258</v>
      </c>
      <c r="K182" s="1"/>
      <c r="L182" s="1">
        <f t="shared" ref="L182:L189" si="46">+D182-H182</f>
        <v>-50728.350000000006</v>
      </c>
      <c r="M182" s="1"/>
      <c r="N182" s="5">
        <f t="shared" ref="N182:N189" si="47">IF(H182=0,0,L182/H182)</f>
        <v>-0.37223806223864342</v>
      </c>
      <c r="O182" s="13"/>
      <c r="P182" s="1">
        <f>SUM(OSRRefP22_1x_0)</f>
        <v>1710445.22</v>
      </c>
      <c r="Q182" s="1"/>
      <c r="R182" s="5">
        <f t="shared" ref="R182:R189" si="48">IF(P$12=0,0,P182/P$12)</f>
        <v>0.19518668305865852</v>
      </c>
      <c r="S182" s="1"/>
      <c r="T182" s="1">
        <f>SUM(OSRRefT22_1x_0)</f>
        <v>1700573.24</v>
      </c>
      <c r="U182" s="1"/>
      <c r="V182" s="5">
        <f t="shared" ref="V182:V189" si="49">IF(T$12=0,0,T182/T$12)</f>
        <v>0.16290121190139917</v>
      </c>
      <c r="W182" s="1"/>
      <c r="X182" s="1">
        <f t="shared" ref="X182:X189" si="50">+P182-T182</f>
        <v>9871.9799999999814</v>
      </c>
      <c r="Y182" s="1"/>
      <c r="Z182" s="5">
        <f t="shared" ref="Z182:Z189" si="51">IF(T182=0,0,X182/T182)</f>
        <v>5.8050895826162602E-3</v>
      </c>
    </row>
    <row r="183" spans="1:26" s="24" customFormat="1" hidden="1" outlineLevel="2" x14ac:dyDescent="0.25">
      <c r="A183" s="27"/>
      <c r="B183" s="11" t="str">
        <f>CONCATENATE("          ", "6001", " - ", "ADMINISTRATIVE SALARIES")</f>
        <v xml:space="preserve">          6001 - ADMINISTRATIVE SALARIES</v>
      </c>
      <c r="C183" s="11"/>
      <c r="D183" s="6"/>
      <c r="E183" s="2"/>
      <c r="F183" s="7">
        <f t="shared" si="44"/>
        <v>0</v>
      </c>
      <c r="G183" s="2"/>
      <c r="H183" s="6">
        <v>7803.75</v>
      </c>
      <c r="I183" s="2"/>
      <c r="J183" s="7">
        <f t="shared" si="45"/>
        <v>1.3280403794389417E-2</v>
      </c>
      <c r="K183" s="2"/>
      <c r="L183" s="6">
        <f t="shared" si="46"/>
        <v>-7803.75</v>
      </c>
      <c r="M183" s="2"/>
      <c r="N183" s="7">
        <f t="shared" si="47"/>
        <v>-1</v>
      </c>
      <c r="O183" s="11"/>
      <c r="P183" s="6">
        <v>93238.31</v>
      </c>
      <c r="Q183" s="2"/>
      <c r="R183" s="7">
        <f t="shared" si="48"/>
        <v>1.063984759646085E-2</v>
      </c>
      <c r="S183" s="2"/>
      <c r="T183" s="6">
        <v>106651</v>
      </c>
      <c r="U183" s="2"/>
      <c r="V183" s="7">
        <f t="shared" si="49"/>
        <v>1.0216306326504422E-2</v>
      </c>
      <c r="W183" s="2"/>
      <c r="X183" s="6">
        <f t="shared" si="50"/>
        <v>-13412.690000000002</v>
      </c>
      <c r="Y183" s="2"/>
      <c r="Z183" s="7">
        <f t="shared" si="51"/>
        <v>-0.12576244010839094</v>
      </c>
    </row>
    <row r="184" spans="1:26" s="24" customFormat="1" hidden="1" outlineLevel="2" x14ac:dyDescent="0.25">
      <c r="A184" s="27"/>
      <c r="B184" s="11" t="str">
        <f>CONCATENATE("          ", "6002", " - ", "STAFF SALARIES")</f>
        <v xml:space="preserve">          6002 - STAFF SALARIES</v>
      </c>
      <c r="C184" s="11"/>
      <c r="D184" s="6">
        <v>43797.9</v>
      </c>
      <c r="E184" s="2"/>
      <c r="F184" s="7">
        <f t="shared" si="44"/>
        <v>0.26570502719208816</v>
      </c>
      <c r="G184" s="2"/>
      <c r="H184" s="6">
        <v>45107.939999999995</v>
      </c>
      <c r="I184" s="2"/>
      <c r="J184" s="7">
        <f t="shared" si="45"/>
        <v>7.6764588503359293E-2</v>
      </c>
      <c r="K184" s="2"/>
      <c r="L184" s="6">
        <f t="shared" si="46"/>
        <v>-1310.0399999999936</v>
      </c>
      <c r="M184" s="2"/>
      <c r="N184" s="7">
        <f t="shared" si="47"/>
        <v>-2.9042337114042312E-2</v>
      </c>
      <c r="O184" s="11"/>
      <c r="P184" s="6">
        <v>565747.49</v>
      </c>
      <c r="Q184" s="2"/>
      <c r="R184" s="7">
        <f t="shared" si="48"/>
        <v>6.4560019070275504E-2</v>
      </c>
      <c r="S184" s="2"/>
      <c r="T184" s="6">
        <v>550704.02</v>
      </c>
      <c r="U184" s="2"/>
      <c r="V184" s="7">
        <f t="shared" si="49"/>
        <v>5.2753007131273198E-2</v>
      </c>
      <c r="W184" s="2"/>
      <c r="X184" s="6">
        <f t="shared" si="50"/>
        <v>15043.469999999972</v>
      </c>
      <c r="Y184" s="2"/>
      <c r="Z184" s="7">
        <f t="shared" si="51"/>
        <v>2.7316797142682873E-2</v>
      </c>
    </row>
    <row r="185" spans="1:26" s="24" customFormat="1" hidden="1" outlineLevel="2" x14ac:dyDescent="0.25">
      <c r="A185" s="27"/>
      <c r="B185" s="11" t="str">
        <f>CONCATENATE("          ", "6004", " - ", "STAFF HOURLY")</f>
        <v xml:space="preserve">          6004 - STAFF HOURLY</v>
      </c>
      <c r="C185" s="11"/>
      <c r="D185" s="6">
        <v>13252.7</v>
      </c>
      <c r="E185" s="2"/>
      <c r="F185" s="7">
        <f t="shared" si="44"/>
        <v>8.0399037713419746E-2</v>
      </c>
      <c r="G185" s="2"/>
      <c r="H185" s="6">
        <v>5731.18</v>
      </c>
      <c r="I185" s="2"/>
      <c r="J185" s="7">
        <f t="shared" si="45"/>
        <v>9.7533089371556938E-3</v>
      </c>
      <c r="K185" s="2"/>
      <c r="L185" s="6">
        <f t="shared" si="46"/>
        <v>7521.52</v>
      </c>
      <c r="M185" s="2"/>
      <c r="N185" s="7">
        <f t="shared" si="47"/>
        <v>1.3123859309950132</v>
      </c>
      <c r="O185" s="11"/>
      <c r="P185" s="6">
        <v>51776.33</v>
      </c>
      <c r="Q185" s="2"/>
      <c r="R185" s="7">
        <f t="shared" si="48"/>
        <v>5.9084324920096023E-3</v>
      </c>
      <c r="S185" s="2"/>
      <c r="T185" s="6">
        <v>58484.380000000005</v>
      </c>
      <c r="U185" s="2"/>
      <c r="V185" s="7">
        <f t="shared" si="49"/>
        <v>5.602332293140137E-3</v>
      </c>
      <c r="W185" s="2"/>
      <c r="X185" s="6">
        <f t="shared" si="50"/>
        <v>-6708.0500000000029</v>
      </c>
      <c r="Y185" s="2"/>
      <c r="Z185" s="7">
        <f t="shared" si="51"/>
        <v>-0.11469814675303051</v>
      </c>
    </row>
    <row r="186" spans="1:26" s="24" customFormat="1" hidden="1" outlineLevel="2" x14ac:dyDescent="0.25">
      <c r="A186" s="27"/>
      <c r="B186" s="11" t="str">
        <f>CONCATENATE("          ", "6005", " - ", "TEMPORARY WAGES-HOURLY")</f>
        <v xml:space="preserve">          6005 - TEMPORARY WAGES-HOURLY</v>
      </c>
      <c r="C186" s="11"/>
      <c r="D186" s="6">
        <v>13759.87</v>
      </c>
      <c r="E186" s="2"/>
      <c r="F186" s="7">
        <f t="shared" si="44"/>
        <v>8.3475843191331042E-2</v>
      </c>
      <c r="G186" s="2"/>
      <c r="H186" s="6">
        <v>15397.190000000002</v>
      </c>
      <c r="I186" s="2"/>
      <c r="J186" s="7">
        <f t="shared" si="45"/>
        <v>2.6202902514680097E-2</v>
      </c>
      <c r="K186" s="2"/>
      <c r="L186" s="6">
        <f t="shared" si="46"/>
        <v>-1637.3200000000015</v>
      </c>
      <c r="M186" s="2"/>
      <c r="N186" s="7">
        <f t="shared" si="47"/>
        <v>-0.1063388839132336</v>
      </c>
      <c r="O186" s="11"/>
      <c r="P186" s="6">
        <v>180295.9</v>
      </c>
      <c r="Q186" s="2"/>
      <c r="R186" s="7">
        <f t="shared" si="48"/>
        <v>2.0574385124169946E-2</v>
      </c>
      <c r="S186" s="2"/>
      <c r="T186" s="6">
        <v>187115.71000000002</v>
      </c>
      <c r="U186" s="2"/>
      <c r="V186" s="7">
        <f t="shared" si="49"/>
        <v>1.7924177099711835E-2</v>
      </c>
      <c r="W186" s="2"/>
      <c r="X186" s="6">
        <f t="shared" si="50"/>
        <v>-6819.8100000000268</v>
      </c>
      <c r="Y186" s="2"/>
      <c r="Z186" s="7">
        <f t="shared" si="51"/>
        <v>-3.6447019868080695E-2</v>
      </c>
    </row>
    <row r="187" spans="1:26" s="24" customFormat="1" hidden="1" outlineLevel="2" x14ac:dyDescent="0.25">
      <c r="A187" s="27"/>
      <c r="B187" s="11" t="str">
        <f>CONCATENATE("          ", "6006", " - ", "TEMPORARY PART TIME")</f>
        <v xml:space="preserve">          6006 - TEMPORARY PART TIME</v>
      </c>
      <c r="C187" s="11"/>
      <c r="D187" s="6">
        <v>3309.56</v>
      </c>
      <c r="E187" s="2"/>
      <c r="F187" s="7">
        <f t="shared" si="44"/>
        <v>2.0077828612646891E-2</v>
      </c>
      <c r="G187" s="2"/>
      <c r="H187" s="6">
        <v>3595.32</v>
      </c>
      <c r="I187" s="2"/>
      <c r="J187" s="7">
        <f t="shared" si="45"/>
        <v>6.1185073035456231E-3</v>
      </c>
      <c r="K187" s="2"/>
      <c r="L187" s="6">
        <f t="shared" si="46"/>
        <v>-285.76000000000022</v>
      </c>
      <c r="M187" s="2"/>
      <c r="N187" s="7">
        <f t="shared" si="47"/>
        <v>-7.9481103211953369E-2</v>
      </c>
      <c r="O187" s="11"/>
      <c r="P187" s="6">
        <v>33156.259999999995</v>
      </c>
      <c r="Q187" s="2"/>
      <c r="R187" s="7">
        <f t="shared" si="48"/>
        <v>3.7836116213242278E-3</v>
      </c>
      <c r="S187" s="2"/>
      <c r="T187" s="6">
        <v>56871.43</v>
      </c>
      <c r="U187" s="2"/>
      <c r="V187" s="7">
        <f t="shared" si="49"/>
        <v>5.4478246814971577E-3</v>
      </c>
      <c r="W187" s="2"/>
      <c r="X187" s="6">
        <f t="shared" si="50"/>
        <v>-23715.170000000006</v>
      </c>
      <c r="Y187" s="2"/>
      <c r="Z187" s="7">
        <f t="shared" si="51"/>
        <v>-0.41699619650851061</v>
      </c>
    </row>
    <row r="188" spans="1:26" s="24" customFormat="1" hidden="1" outlineLevel="2" x14ac:dyDescent="0.25">
      <c r="A188" s="27"/>
      <c r="B188" s="11" t="str">
        <f>CONCATENATE("          ", "6007", " - ", "STUDENT HOURLY")</f>
        <v xml:space="preserve">          6007 - STUDENT HOURLY</v>
      </c>
      <c r="C188" s="11"/>
      <c r="D188" s="6">
        <v>11274.94</v>
      </c>
      <c r="E188" s="2"/>
      <c r="F188" s="7">
        <f t="shared" si="44"/>
        <v>6.840072787255011E-2</v>
      </c>
      <c r="G188" s="2"/>
      <c r="H188" s="6">
        <v>57170.94</v>
      </c>
      <c r="I188" s="2"/>
      <c r="J188" s="7">
        <f t="shared" si="45"/>
        <v>9.7293374147661024E-2</v>
      </c>
      <c r="K188" s="2"/>
      <c r="L188" s="6">
        <f t="shared" si="46"/>
        <v>-45896</v>
      </c>
      <c r="M188" s="2"/>
      <c r="N188" s="7">
        <f t="shared" si="47"/>
        <v>-0.80278547108023757</v>
      </c>
      <c r="O188" s="11"/>
      <c r="P188" s="6">
        <v>770751.01</v>
      </c>
      <c r="Q188" s="2"/>
      <c r="R188" s="7">
        <f t="shared" si="48"/>
        <v>8.7953903081450888E-2</v>
      </c>
      <c r="S188" s="2"/>
      <c r="T188" s="6">
        <v>716077.75</v>
      </c>
      <c r="U188" s="2"/>
      <c r="V188" s="7">
        <f t="shared" si="49"/>
        <v>6.8594477760115249E-2</v>
      </c>
      <c r="W188" s="2"/>
      <c r="X188" s="6">
        <f t="shared" si="50"/>
        <v>54673.260000000009</v>
      </c>
      <c r="Y188" s="2"/>
      <c r="Z188" s="7">
        <f t="shared" si="51"/>
        <v>7.6351010766638139E-2</v>
      </c>
    </row>
    <row r="189" spans="1:26" s="24" customFormat="1" hidden="1" outlineLevel="2" x14ac:dyDescent="0.25">
      <c r="A189" s="27"/>
      <c r="B189" s="11" t="str">
        <f>CONCATENATE("          ", "6008", " - ", "STUDENT HOURLY-FICA EXEMPT")</f>
        <v xml:space="preserve">          6008 - STUDENT HOURLY-FICA EXEMPT</v>
      </c>
      <c r="C189" s="11"/>
      <c r="D189" s="6">
        <v>156</v>
      </c>
      <c r="E189" s="2"/>
      <c r="F189" s="7">
        <f t="shared" si="44"/>
        <v>9.4639204715216369E-4</v>
      </c>
      <c r="G189" s="2"/>
      <c r="H189" s="6">
        <v>1473</v>
      </c>
      <c r="I189" s="2"/>
      <c r="J189" s="7">
        <f t="shared" si="45"/>
        <v>2.5067480107814335E-3</v>
      </c>
      <c r="K189" s="2"/>
      <c r="L189" s="6">
        <f t="shared" si="46"/>
        <v>-1317</v>
      </c>
      <c r="M189" s="2"/>
      <c r="N189" s="7">
        <f t="shared" si="47"/>
        <v>-0.8940936863543788</v>
      </c>
      <c r="O189" s="11"/>
      <c r="P189" s="6">
        <v>15479.92</v>
      </c>
      <c r="Q189" s="2"/>
      <c r="R189" s="7">
        <f t="shared" si="48"/>
        <v>1.7664840729674986E-3</v>
      </c>
      <c r="S189" s="2"/>
      <c r="T189" s="6">
        <v>24668.95</v>
      </c>
      <c r="U189" s="2"/>
      <c r="V189" s="7">
        <f t="shared" si="49"/>
        <v>2.3630866091571695E-3</v>
      </c>
      <c r="W189" s="2"/>
      <c r="X189" s="6">
        <f t="shared" si="50"/>
        <v>-9189.0300000000007</v>
      </c>
      <c r="Y189" s="2"/>
      <c r="Z189" s="7">
        <f t="shared" si="51"/>
        <v>-0.37249376240172366</v>
      </c>
    </row>
    <row r="190" spans="1:26" s="25" customFormat="1" outlineLevel="1" collapsed="1" x14ac:dyDescent="0.25">
      <c r="A190" s="26"/>
      <c r="B190" s="13" t="str">
        <f>CONCATENATE("     ","Advertising/Promo                                 ")</f>
        <v xml:space="preserve">     Advertising/Promo                                 </v>
      </c>
      <c r="C190" s="13"/>
      <c r="D190" s="1">
        <f>SUM(OSRRefD22_2x_0)</f>
        <v>799.5</v>
      </c>
      <c r="E190" s="1"/>
      <c r="F190" s="5">
        <f t="shared" ref="F190:F194" si="52">IF(D$12=0,0,D190/D$12)</f>
        <v>4.8502592416548385E-3</v>
      </c>
      <c r="G190" s="1"/>
      <c r="H190" s="1">
        <f>SUM(OSRRefH22_2x_0)</f>
        <v>3992.1</v>
      </c>
      <c r="I190" s="1"/>
      <c r="J190" s="5">
        <f t="shared" ref="J190:J194" si="53">IF(H$12=0,0,H190/H$12)</f>
        <v>6.7937465945964422E-3</v>
      </c>
      <c r="K190" s="1"/>
      <c r="L190" s="1">
        <f t="shared" ref="L190:L194" si="54">+D190-H190</f>
        <v>-3192.6</v>
      </c>
      <c r="M190" s="1"/>
      <c r="N190" s="5">
        <f t="shared" ref="N190:N194" si="55">IF(H190=0,0,L190/H190)</f>
        <v>-0.79972946569474712</v>
      </c>
      <c r="O190" s="13"/>
      <c r="P190" s="1">
        <f>SUM(OSRRefP22_2x_0)</f>
        <v>44442.49</v>
      </c>
      <c r="Q190" s="1"/>
      <c r="R190" s="5">
        <f t="shared" ref="R190:R194" si="56">IF(P$12=0,0,P190/P$12)</f>
        <v>5.0715346557357738E-3</v>
      </c>
      <c r="S190" s="1"/>
      <c r="T190" s="1">
        <f>SUM(OSRRefT22_2x_0)</f>
        <v>60627.859999999993</v>
      </c>
      <c r="U190" s="1"/>
      <c r="V190" s="5">
        <f t="shared" ref="V190:V194" si="57">IF(T$12=0,0,T190/T$12)</f>
        <v>5.8076604033757235E-3</v>
      </c>
      <c r="W190" s="1"/>
      <c r="X190" s="1">
        <f t="shared" ref="X190:X194" si="58">+P190-T190</f>
        <v>-16185.369999999995</v>
      </c>
      <c r="Y190" s="1"/>
      <c r="Z190" s="5">
        <f t="shared" ref="Z190:Z194" si="59">IF(T190=0,0,X190/T190)</f>
        <v>-0.26696258122915761</v>
      </c>
    </row>
    <row r="191" spans="1:26" s="24" customFormat="1" hidden="1" outlineLevel="2" x14ac:dyDescent="0.25">
      <c r="A191" s="27"/>
      <c r="B191" s="11" t="str">
        <f>CONCATENATE("          ", "6362", " - ", "ADVERTISING EXPENSE")</f>
        <v xml:space="preserve">          6362 - ADVERTISING EXPENSE</v>
      </c>
      <c r="C191" s="11"/>
      <c r="D191" s="6">
        <v>799.5</v>
      </c>
      <c r="E191" s="2"/>
      <c r="F191" s="7">
        <f t="shared" si="52"/>
        <v>4.8502592416548385E-3</v>
      </c>
      <c r="G191" s="2"/>
      <c r="H191" s="6">
        <v>3992.1</v>
      </c>
      <c r="I191" s="2"/>
      <c r="J191" s="7">
        <f t="shared" si="53"/>
        <v>6.7937465945964422E-3</v>
      </c>
      <c r="K191" s="2"/>
      <c r="L191" s="6">
        <f t="shared" si="54"/>
        <v>-3192.6</v>
      </c>
      <c r="M191" s="2"/>
      <c r="N191" s="7">
        <f t="shared" si="55"/>
        <v>-0.79972946569474712</v>
      </c>
      <c r="O191" s="11"/>
      <c r="P191" s="6">
        <v>44442.49</v>
      </c>
      <c r="Q191" s="2"/>
      <c r="R191" s="7">
        <f t="shared" si="56"/>
        <v>5.0715346557357738E-3</v>
      </c>
      <c r="S191" s="2"/>
      <c r="T191" s="6">
        <v>60627.859999999993</v>
      </c>
      <c r="U191" s="2"/>
      <c r="V191" s="7">
        <f t="shared" si="57"/>
        <v>5.8076604033757235E-3</v>
      </c>
      <c r="W191" s="2"/>
      <c r="X191" s="6">
        <f t="shared" si="58"/>
        <v>-16185.369999999995</v>
      </c>
      <c r="Y191" s="2"/>
      <c r="Z191" s="7">
        <f t="shared" si="59"/>
        <v>-0.26696258122915761</v>
      </c>
    </row>
    <row r="192" spans="1:26" s="25" customFormat="1" outlineLevel="1" collapsed="1" x14ac:dyDescent="0.25">
      <c r="A192" s="26"/>
      <c r="B192" s="13" t="str">
        <f>CONCATENATE("     ","Bad Debts/Over/Short                              ")</f>
        <v xml:space="preserve">     Bad Debts/Over/Short                              </v>
      </c>
      <c r="C192" s="13"/>
      <c r="D192" s="1">
        <f>SUM(OSRRefD22_3x_0)</f>
        <v>4.6500000000000004</v>
      </c>
      <c r="E192" s="1"/>
      <c r="F192" s="5">
        <f t="shared" si="52"/>
        <v>2.8209762943958726E-5</v>
      </c>
      <c r="G192" s="1"/>
      <c r="H192" s="1">
        <f>SUM(OSRRefH22_3x_0)</f>
        <v>39.78</v>
      </c>
      <c r="I192" s="1"/>
      <c r="J192" s="5">
        <f t="shared" si="53"/>
        <v>6.769751247039064E-5</v>
      </c>
      <c r="K192" s="1"/>
      <c r="L192" s="1">
        <f t="shared" si="54"/>
        <v>-35.130000000000003</v>
      </c>
      <c r="M192" s="1"/>
      <c r="N192" s="5">
        <f t="shared" si="55"/>
        <v>-0.88310708898944201</v>
      </c>
      <c r="O192" s="13"/>
      <c r="P192" s="1">
        <f>SUM(OSRRefP22_3x_0)</f>
        <v>-26.370000000000005</v>
      </c>
      <c r="Q192" s="1"/>
      <c r="R192" s="5">
        <f t="shared" si="56"/>
        <v>-3.0092006292120983E-6</v>
      </c>
      <c r="S192" s="1"/>
      <c r="T192" s="1">
        <f>SUM(OSRRefT22_3x_0)</f>
        <v>1433.41</v>
      </c>
      <c r="U192" s="1"/>
      <c r="V192" s="5">
        <f t="shared" si="57"/>
        <v>1.3730912651053158E-4</v>
      </c>
      <c r="W192" s="1"/>
      <c r="X192" s="1">
        <f t="shared" si="58"/>
        <v>-1459.7800000000002</v>
      </c>
      <c r="Y192" s="1"/>
      <c r="Z192" s="5">
        <f t="shared" si="59"/>
        <v>-1.0183966904095829</v>
      </c>
    </row>
    <row r="193" spans="1:26" s="24" customFormat="1" hidden="1" outlineLevel="2" x14ac:dyDescent="0.25">
      <c r="A193" s="27"/>
      <c r="B193" s="11" t="str">
        <f>CONCATENATE("          ", "6272", " - ", "CASH (OVER/SHORT)")</f>
        <v xml:space="preserve">          6272 - CASH (OVER/SHORT)</v>
      </c>
      <c r="C193" s="11"/>
      <c r="D193" s="6">
        <v>4.6500000000000004</v>
      </c>
      <c r="E193" s="2"/>
      <c r="F193" s="7">
        <f t="shared" si="52"/>
        <v>2.8209762943958726E-5</v>
      </c>
      <c r="G193" s="2"/>
      <c r="H193" s="6">
        <v>39.78</v>
      </c>
      <c r="I193" s="2"/>
      <c r="J193" s="7">
        <f t="shared" si="53"/>
        <v>6.769751247039064E-5</v>
      </c>
      <c r="K193" s="2"/>
      <c r="L193" s="6">
        <f t="shared" si="54"/>
        <v>-35.130000000000003</v>
      </c>
      <c r="M193" s="2"/>
      <c r="N193" s="7">
        <f t="shared" si="55"/>
        <v>-0.88310708898944201</v>
      </c>
      <c r="O193" s="11"/>
      <c r="P193" s="6">
        <v>-71.17</v>
      </c>
      <c r="Q193" s="2"/>
      <c r="R193" s="7">
        <f t="shared" si="56"/>
        <v>-8.1215323769823666E-6</v>
      </c>
      <c r="S193" s="2"/>
      <c r="T193" s="6">
        <v>1433.41</v>
      </c>
      <c r="U193" s="2"/>
      <c r="V193" s="7">
        <f t="shared" si="57"/>
        <v>1.3730912651053158E-4</v>
      </c>
      <c r="W193" s="2"/>
      <c r="X193" s="6">
        <f t="shared" si="58"/>
        <v>-1504.5800000000002</v>
      </c>
      <c r="Y193" s="2"/>
      <c r="Z193" s="7">
        <f t="shared" si="59"/>
        <v>-1.0496508326298826</v>
      </c>
    </row>
    <row r="194" spans="1:26" s="24" customFormat="1" hidden="1" outlineLevel="2" x14ac:dyDescent="0.25">
      <c r="A194" s="27"/>
      <c r="B194" s="11" t="str">
        <f>CONCATENATE("          ", "6342", " - ", "BAD DEBT")</f>
        <v xml:space="preserve">          6342 - BAD DEBT</v>
      </c>
      <c r="C194" s="11"/>
      <c r="D194" s="6"/>
      <c r="E194" s="2"/>
      <c r="F194" s="7">
        <f t="shared" si="52"/>
        <v>0</v>
      </c>
      <c r="G194" s="2"/>
      <c r="H194" s="6"/>
      <c r="I194" s="2"/>
      <c r="J194" s="7">
        <f t="shared" si="53"/>
        <v>0</v>
      </c>
      <c r="K194" s="2"/>
      <c r="L194" s="6">
        <f t="shared" si="54"/>
        <v>0</v>
      </c>
      <c r="M194" s="2"/>
      <c r="N194" s="7">
        <f t="shared" si="55"/>
        <v>0</v>
      </c>
      <c r="O194" s="11"/>
      <c r="P194" s="6">
        <v>44.8</v>
      </c>
      <c r="Q194" s="2"/>
      <c r="R194" s="7">
        <f t="shared" si="56"/>
        <v>5.1123317477702683E-6</v>
      </c>
      <c r="S194" s="2"/>
      <c r="T194" s="6"/>
      <c r="U194" s="2"/>
      <c r="V194" s="7">
        <f t="shared" si="57"/>
        <v>0</v>
      </c>
      <c r="W194" s="2"/>
      <c r="X194" s="6">
        <f t="shared" si="58"/>
        <v>44.8</v>
      </c>
      <c r="Y194" s="2"/>
      <c r="Z194" s="7">
        <f t="shared" si="59"/>
        <v>0</v>
      </c>
    </row>
    <row r="195" spans="1:26" s="25" customFormat="1" outlineLevel="1" collapsed="1" x14ac:dyDescent="0.25">
      <c r="A195" s="26"/>
      <c r="B195" s="13" t="str">
        <f>CONCATENATE("     ","Bank/card Fees                                    ")</f>
        <v xml:space="preserve">     Bank/card Fees                                    </v>
      </c>
      <c r="C195" s="13"/>
      <c r="D195" s="1">
        <f>SUM(OSRRefD22_4x_0)</f>
        <v>2683.78</v>
      </c>
      <c r="E195" s="1"/>
      <c r="F195" s="5">
        <f t="shared" ref="F195:F199" si="60">IF(D$12=0,0,D195/D$12)</f>
        <v>1.6281461848115603E-2</v>
      </c>
      <c r="G195" s="1"/>
      <c r="H195" s="1">
        <f>SUM(OSRRefH22_4x_0)</f>
        <v>9162.7199999999993</v>
      </c>
      <c r="I195" s="1"/>
      <c r="J195" s="5">
        <f t="shared" ref="J195:J199" si="61">IF(H$12=0,0,H195/H$12)</f>
        <v>1.5593095813541924E-2</v>
      </c>
      <c r="K195" s="1"/>
      <c r="L195" s="1">
        <f t="shared" ref="L195:L199" si="62">+D195-H195</f>
        <v>-6478.9399999999987</v>
      </c>
      <c r="M195" s="1"/>
      <c r="N195" s="5">
        <f t="shared" ref="N195:N199" si="63">IF(H195=0,0,L195/H195)</f>
        <v>-0.70709789232891529</v>
      </c>
      <c r="O195" s="13"/>
      <c r="P195" s="1">
        <f>SUM(OSRRefP22_4x_0)</f>
        <v>139831.69</v>
      </c>
      <c r="Q195" s="1"/>
      <c r="R195" s="5">
        <f t="shared" ref="R195:R199" si="64">IF(P$12=0,0,P195/P$12)</f>
        <v>1.5956830092218089E-2</v>
      </c>
      <c r="S195" s="1"/>
      <c r="T195" s="1">
        <f>SUM(OSRRefT22_4x_0)</f>
        <v>153806.89000000001</v>
      </c>
      <c r="U195" s="1"/>
      <c r="V195" s="5">
        <f t="shared" ref="V195:V199" si="65">IF(T$12=0,0,T195/T$12)</f>
        <v>1.4733460571086722E-2</v>
      </c>
      <c r="W195" s="1"/>
      <c r="X195" s="1">
        <f t="shared" ref="X195:X199" si="66">+P195-T195</f>
        <v>-13975.200000000012</v>
      </c>
      <c r="Y195" s="1"/>
      <c r="Z195" s="5">
        <f t="shared" ref="Z195:Z199" si="67">IF(T195=0,0,X195/T195)</f>
        <v>-9.0861989342610139E-2</v>
      </c>
    </row>
    <row r="196" spans="1:26" s="24" customFormat="1" hidden="1" outlineLevel="2" x14ac:dyDescent="0.25">
      <c r="A196" s="27"/>
      <c r="B196" s="11" t="str">
        <f>CONCATENATE("          ", "6381", " - ", "BANK/CREDIT CARD FEES")</f>
        <v xml:space="preserve">          6381 - BANK/CREDIT CARD FEES</v>
      </c>
      <c r="C196" s="11"/>
      <c r="D196" s="6">
        <v>2683.78</v>
      </c>
      <c r="E196" s="2"/>
      <c r="F196" s="7">
        <f t="shared" si="60"/>
        <v>1.6281461848115603E-2</v>
      </c>
      <c r="G196" s="2"/>
      <c r="H196" s="6">
        <v>9162.7199999999993</v>
      </c>
      <c r="I196" s="2"/>
      <c r="J196" s="7">
        <f t="shared" si="61"/>
        <v>1.5593095813541924E-2</v>
      </c>
      <c r="K196" s="2"/>
      <c r="L196" s="6">
        <f t="shared" si="62"/>
        <v>-6478.9399999999987</v>
      </c>
      <c r="M196" s="2"/>
      <c r="N196" s="7">
        <f t="shared" si="63"/>
        <v>-0.70709789232891529</v>
      </c>
      <c r="O196" s="11"/>
      <c r="P196" s="6">
        <v>139831.69</v>
      </c>
      <c r="Q196" s="2"/>
      <c r="R196" s="7">
        <f t="shared" si="64"/>
        <v>1.5956830092218089E-2</v>
      </c>
      <c r="S196" s="2"/>
      <c r="T196" s="6">
        <v>153806.89000000001</v>
      </c>
      <c r="U196" s="2"/>
      <c r="V196" s="7">
        <f t="shared" si="65"/>
        <v>1.4733460571086722E-2</v>
      </c>
      <c r="W196" s="2"/>
      <c r="X196" s="6">
        <f t="shared" si="66"/>
        <v>-13975.200000000012</v>
      </c>
      <c r="Y196" s="2"/>
      <c r="Z196" s="7">
        <f t="shared" si="67"/>
        <v>-9.0861989342610139E-2</v>
      </c>
    </row>
    <row r="197" spans="1:26" s="25" customFormat="1" outlineLevel="1" collapsed="1" x14ac:dyDescent="0.25">
      <c r="A197" s="26"/>
      <c r="B197" s="13" t="str">
        <f>CONCATENATE("     ","Depreciation                                      ")</f>
        <v xml:space="preserve">     Depreciation                                      </v>
      </c>
      <c r="C197" s="13"/>
      <c r="D197" s="1">
        <f>SUM(OSRRefD22_5x_0)</f>
        <v>30349.48</v>
      </c>
      <c r="E197" s="1"/>
      <c r="F197" s="5">
        <f t="shared" si="60"/>
        <v>0.18411863145643365</v>
      </c>
      <c r="G197" s="1"/>
      <c r="H197" s="1">
        <f>SUM(OSRRefH22_5x_0)</f>
        <v>29761.99</v>
      </c>
      <c r="I197" s="1"/>
      <c r="J197" s="5">
        <f t="shared" si="61"/>
        <v>5.0648886102781343E-2</v>
      </c>
      <c r="K197" s="1"/>
      <c r="L197" s="1">
        <f t="shared" si="62"/>
        <v>587.48999999999796</v>
      </c>
      <c r="M197" s="1"/>
      <c r="N197" s="5">
        <f t="shared" si="63"/>
        <v>1.9739607465764149E-2</v>
      </c>
      <c r="O197" s="13"/>
      <c r="P197" s="1">
        <f>SUM(OSRRefP22_5x_0)</f>
        <v>298682.93999999994</v>
      </c>
      <c r="Q197" s="1"/>
      <c r="R197" s="5">
        <f t="shared" si="64"/>
        <v>3.4084068675878612E-2</v>
      </c>
      <c r="S197" s="1"/>
      <c r="T197" s="1">
        <f>SUM(OSRRefT22_5x_0)</f>
        <v>293732.62</v>
      </c>
      <c r="U197" s="1"/>
      <c r="V197" s="5">
        <f t="shared" si="65"/>
        <v>2.8137217878938962E-2</v>
      </c>
      <c r="W197" s="1"/>
      <c r="X197" s="1">
        <f t="shared" si="66"/>
        <v>4950.3199999999488</v>
      </c>
      <c r="Y197" s="1"/>
      <c r="Z197" s="5">
        <f t="shared" si="67"/>
        <v>1.6853150324264116E-2</v>
      </c>
    </row>
    <row r="198" spans="1:26" s="24" customFormat="1" hidden="1" outlineLevel="2" x14ac:dyDescent="0.25">
      <c r="A198" s="27"/>
      <c r="B198" s="11" t="str">
        <f>CONCATENATE("          ", "6321", " - ", "BUILDING DEPRECIATION")</f>
        <v xml:space="preserve">          6321 - BUILDING DEPRECIATION</v>
      </c>
      <c r="C198" s="11"/>
      <c r="D198" s="6">
        <v>16396.52</v>
      </c>
      <c r="E198" s="2"/>
      <c r="F198" s="7">
        <f t="shared" si="60"/>
        <v>9.9471385442124333E-2</v>
      </c>
      <c r="G198" s="2"/>
      <c r="H198" s="6">
        <v>16453.38</v>
      </c>
      <c r="I198" s="2"/>
      <c r="J198" s="7">
        <f t="shared" si="61"/>
        <v>2.800032422649764E-2</v>
      </c>
      <c r="K198" s="2"/>
      <c r="L198" s="6">
        <f t="shared" si="62"/>
        <v>-56.860000000000582</v>
      </c>
      <c r="M198" s="2"/>
      <c r="N198" s="7">
        <f t="shared" si="63"/>
        <v>-3.4558248821822978E-3</v>
      </c>
      <c r="O198" s="11"/>
      <c r="P198" s="6">
        <v>163965.19999999998</v>
      </c>
      <c r="Q198" s="2"/>
      <c r="R198" s="7">
        <f t="shared" si="64"/>
        <v>1.8710814676104946E-2</v>
      </c>
      <c r="S198" s="2"/>
      <c r="T198" s="6">
        <v>164533.79999999999</v>
      </c>
      <c r="U198" s="2"/>
      <c r="V198" s="7">
        <f t="shared" si="65"/>
        <v>1.576101210362597E-2</v>
      </c>
      <c r="W198" s="2"/>
      <c r="X198" s="6">
        <f t="shared" si="66"/>
        <v>-568.60000000000582</v>
      </c>
      <c r="Y198" s="2"/>
      <c r="Z198" s="7">
        <f t="shared" si="67"/>
        <v>-3.4558248821822983E-3</v>
      </c>
    </row>
    <row r="199" spans="1:26" s="24" customFormat="1" hidden="1" outlineLevel="2" x14ac:dyDescent="0.25">
      <c r="A199" s="27"/>
      <c r="B199" s="11" t="str">
        <f>CONCATENATE("          ", "6322", " - ", "EQUIPMENT DEPRECIATION EXPENSE")</f>
        <v xml:space="preserve">          6322 - EQUIPMENT DEPRECIATION EXPENSE</v>
      </c>
      <c r="C199" s="11"/>
      <c r="D199" s="6">
        <v>13952.96</v>
      </c>
      <c r="E199" s="2"/>
      <c r="F199" s="7">
        <f t="shared" si="60"/>
        <v>8.4647246014309313E-2</v>
      </c>
      <c r="G199" s="2"/>
      <c r="H199" s="6">
        <v>13308.61</v>
      </c>
      <c r="I199" s="2"/>
      <c r="J199" s="7">
        <f t="shared" si="61"/>
        <v>2.2648561876283703E-2</v>
      </c>
      <c r="K199" s="2"/>
      <c r="L199" s="6">
        <f t="shared" si="62"/>
        <v>644.34999999999854</v>
      </c>
      <c r="M199" s="2"/>
      <c r="N199" s="7">
        <f t="shared" si="63"/>
        <v>4.8416025415125886E-2</v>
      </c>
      <c r="O199" s="11"/>
      <c r="P199" s="6">
        <v>134717.74</v>
      </c>
      <c r="Q199" s="2"/>
      <c r="R199" s="7">
        <f t="shared" si="64"/>
        <v>1.5373253999773673E-2</v>
      </c>
      <c r="S199" s="2"/>
      <c r="T199" s="6">
        <v>129198.82</v>
      </c>
      <c r="U199" s="2"/>
      <c r="V199" s="7">
        <f t="shared" si="65"/>
        <v>1.2376205775312994E-2</v>
      </c>
      <c r="W199" s="2"/>
      <c r="X199" s="6">
        <f t="shared" si="66"/>
        <v>5518.9199999999837</v>
      </c>
      <c r="Y199" s="2"/>
      <c r="Z199" s="7">
        <f t="shared" si="67"/>
        <v>4.2716489206325439E-2</v>
      </c>
    </row>
    <row r="200" spans="1:26" s="25" customFormat="1" outlineLevel="1" collapsed="1" x14ac:dyDescent="0.25">
      <c r="A200" s="26"/>
      <c r="B200" s="13" t="str">
        <f>CONCATENATE("     ","Discounts and Markdowns                           ")</f>
        <v xml:space="preserve">     Discounts and Markdowns                           </v>
      </c>
      <c r="C200" s="13"/>
      <c r="D200" s="1">
        <f>SUM(OSRRefD22_6x_0)</f>
        <v>31843.850000000002</v>
      </c>
      <c r="E200" s="1"/>
      <c r="F200" s="5">
        <f t="shared" ref="F200:F202" si="68">IF(D$12=0,0,D200/D$12)</f>
        <v>0.19318439994042583</v>
      </c>
      <c r="G200" s="1"/>
      <c r="H200" s="1">
        <f>SUM(OSRRefH22_6x_0)</f>
        <v>35863.509999999995</v>
      </c>
      <c r="I200" s="1"/>
      <c r="J200" s="5">
        <f t="shared" ref="J200:J202" si="69">IF(H$12=0,0,H200/H$12)</f>
        <v>6.1032438799823507E-2</v>
      </c>
      <c r="K200" s="1"/>
      <c r="L200" s="1">
        <f t="shared" ref="L200:L202" si="70">+D200-H200</f>
        <v>-4019.6599999999926</v>
      </c>
      <c r="M200" s="1"/>
      <c r="N200" s="5">
        <f t="shared" ref="N200:N202" si="71">IF(H200=0,0,L200/H200)</f>
        <v>-0.11208216931360018</v>
      </c>
      <c r="O200" s="13"/>
      <c r="P200" s="1">
        <f>SUM(OSRRefP22_6x_0)</f>
        <v>303894.57</v>
      </c>
      <c r="Q200" s="1"/>
      <c r="R200" s="5">
        <f t="shared" ref="R200:R202" si="72">IF(P$12=0,0,P200/P$12)</f>
        <v>3.4678791477365946E-2</v>
      </c>
      <c r="S200" s="1"/>
      <c r="T200" s="1">
        <f>SUM(OSRRefT22_6x_0)</f>
        <v>314524.02</v>
      </c>
      <c r="U200" s="1"/>
      <c r="V200" s="5">
        <f t="shared" ref="V200:V202" si="73">IF(T$12=0,0,T200/T$12)</f>
        <v>3.0128866446293083E-2</v>
      </c>
      <c r="W200" s="1"/>
      <c r="X200" s="1">
        <f t="shared" ref="X200:X202" si="74">+P200-T200</f>
        <v>-10629.450000000012</v>
      </c>
      <c r="Y200" s="1"/>
      <c r="Z200" s="5">
        <f t="shared" ref="Z200:Z202" si="75">IF(T200=0,0,X200/T200)</f>
        <v>-3.3795352100612255E-2</v>
      </c>
    </row>
    <row r="201" spans="1:26" s="24" customFormat="1" hidden="1" outlineLevel="2" x14ac:dyDescent="0.25">
      <c r="A201" s="27"/>
      <c r="B201" s="11" t="str">
        <f>CONCATENATE("          ", "6382", " - ", "DISCOUNTS/MARK DOWNS")</f>
        <v xml:space="preserve">          6382 - DISCOUNTS/MARK DOWNS</v>
      </c>
      <c r="C201" s="11"/>
      <c r="D201" s="6">
        <v>31843.99</v>
      </c>
      <c r="E201" s="2"/>
      <c r="F201" s="7">
        <f t="shared" si="68"/>
        <v>0.19318524926662198</v>
      </c>
      <c r="G201" s="2"/>
      <c r="H201" s="6">
        <v>36212.729999999996</v>
      </c>
      <c r="I201" s="2"/>
      <c r="J201" s="7">
        <f t="shared" si="69"/>
        <v>6.1626740592304906E-2</v>
      </c>
      <c r="K201" s="2"/>
      <c r="L201" s="6">
        <f t="shared" si="70"/>
        <v>-4368.7399999999943</v>
      </c>
      <c r="M201" s="2"/>
      <c r="N201" s="7">
        <f t="shared" si="71"/>
        <v>-0.12064100110651682</v>
      </c>
      <c r="O201" s="11"/>
      <c r="P201" s="6">
        <v>307126.19</v>
      </c>
      <c r="Q201" s="2"/>
      <c r="R201" s="7">
        <f t="shared" si="72"/>
        <v>3.5047566332784011E-2</v>
      </c>
      <c r="S201" s="2"/>
      <c r="T201" s="6">
        <v>319018.39</v>
      </c>
      <c r="U201" s="2"/>
      <c r="V201" s="7">
        <f t="shared" si="73"/>
        <v>3.0559390873299407E-2</v>
      </c>
      <c r="W201" s="2"/>
      <c r="X201" s="6">
        <f t="shared" si="74"/>
        <v>-11892.200000000012</v>
      </c>
      <c r="Y201" s="2"/>
      <c r="Z201" s="7">
        <f t="shared" si="75"/>
        <v>-3.7277474818928187E-2</v>
      </c>
    </row>
    <row r="202" spans="1:26" s="24" customFormat="1" hidden="1" outlineLevel="2" x14ac:dyDescent="0.25">
      <c r="A202" s="27"/>
      <c r="B202" s="11" t="str">
        <f>CONCATENATE("          ", "9175", " - ", "EARNED DISCOUNTS")</f>
        <v xml:space="preserve">          9175 - EARNED DISCOUNTS</v>
      </c>
      <c r="C202" s="11"/>
      <c r="D202" s="6">
        <v>-0.14000000000000001</v>
      </c>
      <c r="E202" s="2"/>
      <c r="F202" s="7">
        <f t="shared" si="68"/>
        <v>-8.4932619616219825E-7</v>
      </c>
      <c r="G202" s="2"/>
      <c r="H202" s="6">
        <v>-349.22</v>
      </c>
      <c r="I202" s="2"/>
      <c r="J202" s="7">
        <f t="shared" si="69"/>
        <v>-5.9430179248139321E-4</v>
      </c>
      <c r="K202" s="2"/>
      <c r="L202" s="6">
        <f t="shared" si="70"/>
        <v>349.08000000000004</v>
      </c>
      <c r="M202" s="2"/>
      <c r="N202" s="7">
        <f t="shared" si="71"/>
        <v>-0.9995991065803792</v>
      </c>
      <c r="O202" s="11"/>
      <c r="P202" s="6">
        <v>-3231.62</v>
      </c>
      <c r="Q202" s="2"/>
      <c r="R202" s="7">
        <f t="shared" si="72"/>
        <v>-3.6877485541806596E-4</v>
      </c>
      <c r="S202" s="2"/>
      <c r="T202" s="6">
        <v>-4494.37</v>
      </c>
      <c r="U202" s="2"/>
      <c r="V202" s="7">
        <f t="shared" si="73"/>
        <v>-4.3052442700632602E-4</v>
      </c>
      <c r="W202" s="2"/>
      <c r="X202" s="6">
        <f t="shared" si="74"/>
        <v>1262.75</v>
      </c>
      <c r="Y202" s="2"/>
      <c r="Z202" s="7">
        <f t="shared" si="75"/>
        <v>-0.28096262657502608</v>
      </c>
    </row>
    <row r="203" spans="1:26" s="25" customFormat="1" outlineLevel="1" collapsed="1" x14ac:dyDescent="0.25">
      <c r="A203" s="26"/>
      <c r="B203" s="13" t="str">
        <f>CONCATENATE("     ","Donations                                         ")</f>
        <v xml:space="preserve">     Donations                                         </v>
      </c>
      <c r="C203" s="13"/>
      <c r="D203" s="1">
        <f>SUM(OSRRefD22_7x_0)</f>
        <v>0</v>
      </c>
      <c r="E203" s="1"/>
      <c r="F203" s="5">
        <f t="shared" ref="F203:F211" si="76">IF(D$12=0,0,D203/D$12)</f>
        <v>0</v>
      </c>
      <c r="G203" s="1"/>
      <c r="H203" s="1">
        <f>SUM(OSRRefH22_7x_0)</f>
        <v>851.01</v>
      </c>
      <c r="I203" s="1"/>
      <c r="J203" s="5">
        <f t="shared" ref="J203:J211" si="77">IF(H$12=0,0,H203/H$12)</f>
        <v>1.4482468599152122E-3</v>
      </c>
      <c r="K203" s="1"/>
      <c r="L203" s="1">
        <f t="shared" ref="L203:L211" si="78">+D203-H203</f>
        <v>-851.01</v>
      </c>
      <c r="M203" s="1"/>
      <c r="N203" s="5">
        <f t="shared" ref="N203:N211" si="79">IF(H203=0,0,L203/H203)</f>
        <v>-1</v>
      </c>
      <c r="O203" s="13"/>
      <c r="P203" s="1">
        <f>SUM(OSRRefP22_7x_0)</f>
        <v>12371.45</v>
      </c>
      <c r="Q203" s="1"/>
      <c r="R203" s="5">
        <f t="shared" ref="R203:R211" si="80">IF(P$12=0,0,P203/P$12)</f>
        <v>1.4117624241284038E-3</v>
      </c>
      <c r="S203" s="1"/>
      <c r="T203" s="1">
        <f>SUM(OSRRefT22_7x_0)</f>
        <v>8887.06</v>
      </c>
      <c r="U203" s="1"/>
      <c r="V203" s="5">
        <f t="shared" ref="V203:V211" si="81">IF(T$12=0,0,T203/T$12)</f>
        <v>8.513087294261131E-4</v>
      </c>
      <c r="W203" s="1"/>
      <c r="X203" s="1">
        <f t="shared" ref="X203:X211" si="82">+P203-T203</f>
        <v>3484.3900000000012</v>
      </c>
      <c r="Y203" s="1"/>
      <c r="Z203" s="5">
        <f t="shared" ref="Z203:Z211" si="83">IF(T203=0,0,X203/T203)</f>
        <v>0.39207454433749761</v>
      </c>
    </row>
    <row r="204" spans="1:26" s="24" customFormat="1" hidden="1" outlineLevel="2" x14ac:dyDescent="0.25">
      <c r="A204" s="27"/>
      <c r="B204" s="11" t="str">
        <f>CONCATENATE("          ", "6399", " - ", "DONATION-ON CAMPUS")</f>
        <v xml:space="preserve">          6399 - DONATION-ON CAMPUS</v>
      </c>
      <c r="C204" s="11"/>
      <c r="D204" s="6"/>
      <c r="E204" s="2"/>
      <c r="F204" s="7">
        <f t="shared" si="76"/>
        <v>0</v>
      </c>
      <c r="G204" s="2"/>
      <c r="H204" s="6">
        <v>851.01</v>
      </c>
      <c r="I204" s="2"/>
      <c r="J204" s="7">
        <f t="shared" si="77"/>
        <v>1.4482468599152122E-3</v>
      </c>
      <c r="K204" s="2"/>
      <c r="L204" s="6">
        <f t="shared" si="78"/>
        <v>-851.01</v>
      </c>
      <c r="M204" s="2"/>
      <c r="N204" s="7">
        <f t="shared" si="79"/>
        <v>-1</v>
      </c>
      <c r="O204" s="11"/>
      <c r="P204" s="6">
        <v>12371.45</v>
      </c>
      <c r="Q204" s="2"/>
      <c r="R204" s="7">
        <f t="shared" si="80"/>
        <v>1.4117624241284038E-3</v>
      </c>
      <c r="S204" s="2"/>
      <c r="T204" s="6">
        <v>8887.06</v>
      </c>
      <c r="U204" s="2"/>
      <c r="V204" s="7">
        <f t="shared" si="81"/>
        <v>8.513087294261131E-4</v>
      </c>
      <c r="W204" s="2"/>
      <c r="X204" s="6">
        <f t="shared" si="82"/>
        <v>3484.3900000000012</v>
      </c>
      <c r="Y204" s="2"/>
      <c r="Z204" s="7">
        <f t="shared" si="83"/>
        <v>0.39207454433749761</v>
      </c>
    </row>
    <row r="205" spans="1:26" s="25" customFormat="1" outlineLevel="1" collapsed="1" x14ac:dyDescent="0.25">
      <c r="A205" s="26"/>
      <c r="B205" s="13" t="str">
        <f>CONCATENATE("     ","Employees' Appreciation                           ")</f>
        <v xml:space="preserve">     Employees' Appreciation                           </v>
      </c>
      <c r="C205" s="13"/>
      <c r="D205" s="1">
        <f>SUM(OSRRefD22_8x_0)</f>
        <v>30.15</v>
      </c>
      <c r="E205" s="1"/>
      <c r="F205" s="5">
        <f t="shared" si="76"/>
        <v>1.8290846295921623E-4</v>
      </c>
      <c r="G205" s="1"/>
      <c r="H205" s="1">
        <f>SUM(OSRRefH22_8x_0)</f>
        <v>172.06</v>
      </c>
      <c r="I205" s="1"/>
      <c r="J205" s="5">
        <f t="shared" si="77"/>
        <v>2.9281131210797924E-4</v>
      </c>
      <c r="K205" s="1"/>
      <c r="L205" s="1">
        <f t="shared" si="78"/>
        <v>-141.91</v>
      </c>
      <c r="M205" s="1"/>
      <c r="N205" s="5">
        <f t="shared" si="79"/>
        <v>-0.82477042892014407</v>
      </c>
      <c r="O205" s="13"/>
      <c r="P205" s="1">
        <f>SUM(OSRRefP22_8x_0)</f>
        <v>1554.27</v>
      </c>
      <c r="Q205" s="1"/>
      <c r="R205" s="5">
        <f t="shared" si="80"/>
        <v>1.7736481842872535E-4</v>
      </c>
      <c r="S205" s="1"/>
      <c r="T205" s="1">
        <f>SUM(OSRRefT22_8x_0)</f>
        <v>3845.44</v>
      </c>
      <c r="U205" s="1"/>
      <c r="V205" s="5">
        <f t="shared" si="81"/>
        <v>3.6836216256943833E-4</v>
      </c>
      <c r="W205" s="1"/>
      <c r="X205" s="1">
        <f t="shared" si="82"/>
        <v>-2291.17</v>
      </c>
      <c r="Y205" s="1"/>
      <c r="Z205" s="5">
        <f t="shared" si="83"/>
        <v>-0.59581478322376635</v>
      </c>
    </row>
    <row r="206" spans="1:26" s="24" customFormat="1" hidden="1" outlineLevel="2" x14ac:dyDescent="0.25">
      <c r="A206" s="27"/>
      <c r="B206" s="11" t="str">
        <f>CONCATENATE("          ", "6277", " - ", "EMPLOYEE APPRECIATION")</f>
        <v xml:space="preserve">          6277 - EMPLOYEE APPRECIATION</v>
      </c>
      <c r="C206" s="11"/>
      <c r="D206" s="6">
        <v>30.15</v>
      </c>
      <c r="E206" s="2"/>
      <c r="F206" s="7">
        <f t="shared" si="76"/>
        <v>1.8290846295921623E-4</v>
      </c>
      <c r="G206" s="2"/>
      <c r="H206" s="6">
        <v>172.06</v>
      </c>
      <c r="I206" s="2"/>
      <c r="J206" s="7">
        <f t="shared" si="77"/>
        <v>2.9281131210797924E-4</v>
      </c>
      <c r="K206" s="2"/>
      <c r="L206" s="6">
        <f t="shared" si="78"/>
        <v>-141.91</v>
      </c>
      <c r="M206" s="2"/>
      <c r="N206" s="7">
        <f t="shared" si="79"/>
        <v>-0.82477042892014407</v>
      </c>
      <c r="O206" s="11"/>
      <c r="P206" s="6">
        <v>1554.27</v>
      </c>
      <c r="Q206" s="2"/>
      <c r="R206" s="7">
        <f t="shared" si="80"/>
        <v>1.7736481842872535E-4</v>
      </c>
      <c r="S206" s="2"/>
      <c r="T206" s="6">
        <v>3845.44</v>
      </c>
      <c r="U206" s="2"/>
      <c r="V206" s="7">
        <f t="shared" si="81"/>
        <v>3.6836216256943833E-4</v>
      </c>
      <c r="W206" s="2"/>
      <c r="X206" s="6">
        <f t="shared" si="82"/>
        <v>-2291.17</v>
      </c>
      <c r="Y206" s="2"/>
      <c r="Z206" s="7">
        <f t="shared" si="83"/>
        <v>-0.59581478322376635</v>
      </c>
    </row>
    <row r="207" spans="1:26" s="25" customFormat="1" outlineLevel="1" collapsed="1" x14ac:dyDescent="0.25">
      <c r="A207" s="26"/>
      <c r="B207" s="13" t="str">
        <f>CONCATENATE("     ","Equipment Rental                                  ")</f>
        <v xml:space="preserve">     Equipment Rental                                  </v>
      </c>
      <c r="C207" s="13"/>
      <c r="D207" s="1">
        <f>SUM(OSRRefD22_9x_0)</f>
        <v>1509.51</v>
      </c>
      <c r="E207" s="1"/>
      <c r="F207" s="5">
        <f t="shared" si="76"/>
        <v>9.1576170454914264E-3</v>
      </c>
      <c r="G207" s="1"/>
      <c r="H207" s="1">
        <f>SUM(OSRRefH22_9x_0)</f>
        <v>3431.48</v>
      </c>
      <c r="I207" s="1"/>
      <c r="J207" s="5">
        <f t="shared" si="77"/>
        <v>5.8396847685242854E-3</v>
      </c>
      <c r="K207" s="1"/>
      <c r="L207" s="1">
        <f t="shared" si="78"/>
        <v>-1921.97</v>
      </c>
      <c r="M207" s="1"/>
      <c r="N207" s="5">
        <f t="shared" si="79"/>
        <v>-0.56009943231491954</v>
      </c>
      <c r="O207" s="13"/>
      <c r="P207" s="1">
        <f>SUM(OSRRefP22_9x_0)</f>
        <v>16764.129999999997</v>
      </c>
      <c r="Q207" s="1"/>
      <c r="R207" s="5">
        <f t="shared" si="80"/>
        <v>1.9130311165791959E-3</v>
      </c>
      <c r="S207" s="1"/>
      <c r="T207" s="1">
        <f>SUM(OSRRefT22_9x_0)</f>
        <v>34123.43</v>
      </c>
      <c r="U207" s="1"/>
      <c r="V207" s="5">
        <f t="shared" si="81"/>
        <v>3.2687496018886913E-3</v>
      </c>
      <c r="W207" s="1"/>
      <c r="X207" s="1">
        <f t="shared" si="82"/>
        <v>-17359.300000000003</v>
      </c>
      <c r="Y207" s="1"/>
      <c r="Z207" s="5">
        <f t="shared" si="83"/>
        <v>-0.50872084078300461</v>
      </c>
    </row>
    <row r="208" spans="1:26" s="24" customFormat="1" hidden="1" outlineLevel="2" x14ac:dyDescent="0.25">
      <c r="A208" s="27"/>
      <c r="B208" s="11" t="str">
        <f>CONCATENATE("          ", "6351", " - ", "EQUIPMENT RENTAL")</f>
        <v xml:space="preserve">          6351 - EQUIPMENT RENTAL</v>
      </c>
      <c r="C208" s="11"/>
      <c r="D208" s="6">
        <v>1509.51</v>
      </c>
      <c r="E208" s="2"/>
      <c r="F208" s="7">
        <f t="shared" si="76"/>
        <v>9.1576170454914264E-3</v>
      </c>
      <c r="G208" s="2"/>
      <c r="H208" s="6">
        <v>3431.48</v>
      </c>
      <c r="I208" s="2"/>
      <c r="J208" s="7">
        <f t="shared" si="77"/>
        <v>5.8396847685242854E-3</v>
      </c>
      <c r="K208" s="2"/>
      <c r="L208" s="6">
        <f t="shared" si="78"/>
        <v>-1921.97</v>
      </c>
      <c r="M208" s="2"/>
      <c r="N208" s="7">
        <f t="shared" si="79"/>
        <v>-0.56009943231491954</v>
      </c>
      <c r="O208" s="11"/>
      <c r="P208" s="6">
        <v>16764.129999999997</v>
      </c>
      <c r="Q208" s="2"/>
      <c r="R208" s="7">
        <f t="shared" si="80"/>
        <v>1.9130311165791959E-3</v>
      </c>
      <c r="S208" s="2"/>
      <c r="T208" s="6">
        <v>34123.43</v>
      </c>
      <c r="U208" s="2"/>
      <c r="V208" s="7">
        <f t="shared" si="81"/>
        <v>3.2687496018886913E-3</v>
      </c>
      <c r="W208" s="2"/>
      <c r="X208" s="6">
        <f t="shared" si="82"/>
        <v>-17359.300000000003</v>
      </c>
      <c r="Y208" s="2"/>
      <c r="Z208" s="7">
        <f t="shared" si="83"/>
        <v>-0.50872084078300461</v>
      </c>
    </row>
    <row r="209" spans="1:26" s="25" customFormat="1" outlineLevel="1" collapsed="1" x14ac:dyDescent="0.25">
      <c r="A209" s="26"/>
      <c r="B209" s="13" t="str">
        <f>CONCATENATE("     ","Freight out/Postage                               ")</f>
        <v xml:space="preserve">     Freight out/Postage                               </v>
      </c>
      <c r="C209" s="13"/>
      <c r="D209" s="1">
        <f>SUM(OSRRefD22_10x_0)</f>
        <v>9022.869999999999</v>
      </c>
      <c r="E209" s="1"/>
      <c r="F209" s="5">
        <f t="shared" si="76"/>
        <v>5.4738284682614373E-2</v>
      </c>
      <c r="G209" s="1"/>
      <c r="H209" s="1">
        <f>SUM(OSRRefH22_10x_0)</f>
        <v>6334.17</v>
      </c>
      <c r="I209" s="1"/>
      <c r="J209" s="5">
        <f t="shared" si="77"/>
        <v>1.0779475931738922E-2</v>
      </c>
      <c r="K209" s="1"/>
      <c r="L209" s="1">
        <f t="shared" si="78"/>
        <v>2688.6999999999989</v>
      </c>
      <c r="M209" s="1"/>
      <c r="N209" s="5">
        <f t="shared" si="79"/>
        <v>0.42447550349927438</v>
      </c>
      <c r="O209" s="13"/>
      <c r="P209" s="1">
        <f>SUM(OSRRefP22_10x_0)</f>
        <v>9894.1999999999971</v>
      </c>
      <c r="Q209" s="1"/>
      <c r="R209" s="5">
        <f t="shared" si="80"/>
        <v>1.1290721602408163E-3</v>
      </c>
      <c r="S209" s="1"/>
      <c r="T209" s="1">
        <f>SUM(OSRRefT22_10x_0)</f>
        <v>-4151.070000000007</v>
      </c>
      <c r="U209" s="1"/>
      <c r="V209" s="5">
        <f t="shared" si="81"/>
        <v>-3.9763905357439484E-4</v>
      </c>
      <c r="W209" s="1"/>
      <c r="X209" s="1">
        <f t="shared" si="82"/>
        <v>14045.270000000004</v>
      </c>
      <c r="Y209" s="1"/>
      <c r="Z209" s="5">
        <f t="shared" si="83"/>
        <v>-3.3835300296068196</v>
      </c>
    </row>
    <row r="210" spans="1:26" s="24" customFormat="1" hidden="1" outlineLevel="2" x14ac:dyDescent="0.25">
      <c r="A210" s="27"/>
      <c r="B210" s="11" t="str">
        <f>CONCATENATE("          ", "6305", " - ", "FREIGHT OUT")</f>
        <v xml:space="preserve">          6305 - FREIGHT OUT</v>
      </c>
      <c r="C210" s="11"/>
      <c r="D210" s="6">
        <v>10582.71</v>
      </c>
      <c r="E210" s="2"/>
      <c r="F210" s="7">
        <f t="shared" si="76"/>
        <v>6.4201234495626106E-2</v>
      </c>
      <c r="G210" s="2"/>
      <c r="H210" s="6">
        <v>8426.09</v>
      </c>
      <c r="I210" s="2"/>
      <c r="J210" s="7">
        <f t="shared" si="77"/>
        <v>1.4339500574450324E-2</v>
      </c>
      <c r="K210" s="2"/>
      <c r="L210" s="6">
        <f t="shared" si="78"/>
        <v>2156.619999999999</v>
      </c>
      <c r="M210" s="2"/>
      <c r="N210" s="7">
        <f t="shared" si="79"/>
        <v>0.25594552158830475</v>
      </c>
      <c r="O210" s="11"/>
      <c r="P210" s="6">
        <v>62325.19</v>
      </c>
      <c r="Q210" s="2"/>
      <c r="R210" s="7">
        <f t="shared" si="80"/>
        <v>7.1122108822056712E-3</v>
      </c>
      <c r="S210" s="2"/>
      <c r="T210" s="6">
        <v>67576.2</v>
      </c>
      <c r="U210" s="2"/>
      <c r="V210" s="7">
        <f t="shared" si="81"/>
        <v>6.4732553804570806E-3</v>
      </c>
      <c r="W210" s="2"/>
      <c r="X210" s="6">
        <f t="shared" si="82"/>
        <v>-5251.0099999999948</v>
      </c>
      <c r="Y210" s="2"/>
      <c r="Z210" s="7">
        <f t="shared" si="83"/>
        <v>-7.7705020406592773E-2</v>
      </c>
    </row>
    <row r="211" spans="1:26" s="24" customFormat="1" hidden="1" outlineLevel="2" x14ac:dyDescent="0.25">
      <c r="A211" s="27"/>
      <c r="B211" s="11" t="str">
        <f>CONCATENATE("          ", "6307", " - ", "POSTAGE")</f>
        <v xml:space="preserve">          6307 - POSTAGE</v>
      </c>
      <c r="C211" s="11"/>
      <c r="D211" s="6">
        <v>-1559.84</v>
      </c>
      <c r="E211" s="2"/>
      <c r="F211" s="7">
        <f t="shared" si="76"/>
        <v>-9.4629498130117361E-3</v>
      </c>
      <c r="G211" s="2"/>
      <c r="H211" s="6">
        <v>-2091.92</v>
      </c>
      <c r="I211" s="2"/>
      <c r="J211" s="7">
        <f t="shared" si="77"/>
        <v>-3.5600246427114029E-3</v>
      </c>
      <c r="K211" s="2"/>
      <c r="L211" s="6">
        <f t="shared" si="78"/>
        <v>532.08000000000015</v>
      </c>
      <c r="M211" s="2"/>
      <c r="N211" s="7">
        <f t="shared" si="79"/>
        <v>-0.25435007074840343</v>
      </c>
      <c r="O211" s="11"/>
      <c r="P211" s="6">
        <v>-52430.990000000005</v>
      </c>
      <c r="Q211" s="2"/>
      <c r="R211" s="7">
        <f t="shared" si="80"/>
        <v>-5.9831387219648549E-3</v>
      </c>
      <c r="S211" s="2"/>
      <c r="T211" s="6">
        <v>-71727.27</v>
      </c>
      <c r="U211" s="2"/>
      <c r="V211" s="7">
        <f t="shared" si="81"/>
        <v>-6.8708944340314755E-3</v>
      </c>
      <c r="W211" s="2"/>
      <c r="X211" s="6">
        <f t="shared" si="82"/>
        <v>19296.28</v>
      </c>
      <c r="Y211" s="2"/>
      <c r="Z211" s="7">
        <f t="shared" si="83"/>
        <v>-0.26902292531139133</v>
      </c>
    </row>
    <row r="212" spans="1:26" s="25" customFormat="1" outlineLevel="1" collapsed="1" x14ac:dyDescent="0.25">
      <c r="A212" s="26"/>
      <c r="B212" s="13" t="str">
        <f>CONCATENATE("     ","General                                           ")</f>
        <v xml:space="preserve">     General                                           </v>
      </c>
      <c r="C212" s="13"/>
      <c r="D212" s="1">
        <f>SUM(OSRRefD22_11x_0)</f>
        <v>-660.03</v>
      </c>
      <c r="E212" s="1"/>
      <c r="F212" s="5">
        <f t="shared" ref="F212:F226" si="84">IF(D$12=0,0,D212/D$12)</f>
        <v>-4.0041483518066827E-3</v>
      </c>
      <c r="G212" s="1"/>
      <c r="H212" s="1">
        <f>SUM(OSRRefH22_11x_0)</f>
        <v>10895.62</v>
      </c>
      <c r="I212" s="1"/>
      <c r="J212" s="5">
        <f t="shared" ref="J212:J226" si="85">IF(H$12=0,0,H212/H$12)</f>
        <v>1.8542141046320709E-2</v>
      </c>
      <c r="K212" s="1"/>
      <c r="L212" s="1">
        <f t="shared" ref="L212:L226" si="86">+D212-H212</f>
        <v>-11555.650000000001</v>
      </c>
      <c r="M212" s="1"/>
      <c r="N212" s="5">
        <f t="shared" ref="N212:N226" si="87">IF(H212=0,0,L212/H212)</f>
        <v>-1.0605775531819208</v>
      </c>
      <c r="O212" s="13"/>
      <c r="P212" s="1">
        <f>SUM(OSRRefP22_11x_0)</f>
        <v>-1691.62</v>
      </c>
      <c r="Q212" s="1"/>
      <c r="R212" s="5">
        <f t="shared" ref="R212:R226" si="88">IF(P$12=0,0,P212/P$12)</f>
        <v>-1.9303845158846297E-4</v>
      </c>
      <c r="S212" s="1"/>
      <c r="T212" s="1">
        <f>SUM(OSRRefT22_11x_0)</f>
        <v>25117.34</v>
      </c>
      <c r="U212" s="1"/>
      <c r="V212" s="5">
        <f t="shared" ref="V212:V226" si="89">IF(T$12=0,0,T212/T$12)</f>
        <v>2.4060387576953107E-3</v>
      </c>
      <c r="W212" s="1"/>
      <c r="X212" s="1">
        <f t="shared" ref="X212:X226" si="90">+P212-T212</f>
        <v>-26808.959999999999</v>
      </c>
      <c r="Y212" s="1"/>
      <c r="Z212" s="5">
        <f t="shared" ref="Z212:Z226" si="91">IF(T212=0,0,X212/T212)</f>
        <v>-1.0673486921783915</v>
      </c>
    </row>
    <row r="213" spans="1:26" s="24" customFormat="1" hidden="1" outlineLevel="2" x14ac:dyDescent="0.25">
      <c r="A213" s="27"/>
      <c r="B213" s="11" t="str">
        <f>CONCATENATE("          ", "6279", " - ", "GENERAL EXPENSE")</f>
        <v xml:space="preserve">          6279 - GENERAL EXPENSE</v>
      </c>
      <c r="C213" s="11"/>
      <c r="D213" s="6">
        <v>-660.03</v>
      </c>
      <c r="E213" s="2"/>
      <c r="F213" s="7">
        <f t="shared" si="84"/>
        <v>-4.0041483518066827E-3</v>
      </c>
      <c r="G213" s="2"/>
      <c r="H213" s="6">
        <v>10895.62</v>
      </c>
      <c r="I213" s="2"/>
      <c r="J213" s="7">
        <f t="shared" si="85"/>
        <v>1.8542141046320709E-2</v>
      </c>
      <c r="K213" s="2"/>
      <c r="L213" s="6">
        <f t="shared" si="86"/>
        <v>-11555.650000000001</v>
      </c>
      <c r="M213" s="2"/>
      <c r="N213" s="7">
        <f t="shared" si="87"/>
        <v>-1.0605775531819208</v>
      </c>
      <c r="O213" s="11"/>
      <c r="P213" s="6">
        <v>-1691.62</v>
      </c>
      <c r="Q213" s="2"/>
      <c r="R213" s="7">
        <f t="shared" si="88"/>
        <v>-1.9303845158846297E-4</v>
      </c>
      <c r="S213" s="2"/>
      <c r="T213" s="6">
        <v>25117.34</v>
      </c>
      <c r="U213" s="2"/>
      <c r="V213" s="7">
        <f t="shared" si="89"/>
        <v>2.4060387576953107E-3</v>
      </c>
      <c r="W213" s="2"/>
      <c r="X213" s="6">
        <f t="shared" si="90"/>
        <v>-26808.959999999999</v>
      </c>
      <c r="Y213" s="2"/>
      <c r="Z213" s="7">
        <f t="shared" si="91"/>
        <v>-1.0673486921783915</v>
      </c>
    </row>
    <row r="214" spans="1:26" s="25" customFormat="1" outlineLevel="1" collapsed="1" x14ac:dyDescent="0.25">
      <c r="A214" s="26"/>
      <c r="B214" s="13" t="str">
        <f>CONCATENATE("     ","Insurance                                         ")</f>
        <v xml:space="preserve">     Insurance                                         </v>
      </c>
      <c r="C214" s="13"/>
      <c r="D214" s="1">
        <f>SUM(OSRRefD22_12x_0)</f>
        <v>4044.74</v>
      </c>
      <c r="E214" s="1"/>
      <c r="F214" s="5">
        <f t="shared" si="84"/>
        <v>2.4537883133322065E-2</v>
      </c>
      <c r="G214" s="1"/>
      <c r="H214" s="1">
        <f>SUM(OSRRefH22_12x_0)</f>
        <v>3809.97</v>
      </c>
      <c r="I214" s="1"/>
      <c r="J214" s="5">
        <f t="shared" si="85"/>
        <v>6.4837981796584771E-3</v>
      </c>
      <c r="K214" s="1"/>
      <c r="L214" s="1">
        <f t="shared" si="86"/>
        <v>234.76999999999998</v>
      </c>
      <c r="M214" s="1"/>
      <c r="N214" s="5">
        <f t="shared" si="87"/>
        <v>6.1619907768302638E-2</v>
      </c>
      <c r="O214" s="13"/>
      <c r="P214" s="1">
        <f>SUM(OSRRefP22_12x_0)</f>
        <v>40447.4</v>
      </c>
      <c r="Q214" s="1"/>
      <c r="R214" s="5">
        <f t="shared" si="88"/>
        <v>4.6156367664009637E-3</v>
      </c>
      <c r="S214" s="1"/>
      <c r="T214" s="1">
        <f>SUM(OSRRefT22_12x_0)</f>
        <v>31310.929999999997</v>
      </c>
      <c r="U214" s="1"/>
      <c r="V214" s="5">
        <f t="shared" si="89"/>
        <v>2.9993347671164552E-3</v>
      </c>
      <c r="W214" s="1"/>
      <c r="X214" s="1">
        <f t="shared" si="90"/>
        <v>9136.4700000000048</v>
      </c>
      <c r="Y214" s="1"/>
      <c r="Z214" s="5">
        <f t="shared" si="91"/>
        <v>0.29179810372927301</v>
      </c>
    </row>
    <row r="215" spans="1:26" s="24" customFormat="1" hidden="1" outlineLevel="2" x14ac:dyDescent="0.25">
      <c r="A215" s="27"/>
      <c r="B215" s="11" t="str">
        <f>CONCATENATE("          ", "6314", " - ", "LIABILITY INSURANCE")</f>
        <v xml:space="preserve">          6314 - LIABILITY INSURANCE</v>
      </c>
      <c r="C215" s="11"/>
      <c r="D215" s="6">
        <v>4044.74</v>
      </c>
      <c r="E215" s="2"/>
      <c r="F215" s="7">
        <f t="shared" si="84"/>
        <v>2.4537883133322065E-2</v>
      </c>
      <c r="G215" s="2"/>
      <c r="H215" s="6">
        <v>3809.97</v>
      </c>
      <c r="I215" s="2"/>
      <c r="J215" s="7">
        <f t="shared" si="85"/>
        <v>6.4837981796584771E-3</v>
      </c>
      <c r="K215" s="2"/>
      <c r="L215" s="6">
        <f t="shared" si="86"/>
        <v>234.76999999999998</v>
      </c>
      <c r="M215" s="2"/>
      <c r="N215" s="7">
        <f t="shared" si="87"/>
        <v>6.1619907768302638E-2</v>
      </c>
      <c r="O215" s="11"/>
      <c r="P215" s="6">
        <v>40447.4</v>
      </c>
      <c r="Q215" s="2"/>
      <c r="R215" s="7">
        <f t="shared" si="88"/>
        <v>4.6156367664009637E-3</v>
      </c>
      <c r="S215" s="2"/>
      <c r="T215" s="6">
        <v>31310.929999999997</v>
      </c>
      <c r="U215" s="2"/>
      <c r="V215" s="7">
        <f t="shared" si="89"/>
        <v>2.9993347671164552E-3</v>
      </c>
      <c r="W215" s="2"/>
      <c r="X215" s="6">
        <f t="shared" si="90"/>
        <v>9136.4700000000048</v>
      </c>
      <c r="Y215" s="2"/>
      <c r="Z215" s="7">
        <f t="shared" si="91"/>
        <v>0.29179810372927301</v>
      </c>
    </row>
    <row r="216" spans="1:26" s="25" customFormat="1" outlineLevel="1" collapsed="1" x14ac:dyDescent="0.25">
      <c r="A216" s="26"/>
      <c r="B216" s="13" t="str">
        <f>CONCATENATE("     ","Inventory Adjustment                              ")</f>
        <v xml:space="preserve">     Inventory Adjustment                              </v>
      </c>
      <c r="C216" s="13"/>
      <c r="D216" s="1">
        <f>SUM(OSRRefD22_13x_0)</f>
        <v>4550</v>
      </c>
      <c r="E216" s="1"/>
      <c r="F216" s="5">
        <f t="shared" si="84"/>
        <v>2.760310137527144E-2</v>
      </c>
      <c r="G216" s="1"/>
      <c r="H216" s="1">
        <f>SUM(OSRRefH22_13x_0)</f>
        <v>9050</v>
      </c>
      <c r="I216" s="1"/>
      <c r="J216" s="5">
        <f t="shared" si="85"/>
        <v>1.5401269176898828E-2</v>
      </c>
      <c r="K216" s="1"/>
      <c r="L216" s="1">
        <f t="shared" si="86"/>
        <v>-4500</v>
      </c>
      <c r="M216" s="1"/>
      <c r="N216" s="5">
        <f t="shared" si="87"/>
        <v>-0.49723756906077349</v>
      </c>
      <c r="O216" s="13"/>
      <c r="P216" s="1">
        <f>SUM(OSRRefP22_13x_0)</f>
        <v>48800</v>
      </c>
      <c r="Q216" s="1"/>
      <c r="R216" s="5">
        <f t="shared" si="88"/>
        <v>5.5687899395354713E-3</v>
      </c>
      <c r="S216" s="1"/>
      <c r="T216" s="1">
        <f>SUM(OSRRefT22_13x_0)</f>
        <v>87700</v>
      </c>
      <c r="U216" s="1"/>
      <c r="V216" s="5">
        <f t="shared" si="89"/>
        <v>8.4009532478311298E-3</v>
      </c>
      <c r="W216" s="1"/>
      <c r="X216" s="1">
        <f t="shared" si="90"/>
        <v>-38900</v>
      </c>
      <c r="Y216" s="1"/>
      <c r="Z216" s="5">
        <f t="shared" si="91"/>
        <v>-0.44355758266818701</v>
      </c>
    </row>
    <row r="217" spans="1:26" s="24" customFormat="1" hidden="1" outlineLevel="2" x14ac:dyDescent="0.25">
      <c r="A217" s="27"/>
      <c r="B217" s="11" t="str">
        <f>CONCATENATE("          ", "6408", " - ", "INVENTORY ADJUSTMENT")</f>
        <v xml:space="preserve">          6408 - INVENTORY ADJUSTMENT</v>
      </c>
      <c r="C217" s="11"/>
      <c r="D217" s="6">
        <v>4550</v>
      </c>
      <c r="E217" s="2"/>
      <c r="F217" s="7">
        <f t="shared" si="84"/>
        <v>2.760310137527144E-2</v>
      </c>
      <c r="G217" s="2"/>
      <c r="H217" s="6">
        <v>9050</v>
      </c>
      <c r="I217" s="2"/>
      <c r="J217" s="7">
        <f t="shared" si="85"/>
        <v>1.5401269176898828E-2</v>
      </c>
      <c r="K217" s="2"/>
      <c r="L217" s="6">
        <f t="shared" si="86"/>
        <v>-4500</v>
      </c>
      <c r="M217" s="2"/>
      <c r="N217" s="7">
        <f t="shared" si="87"/>
        <v>-0.49723756906077349</v>
      </c>
      <c r="O217" s="11"/>
      <c r="P217" s="6">
        <v>48800</v>
      </c>
      <c r="Q217" s="2"/>
      <c r="R217" s="7">
        <f t="shared" si="88"/>
        <v>5.5687899395354713E-3</v>
      </c>
      <c r="S217" s="2"/>
      <c r="T217" s="6">
        <v>87700</v>
      </c>
      <c r="U217" s="2"/>
      <c r="V217" s="7">
        <f t="shared" si="89"/>
        <v>8.4009532478311298E-3</v>
      </c>
      <c r="W217" s="2"/>
      <c r="X217" s="6">
        <f t="shared" si="90"/>
        <v>-38900</v>
      </c>
      <c r="Y217" s="2"/>
      <c r="Z217" s="7">
        <f t="shared" si="91"/>
        <v>-0.44355758266818701</v>
      </c>
    </row>
    <row r="218" spans="1:26" s="25" customFormat="1" outlineLevel="1" collapsed="1" x14ac:dyDescent="0.25">
      <c r="A218" s="26"/>
      <c r="B218" s="13" t="str">
        <f>CONCATENATE("     ","Professional Services                             ")</f>
        <v xml:space="preserve">     Professional Services                             </v>
      </c>
      <c r="C218" s="13"/>
      <c r="D218" s="1">
        <f>SUM(OSRRefD22_14x_0)</f>
        <v>2930</v>
      </c>
      <c r="E218" s="1"/>
      <c r="F218" s="5">
        <f t="shared" si="84"/>
        <v>1.7775183962537432E-2</v>
      </c>
      <c r="G218" s="1"/>
      <c r="H218" s="1">
        <f>SUM(OSRRefH22_14x_0)</f>
        <v>0</v>
      </c>
      <c r="I218" s="1"/>
      <c r="J218" s="5">
        <f t="shared" si="85"/>
        <v>0</v>
      </c>
      <c r="K218" s="1"/>
      <c r="L218" s="1">
        <f t="shared" si="86"/>
        <v>2930</v>
      </c>
      <c r="M218" s="1"/>
      <c r="N218" s="5">
        <f t="shared" si="87"/>
        <v>0</v>
      </c>
      <c r="O218" s="13"/>
      <c r="P218" s="1">
        <f>SUM(OSRRefP22_14x_0)</f>
        <v>9129.56</v>
      </c>
      <c r="Q218" s="1"/>
      <c r="R218" s="5">
        <f t="shared" si="88"/>
        <v>1.0418156123029806E-3</v>
      </c>
      <c r="S218" s="1"/>
      <c r="T218" s="1">
        <f>SUM(OSRRefT22_14x_0)</f>
        <v>8276.43</v>
      </c>
      <c r="U218" s="1"/>
      <c r="V218" s="5">
        <f t="shared" si="89"/>
        <v>7.9281529633919048E-4</v>
      </c>
      <c r="W218" s="1"/>
      <c r="X218" s="1">
        <f t="shared" si="90"/>
        <v>853.1299999999992</v>
      </c>
      <c r="Y218" s="1"/>
      <c r="Z218" s="5">
        <f t="shared" si="91"/>
        <v>0.10307946783818617</v>
      </c>
    </row>
    <row r="219" spans="1:26" s="24" customFormat="1" hidden="1" outlineLevel="2" x14ac:dyDescent="0.25">
      <c r="A219" s="27"/>
      <c r="B219" s="11" t="str">
        <f>CONCATENATE("          ", "6336", " - ", "PROFESSIONAL SERVICES")</f>
        <v xml:space="preserve">          6336 - PROFESSIONAL SERVICES</v>
      </c>
      <c r="C219" s="11"/>
      <c r="D219" s="6">
        <v>2930</v>
      </c>
      <c r="E219" s="2"/>
      <c r="F219" s="7">
        <f t="shared" si="84"/>
        <v>1.7775183962537432E-2</v>
      </c>
      <c r="G219" s="2"/>
      <c r="H219" s="6"/>
      <c r="I219" s="2"/>
      <c r="J219" s="7">
        <f t="shared" si="85"/>
        <v>0</v>
      </c>
      <c r="K219" s="2"/>
      <c r="L219" s="6">
        <f t="shared" si="86"/>
        <v>2930</v>
      </c>
      <c r="M219" s="2"/>
      <c r="N219" s="7">
        <f t="shared" si="87"/>
        <v>0</v>
      </c>
      <c r="O219" s="11"/>
      <c r="P219" s="6">
        <v>9129.56</v>
      </c>
      <c r="Q219" s="2"/>
      <c r="R219" s="7">
        <f t="shared" si="88"/>
        <v>1.0418156123029806E-3</v>
      </c>
      <c r="S219" s="2"/>
      <c r="T219" s="6">
        <v>8276.43</v>
      </c>
      <c r="U219" s="2"/>
      <c r="V219" s="7">
        <f t="shared" si="89"/>
        <v>7.9281529633919048E-4</v>
      </c>
      <c r="W219" s="2"/>
      <c r="X219" s="6">
        <f t="shared" si="90"/>
        <v>853.1299999999992</v>
      </c>
      <c r="Y219" s="2"/>
      <c r="Z219" s="7">
        <f t="shared" si="91"/>
        <v>0.10307946783818617</v>
      </c>
    </row>
    <row r="220" spans="1:26" s="25" customFormat="1" outlineLevel="1" collapsed="1" x14ac:dyDescent="0.25">
      <c r="A220" s="26"/>
      <c r="B220" s="13" t="str">
        <f>CONCATENATE("     ","Rent                                              ")</f>
        <v xml:space="preserve">     Rent                                              </v>
      </c>
      <c r="C220" s="13"/>
      <c r="D220" s="1">
        <f>SUM(OSRRefD22_15x_0)</f>
        <v>6100</v>
      </c>
      <c r="E220" s="1"/>
      <c r="F220" s="5">
        <f t="shared" si="84"/>
        <v>3.7006355689924351E-2</v>
      </c>
      <c r="G220" s="1"/>
      <c r="H220" s="1">
        <f>SUM(OSRRefH22_15x_0)</f>
        <v>6100</v>
      </c>
      <c r="I220" s="1"/>
      <c r="J220" s="5">
        <f t="shared" si="85"/>
        <v>1.0380965964539541E-2</v>
      </c>
      <c r="K220" s="1"/>
      <c r="L220" s="1">
        <f t="shared" si="86"/>
        <v>0</v>
      </c>
      <c r="M220" s="1"/>
      <c r="N220" s="5">
        <f t="shared" si="87"/>
        <v>0</v>
      </c>
      <c r="O220" s="13"/>
      <c r="P220" s="1">
        <f>SUM(OSRRefP22_15x_0)</f>
        <v>62600</v>
      </c>
      <c r="Q220" s="1"/>
      <c r="R220" s="5">
        <f t="shared" si="88"/>
        <v>7.14357070112542E-3</v>
      </c>
      <c r="S220" s="1"/>
      <c r="T220" s="1">
        <f>SUM(OSRRefT22_15x_0)</f>
        <v>61901.080000000009</v>
      </c>
      <c r="U220" s="1"/>
      <c r="V220" s="5">
        <f t="shared" si="89"/>
        <v>5.9296246188170433E-3</v>
      </c>
      <c r="W220" s="1"/>
      <c r="X220" s="1">
        <f t="shared" si="90"/>
        <v>698.91999999999098</v>
      </c>
      <c r="Y220" s="1"/>
      <c r="Z220" s="5">
        <f t="shared" si="91"/>
        <v>1.1290917702889688E-2</v>
      </c>
    </row>
    <row r="221" spans="1:26" s="24" customFormat="1" hidden="1" outlineLevel="2" x14ac:dyDescent="0.25">
      <c r="A221" s="27"/>
      <c r="B221" s="11" t="str">
        <f>CONCATENATE("          ", "6273", " - ", "RENT")</f>
        <v xml:space="preserve">          6273 - RENT</v>
      </c>
      <c r="C221" s="11"/>
      <c r="D221" s="6">
        <v>6100</v>
      </c>
      <c r="E221" s="2"/>
      <c r="F221" s="7">
        <f t="shared" si="84"/>
        <v>3.7006355689924351E-2</v>
      </c>
      <c r="G221" s="2"/>
      <c r="H221" s="6">
        <v>6100</v>
      </c>
      <c r="I221" s="2"/>
      <c r="J221" s="7">
        <f t="shared" si="85"/>
        <v>1.0380965964539541E-2</v>
      </c>
      <c r="K221" s="2"/>
      <c r="L221" s="6">
        <f t="shared" si="86"/>
        <v>0</v>
      </c>
      <c r="M221" s="2"/>
      <c r="N221" s="7">
        <f t="shared" si="87"/>
        <v>0</v>
      </c>
      <c r="O221" s="11"/>
      <c r="P221" s="6">
        <v>62600</v>
      </c>
      <c r="Q221" s="2"/>
      <c r="R221" s="7">
        <f t="shared" si="88"/>
        <v>7.14357070112542E-3</v>
      </c>
      <c r="S221" s="2"/>
      <c r="T221" s="6">
        <v>61901.080000000009</v>
      </c>
      <c r="U221" s="2"/>
      <c r="V221" s="7">
        <f t="shared" si="89"/>
        <v>5.9296246188170433E-3</v>
      </c>
      <c r="W221" s="2"/>
      <c r="X221" s="6">
        <f t="shared" si="90"/>
        <v>698.91999999999098</v>
      </c>
      <c r="Y221" s="2"/>
      <c r="Z221" s="7">
        <f t="shared" si="91"/>
        <v>1.1290917702889688E-2</v>
      </c>
    </row>
    <row r="222" spans="1:26" s="25" customFormat="1" outlineLevel="1" collapsed="1" x14ac:dyDescent="0.25">
      <c r="A222" s="26"/>
      <c r="B222" s="13" t="str">
        <f>CONCATENATE("     ","Repair and Maintenance                            ")</f>
        <v xml:space="preserve">     Repair and Maintenance                            </v>
      </c>
      <c r="C222" s="13"/>
      <c r="D222" s="1">
        <f>SUM(OSRRefD22_16x_0)</f>
        <v>7296.9100000000008</v>
      </c>
      <c r="E222" s="1"/>
      <c r="F222" s="5">
        <f t="shared" si="84"/>
        <v>4.4267548671699332E-2</v>
      </c>
      <c r="G222" s="1"/>
      <c r="H222" s="1">
        <f>SUM(OSRRefH22_16x_0)</f>
        <v>10300.529999999999</v>
      </c>
      <c r="I222" s="1"/>
      <c r="J222" s="5">
        <f t="shared" si="85"/>
        <v>1.7529418253560403E-2</v>
      </c>
      <c r="K222" s="1"/>
      <c r="L222" s="1">
        <f t="shared" si="86"/>
        <v>-3003.6199999999981</v>
      </c>
      <c r="M222" s="1"/>
      <c r="N222" s="5">
        <f t="shared" si="87"/>
        <v>-0.29159858764548996</v>
      </c>
      <c r="O222" s="13"/>
      <c r="P222" s="1">
        <f>SUM(OSRRefP22_16x_0)</f>
        <v>128354.02</v>
      </c>
      <c r="Q222" s="1"/>
      <c r="R222" s="5">
        <f t="shared" si="88"/>
        <v>1.4647060968748661E-2</v>
      </c>
      <c r="S222" s="1"/>
      <c r="T222" s="1">
        <f>SUM(OSRRefT22_16x_0)</f>
        <v>156156.29999999999</v>
      </c>
      <c r="U222" s="1"/>
      <c r="V222" s="5">
        <f t="shared" si="89"/>
        <v>1.4958515115784403E-2</v>
      </c>
      <c r="W222" s="1"/>
      <c r="X222" s="1">
        <f t="shared" si="90"/>
        <v>-27802.279999999984</v>
      </c>
      <c r="Y222" s="1"/>
      <c r="Z222" s="5">
        <f t="shared" si="91"/>
        <v>-0.17804135984267036</v>
      </c>
    </row>
    <row r="223" spans="1:26" s="24" customFormat="1" hidden="1" outlineLevel="2" x14ac:dyDescent="0.25">
      <c r="A223" s="27"/>
      <c r="B223" s="11" t="str">
        <f>CONCATENATE("          ", "6371", " - ", "COMPUTER SOFTWARE MAINTENANCE")</f>
        <v xml:space="preserve">          6371 - COMPUTER SOFTWARE MAINTENANCE</v>
      </c>
      <c r="C223" s="11"/>
      <c r="D223" s="6">
        <v>631.04999999999995</v>
      </c>
      <c r="E223" s="2"/>
      <c r="F223" s="7">
        <f t="shared" si="84"/>
        <v>3.8283378292011077E-3</v>
      </c>
      <c r="G223" s="2"/>
      <c r="H223" s="6">
        <v>601</v>
      </c>
      <c r="I223" s="2"/>
      <c r="J223" s="7">
        <f t="shared" si="85"/>
        <v>1.0227804171620105E-3</v>
      </c>
      <c r="K223" s="2"/>
      <c r="L223" s="6">
        <f t="shared" si="86"/>
        <v>30.049999999999955</v>
      </c>
      <c r="M223" s="2"/>
      <c r="N223" s="7">
        <f t="shared" si="87"/>
        <v>4.9999999999999926E-2</v>
      </c>
      <c r="O223" s="11"/>
      <c r="P223" s="6">
        <v>16417.5</v>
      </c>
      <c r="Q223" s="2"/>
      <c r="R223" s="7">
        <f t="shared" si="88"/>
        <v>1.8734755908263031E-3</v>
      </c>
      <c r="S223" s="2"/>
      <c r="T223" s="6">
        <v>46290.83</v>
      </c>
      <c r="U223" s="2"/>
      <c r="V223" s="7">
        <f t="shared" si="89"/>
        <v>4.4342884678825398E-3</v>
      </c>
      <c r="W223" s="2"/>
      <c r="X223" s="6">
        <f t="shared" si="90"/>
        <v>-29873.33</v>
      </c>
      <c r="Y223" s="2"/>
      <c r="Z223" s="7">
        <f t="shared" si="91"/>
        <v>-0.64534012459919166</v>
      </c>
    </row>
    <row r="224" spans="1:26" s="24" customFormat="1" hidden="1" outlineLevel="2" x14ac:dyDescent="0.25">
      <c r="A224" s="27"/>
      <c r="B224" s="11" t="str">
        <f>CONCATENATE("          ", "6372", " - ", "COMPUTER HARDWARE MAINTENANCE")</f>
        <v xml:space="preserve">          6372 - COMPUTER HARDWARE MAINTENANCE</v>
      </c>
      <c r="C224" s="11"/>
      <c r="D224" s="6"/>
      <c r="E224" s="2"/>
      <c r="F224" s="7">
        <f t="shared" si="84"/>
        <v>0</v>
      </c>
      <c r="G224" s="2"/>
      <c r="H224" s="6"/>
      <c r="I224" s="2"/>
      <c r="J224" s="7">
        <f t="shared" si="85"/>
        <v>0</v>
      </c>
      <c r="K224" s="2"/>
      <c r="L224" s="6">
        <f t="shared" si="86"/>
        <v>0</v>
      </c>
      <c r="M224" s="2"/>
      <c r="N224" s="7">
        <f t="shared" si="87"/>
        <v>0</v>
      </c>
      <c r="O224" s="11"/>
      <c r="P224" s="6">
        <v>52.32</v>
      </c>
      <c r="Q224" s="2"/>
      <c r="R224" s="7">
        <f t="shared" si="88"/>
        <v>5.9704731482888495E-6</v>
      </c>
      <c r="S224" s="2"/>
      <c r="T224" s="6">
        <v>51.79</v>
      </c>
      <c r="U224" s="2"/>
      <c r="V224" s="7">
        <f t="shared" si="89"/>
        <v>4.9610646374592267E-6</v>
      </c>
      <c r="W224" s="2"/>
      <c r="X224" s="6">
        <f t="shared" si="90"/>
        <v>0.53000000000000114</v>
      </c>
      <c r="Y224" s="2"/>
      <c r="Z224" s="7">
        <f t="shared" si="91"/>
        <v>1.0233635837034199E-2</v>
      </c>
    </row>
    <row r="225" spans="1:26" s="24" customFormat="1" hidden="1" outlineLevel="2" x14ac:dyDescent="0.25">
      <c r="A225" s="27"/>
      <c r="B225" s="11" t="str">
        <f>CONCATENATE("          ", "6373", " - ", "MAINTENANCE CONTRACTS")</f>
        <v xml:space="preserve">          6373 - MAINTENANCE CONTRACTS</v>
      </c>
      <c r="C225" s="11"/>
      <c r="D225" s="6">
        <v>5481.56</v>
      </c>
      <c r="E225" s="2"/>
      <c r="F225" s="7">
        <f t="shared" si="84"/>
        <v>3.3254517884534707E-2</v>
      </c>
      <c r="G225" s="2"/>
      <c r="H225" s="6">
        <v>6844.45</v>
      </c>
      <c r="I225" s="2"/>
      <c r="J225" s="7">
        <f t="shared" si="85"/>
        <v>1.164786926163814E-2</v>
      </c>
      <c r="K225" s="2"/>
      <c r="L225" s="6">
        <f t="shared" si="86"/>
        <v>-1362.8899999999994</v>
      </c>
      <c r="M225" s="2"/>
      <c r="N225" s="7">
        <f t="shared" si="87"/>
        <v>-0.19912337733492091</v>
      </c>
      <c r="O225" s="11"/>
      <c r="P225" s="6">
        <v>74930.12</v>
      </c>
      <c r="Q225" s="2"/>
      <c r="R225" s="7">
        <f t="shared" si="88"/>
        <v>8.5506167709874098E-3</v>
      </c>
      <c r="S225" s="2"/>
      <c r="T225" s="6">
        <v>81891.849999999991</v>
      </c>
      <c r="U225" s="2"/>
      <c r="V225" s="7">
        <f t="shared" si="89"/>
        <v>7.8445792842462905E-3</v>
      </c>
      <c r="W225" s="2"/>
      <c r="X225" s="6">
        <f t="shared" si="90"/>
        <v>-6961.7299999999959</v>
      </c>
      <c r="Y225" s="2"/>
      <c r="Z225" s="7">
        <f t="shared" si="91"/>
        <v>-8.5011267910054505E-2</v>
      </c>
    </row>
    <row r="226" spans="1:26" s="24" customFormat="1" hidden="1" outlineLevel="2" x14ac:dyDescent="0.25">
      <c r="A226" s="27"/>
      <c r="B226" s="11" t="str">
        <f>CONCATENATE("          ", "6375", " - ", "OUTSIDE REPAIRS &amp; MAINTENANCE")</f>
        <v xml:space="preserve">          6375 - OUTSIDE REPAIRS &amp; MAINTENANCE</v>
      </c>
      <c r="C226" s="11"/>
      <c r="D226" s="6">
        <v>1184.3</v>
      </c>
      <c r="E226" s="2"/>
      <c r="F226" s="7">
        <f t="shared" si="84"/>
        <v>7.1846929579635092E-3</v>
      </c>
      <c r="G226" s="2"/>
      <c r="H226" s="6">
        <v>2855.08</v>
      </c>
      <c r="I226" s="2"/>
      <c r="J226" s="7">
        <f t="shared" si="85"/>
        <v>4.8587685747602544E-3</v>
      </c>
      <c r="K226" s="2"/>
      <c r="L226" s="6">
        <f t="shared" si="86"/>
        <v>-1670.78</v>
      </c>
      <c r="M226" s="2"/>
      <c r="N226" s="7">
        <f t="shared" si="87"/>
        <v>-0.58519551115905688</v>
      </c>
      <c r="O226" s="11"/>
      <c r="P226" s="6">
        <v>36954.080000000002</v>
      </c>
      <c r="Q226" s="2"/>
      <c r="R226" s="7">
        <f t="shared" si="88"/>
        <v>4.2169981337866593E-3</v>
      </c>
      <c r="S226" s="2"/>
      <c r="T226" s="6">
        <v>27921.83</v>
      </c>
      <c r="U226" s="2"/>
      <c r="V226" s="7">
        <f t="shared" si="89"/>
        <v>2.6746862990181149E-3</v>
      </c>
      <c r="W226" s="2"/>
      <c r="X226" s="6">
        <f t="shared" si="90"/>
        <v>9032.25</v>
      </c>
      <c r="Y226" s="2"/>
      <c r="Z226" s="7">
        <f t="shared" si="91"/>
        <v>0.32348345362750219</v>
      </c>
    </row>
    <row r="227" spans="1:26" s="25" customFormat="1" outlineLevel="1" collapsed="1" x14ac:dyDescent="0.25">
      <c r="A227" s="26"/>
      <c r="B227" s="13" t="str">
        <f>CONCATENATE("     ","Royalty &amp; Commissions                             ")</f>
        <v xml:space="preserve">     Royalty &amp; Commissions                             </v>
      </c>
      <c r="C227" s="13"/>
      <c r="D227" s="1">
        <f>SUM(OSRRefD22_17x_0)</f>
        <v>20337.45</v>
      </c>
      <c r="E227" s="1"/>
      <c r="F227" s="5">
        <f t="shared" ref="F227:F230" si="92">IF(D$12=0,0,D227/D$12)</f>
        <v>0.12337949320099213</v>
      </c>
      <c r="G227" s="1"/>
      <c r="H227" s="1">
        <f>SUM(OSRRefH22_17x_0)</f>
        <v>32462.28</v>
      </c>
      <c r="I227" s="1"/>
      <c r="J227" s="5">
        <f t="shared" ref="J227:J230" si="93">IF(H$12=0,0,H227/H$12)</f>
        <v>5.5244233411697152E-2</v>
      </c>
      <c r="K227" s="1"/>
      <c r="L227" s="1">
        <f t="shared" ref="L227:L230" si="94">+D227-H227</f>
        <v>-12124.829999999998</v>
      </c>
      <c r="M227" s="1"/>
      <c r="N227" s="5">
        <f t="shared" ref="N227:N230" si="95">IF(H227=0,0,L227/H227)</f>
        <v>-0.37350518817532219</v>
      </c>
      <c r="O227" s="13"/>
      <c r="P227" s="1">
        <f>SUM(OSRRefP22_17x_0)</f>
        <v>123449.40000000001</v>
      </c>
      <c r="Q227" s="1"/>
      <c r="R227" s="5">
        <f t="shared" ref="R227:R230" si="96">IF(P$12=0,0,P227/P$12)</f>
        <v>1.40873724746248E-2</v>
      </c>
      <c r="S227" s="1"/>
      <c r="T227" s="1">
        <f>SUM(OSRRefT22_17x_0)</f>
        <v>157849.09999999998</v>
      </c>
      <c r="U227" s="1"/>
      <c r="V227" s="5">
        <f t="shared" ref="V227:V230" si="97">IF(T$12=0,0,T227/T$12)</f>
        <v>1.5120671713936381E-2</v>
      </c>
      <c r="W227" s="1"/>
      <c r="X227" s="1">
        <f t="shared" ref="X227:X230" si="98">+P227-T227</f>
        <v>-34399.699999999968</v>
      </c>
      <c r="Y227" s="1"/>
      <c r="Z227" s="5">
        <f t="shared" ref="Z227:Z230" si="99">IF(T227=0,0,X227/T227)</f>
        <v>-0.21792775505213507</v>
      </c>
    </row>
    <row r="228" spans="1:26" s="24" customFormat="1" hidden="1" outlineLevel="2" x14ac:dyDescent="0.25">
      <c r="A228" s="27"/>
      <c r="B228" s="11" t="str">
        <f>CONCATENATE("          ", "6253", " - ", "ROYALTY DUE ATHLETICS-LRG")</f>
        <v xml:space="preserve">          6253 - ROYALTY DUE ATHLETICS-LRG</v>
      </c>
      <c r="C228" s="11"/>
      <c r="D228" s="6">
        <v>14555.51</v>
      </c>
      <c r="E228" s="2"/>
      <c r="F228" s="7">
        <f t="shared" si="92"/>
        <v>8.8302685296434549E-2</v>
      </c>
      <c r="G228" s="2"/>
      <c r="H228" s="6">
        <v>6150.32</v>
      </c>
      <c r="I228" s="2"/>
      <c r="J228" s="7">
        <f t="shared" si="93"/>
        <v>1.0466600424758495E-2</v>
      </c>
      <c r="K228" s="2"/>
      <c r="L228" s="6">
        <f t="shared" si="94"/>
        <v>8405.19</v>
      </c>
      <c r="M228" s="2"/>
      <c r="N228" s="7">
        <f t="shared" si="95"/>
        <v>1.3666264519569715</v>
      </c>
      <c r="O228" s="11"/>
      <c r="P228" s="6">
        <v>32870.44</v>
      </c>
      <c r="Q228" s="2"/>
      <c r="R228" s="7">
        <f t="shared" si="96"/>
        <v>3.7509954012316465E-3</v>
      </c>
      <c r="S228" s="2"/>
      <c r="T228" s="6">
        <v>41365.990000000005</v>
      </c>
      <c r="U228" s="2"/>
      <c r="V228" s="7">
        <f t="shared" si="97"/>
        <v>3.9625284839253146E-3</v>
      </c>
      <c r="W228" s="2"/>
      <c r="X228" s="6">
        <f t="shared" si="98"/>
        <v>-8495.5500000000029</v>
      </c>
      <c r="Y228" s="2"/>
      <c r="Z228" s="7">
        <f t="shared" si="99"/>
        <v>-0.20537523700025073</v>
      </c>
    </row>
    <row r="229" spans="1:26" s="24" customFormat="1" hidden="1" outlineLevel="2" x14ac:dyDescent="0.25">
      <c r="A229" s="27"/>
      <c r="B229" s="11" t="str">
        <f>CONCATENATE("          ", "6254", " - ", "ROYALTY &amp; COMMISSIONS")</f>
        <v xml:space="preserve">          6254 - ROYALTY &amp; COMMISSIONS</v>
      </c>
      <c r="C229" s="11"/>
      <c r="D229" s="6"/>
      <c r="E229" s="2"/>
      <c r="F229" s="7">
        <f t="shared" si="92"/>
        <v>0</v>
      </c>
      <c r="G229" s="2"/>
      <c r="H229" s="6">
        <v>2754</v>
      </c>
      <c r="I229" s="2"/>
      <c r="J229" s="7">
        <f t="shared" si="93"/>
        <v>4.686750863334737E-3</v>
      </c>
      <c r="K229" s="2"/>
      <c r="L229" s="6">
        <f t="shared" si="94"/>
        <v>-2754</v>
      </c>
      <c r="M229" s="2"/>
      <c r="N229" s="7">
        <f t="shared" si="95"/>
        <v>-1</v>
      </c>
      <c r="O229" s="11"/>
      <c r="P229" s="6">
        <v>7971.22</v>
      </c>
      <c r="Q229" s="2"/>
      <c r="R229" s="7">
        <f t="shared" si="96"/>
        <v>9.0963216684065453E-4</v>
      </c>
      <c r="S229" s="2"/>
      <c r="T229" s="6">
        <v>13644.2</v>
      </c>
      <c r="U229" s="2"/>
      <c r="V229" s="7">
        <f t="shared" si="97"/>
        <v>1.3070044048353194E-3</v>
      </c>
      <c r="W229" s="2"/>
      <c r="X229" s="6">
        <f t="shared" si="98"/>
        <v>-5672.9800000000005</v>
      </c>
      <c r="Y229" s="2"/>
      <c r="Z229" s="7">
        <f t="shared" si="99"/>
        <v>-0.41577959865730496</v>
      </c>
    </row>
    <row r="230" spans="1:26" s="24" customFormat="1" hidden="1" outlineLevel="2" x14ac:dyDescent="0.25">
      <c r="A230" s="27"/>
      <c r="B230" s="11" t="str">
        <f>CONCATENATE("          ", "6259", " - ", "ROYALTY &amp; COMMISSIONS")</f>
        <v xml:space="preserve">          6259 - ROYALTY &amp; COMMISSIONS</v>
      </c>
      <c r="C230" s="11"/>
      <c r="D230" s="6">
        <v>5781.94</v>
      </c>
      <c r="E230" s="2"/>
      <c r="F230" s="7">
        <f t="shared" si="92"/>
        <v>3.5076807904557569E-2</v>
      </c>
      <c r="G230" s="2"/>
      <c r="H230" s="6">
        <v>23557.96</v>
      </c>
      <c r="I230" s="2"/>
      <c r="J230" s="7">
        <f t="shared" si="93"/>
        <v>4.009088212360392E-2</v>
      </c>
      <c r="K230" s="2"/>
      <c r="L230" s="6">
        <f t="shared" si="94"/>
        <v>-17776.02</v>
      </c>
      <c r="M230" s="2"/>
      <c r="N230" s="7">
        <f t="shared" si="95"/>
        <v>-0.75456533587797925</v>
      </c>
      <c r="O230" s="11"/>
      <c r="P230" s="6">
        <v>82607.740000000005</v>
      </c>
      <c r="Q230" s="2"/>
      <c r="R230" s="7">
        <f t="shared" si="96"/>
        <v>9.4267449065524988E-3</v>
      </c>
      <c r="S230" s="2"/>
      <c r="T230" s="6">
        <v>102838.90999999999</v>
      </c>
      <c r="U230" s="2"/>
      <c r="V230" s="7">
        <f t="shared" si="97"/>
        <v>9.8511388251757495E-3</v>
      </c>
      <c r="W230" s="2"/>
      <c r="X230" s="6">
        <f t="shared" si="98"/>
        <v>-20231.169999999984</v>
      </c>
      <c r="Y230" s="2"/>
      <c r="Z230" s="7">
        <f t="shared" si="99"/>
        <v>-0.19672680311372404</v>
      </c>
    </row>
    <row r="231" spans="1:26" s="25" customFormat="1" outlineLevel="1" collapsed="1" x14ac:dyDescent="0.25">
      <c r="A231" s="26"/>
      <c r="B231" s="13" t="str">
        <f>CONCATENATE("     ","Services                                          ")</f>
        <v xml:space="preserve">     Services                                          </v>
      </c>
      <c r="C231" s="13"/>
      <c r="D231" s="1">
        <f>SUM(OSRRefD22_18x_0)</f>
        <v>4655.95</v>
      </c>
      <c r="E231" s="1"/>
      <c r="F231" s="5">
        <f t="shared" ref="F231:F235" si="100">IF(D$12=0,0,D231/D$12)</f>
        <v>2.8245859307295618E-2</v>
      </c>
      <c r="G231" s="1"/>
      <c r="H231" s="1">
        <f>SUM(OSRRefH22_18x_0)</f>
        <v>4662.1899999999996</v>
      </c>
      <c r="I231" s="1"/>
      <c r="J231" s="5">
        <f t="shared" ref="J231:J235" si="101">IF(H$12=0,0,H231/H$12)</f>
        <v>7.9341042147896054E-3</v>
      </c>
      <c r="K231" s="1"/>
      <c r="L231" s="1">
        <f t="shared" ref="L231:L235" si="102">+D231-H231</f>
        <v>-6.2399999999997817</v>
      </c>
      <c r="M231" s="1"/>
      <c r="N231" s="5">
        <f t="shared" ref="N231:N235" si="103">IF(H231=0,0,L231/H231)</f>
        <v>-1.3384267908428833E-3</v>
      </c>
      <c r="O231" s="13"/>
      <c r="P231" s="1">
        <f>SUM(OSRRefP22_18x_0)</f>
        <v>46256.869999999995</v>
      </c>
      <c r="Q231" s="1"/>
      <c r="R231" s="5">
        <f t="shared" ref="R231:R235" si="104">IF(P$12=0,0,P231/P$12)</f>
        <v>5.2785818092295107E-3</v>
      </c>
      <c r="S231" s="1"/>
      <c r="T231" s="1">
        <f>SUM(OSRRefT22_18x_0)</f>
        <v>44542.19</v>
      </c>
      <c r="U231" s="1"/>
      <c r="V231" s="5">
        <f t="shared" ref="V231:V235" si="105">IF(T$12=0,0,T231/T$12)</f>
        <v>4.2667828477310297E-3</v>
      </c>
      <c r="W231" s="1"/>
      <c r="X231" s="1">
        <f t="shared" ref="X231:X235" si="106">+P231-T231</f>
        <v>1714.679999999993</v>
      </c>
      <c r="Y231" s="1"/>
      <c r="Z231" s="5">
        <f t="shared" ref="Z231:Z235" si="107">IF(T231=0,0,X231/T231)</f>
        <v>3.8495637506822028E-2</v>
      </c>
    </row>
    <row r="232" spans="1:26" s="24" customFormat="1" hidden="1" outlineLevel="2" x14ac:dyDescent="0.25">
      <c r="A232" s="27"/>
      <c r="B232" s="11" t="str">
        <f>CONCATENATE("          ", "6282", " - ", "JANITORIAL/EXTERMINATOR EXPENS")</f>
        <v xml:space="preserve">          6282 - JANITORIAL/EXTERMINATOR EXPENS</v>
      </c>
      <c r="C232" s="11"/>
      <c r="D232" s="6">
        <v>310.5</v>
      </c>
      <c r="E232" s="2"/>
      <c r="F232" s="7">
        <f t="shared" si="100"/>
        <v>1.883684170774018E-3</v>
      </c>
      <c r="G232" s="2"/>
      <c r="H232" s="6">
        <v>252</v>
      </c>
      <c r="I232" s="2"/>
      <c r="J232" s="7">
        <f t="shared" si="101"/>
        <v>4.2885302017442038E-4</v>
      </c>
      <c r="K232" s="2"/>
      <c r="L232" s="6">
        <f t="shared" si="102"/>
        <v>58.5</v>
      </c>
      <c r="M232" s="2"/>
      <c r="N232" s="7">
        <f t="shared" si="103"/>
        <v>0.23214285714285715</v>
      </c>
      <c r="O232" s="11"/>
      <c r="P232" s="6">
        <v>2686.02</v>
      </c>
      <c r="Q232" s="2"/>
      <c r="R232" s="7">
        <f t="shared" si="104"/>
        <v>3.0651395806129231E-4</v>
      </c>
      <c r="S232" s="2"/>
      <c r="T232" s="6">
        <v>2365.29</v>
      </c>
      <c r="U232" s="2"/>
      <c r="V232" s="7">
        <f t="shared" si="105"/>
        <v>2.2657572072477187E-4</v>
      </c>
      <c r="W232" s="2"/>
      <c r="X232" s="6">
        <f t="shared" si="106"/>
        <v>320.73</v>
      </c>
      <c r="Y232" s="2"/>
      <c r="Z232" s="7">
        <f t="shared" si="107"/>
        <v>0.13559859467549434</v>
      </c>
    </row>
    <row r="233" spans="1:26" s="24" customFormat="1" hidden="1" outlineLevel="2" x14ac:dyDescent="0.25">
      <c r="A233" s="27"/>
      <c r="B233" s="11" t="str">
        <f>CONCATENATE("          ", "6283", " - ", "PLANT SERVICE")</f>
        <v xml:space="preserve">          6283 - PLANT SERVICE</v>
      </c>
      <c r="C233" s="11"/>
      <c r="D233" s="6"/>
      <c r="E233" s="2"/>
      <c r="F233" s="7">
        <f t="shared" si="100"/>
        <v>0</v>
      </c>
      <c r="G233" s="2"/>
      <c r="H233" s="6">
        <v>173</v>
      </c>
      <c r="I233" s="2"/>
      <c r="J233" s="7">
        <f t="shared" si="101"/>
        <v>2.944110019451378E-4</v>
      </c>
      <c r="K233" s="2"/>
      <c r="L233" s="6">
        <f t="shared" si="102"/>
        <v>-173</v>
      </c>
      <c r="M233" s="2"/>
      <c r="N233" s="7">
        <f t="shared" si="103"/>
        <v>-1</v>
      </c>
      <c r="O233" s="11"/>
      <c r="P233" s="6">
        <v>541.98</v>
      </c>
      <c r="Q233" s="2"/>
      <c r="R233" s="7">
        <f t="shared" si="104"/>
        <v>6.1847802693226116E-5</v>
      </c>
      <c r="S233" s="2"/>
      <c r="T233" s="6">
        <v>1852.5</v>
      </c>
      <c r="U233" s="2"/>
      <c r="V233" s="7">
        <f t="shared" si="105"/>
        <v>1.7745457116997911E-4</v>
      </c>
      <c r="W233" s="2"/>
      <c r="X233" s="6">
        <f t="shared" si="106"/>
        <v>-1310.52</v>
      </c>
      <c r="Y233" s="2"/>
      <c r="Z233" s="7">
        <f t="shared" si="107"/>
        <v>-0.70743319838056684</v>
      </c>
    </row>
    <row r="234" spans="1:26" s="24" customFormat="1" hidden="1" outlineLevel="2" x14ac:dyDescent="0.25">
      <c r="A234" s="27"/>
      <c r="B234" s="11" t="str">
        <f>CONCATENATE("          ", "6284", " - ", "TRASH REMOVAL EXPENSE")</f>
        <v xml:space="preserve">          6284 - TRASH REMOVAL EXPENSE</v>
      </c>
      <c r="C234" s="11"/>
      <c r="D234" s="6">
        <v>134.82</v>
      </c>
      <c r="E234" s="2"/>
      <c r="F234" s="7">
        <f t="shared" si="100"/>
        <v>8.1790112690419679E-4</v>
      </c>
      <c r="G234" s="2"/>
      <c r="H234" s="6">
        <v>121.46</v>
      </c>
      <c r="I234" s="2"/>
      <c r="J234" s="7">
        <f t="shared" si="101"/>
        <v>2.0670034853327419E-4</v>
      </c>
      <c r="K234" s="2"/>
      <c r="L234" s="6">
        <f t="shared" si="102"/>
        <v>13.36</v>
      </c>
      <c r="M234" s="2"/>
      <c r="N234" s="7">
        <f t="shared" si="103"/>
        <v>0.10999506010209123</v>
      </c>
      <c r="O234" s="11"/>
      <c r="P234" s="6">
        <v>1348.2</v>
      </c>
      <c r="Q234" s="2"/>
      <c r="R234" s="7">
        <f t="shared" si="104"/>
        <v>1.5384923353446153E-4</v>
      </c>
      <c r="S234" s="2"/>
      <c r="T234" s="6">
        <v>1214.5999999999999</v>
      </c>
      <c r="U234" s="2"/>
      <c r="V234" s="7">
        <f t="shared" si="105"/>
        <v>1.1634889184510478E-4</v>
      </c>
      <c r="W234" s="2"/>
      <c r="X234" s="6">
        <f t="shared" si="106"/>
        <v>133.60000000000014</v>
      </c>
      <c r="Y234" s="2"/>
      <c r="Z234" s="7">
        <f t="shared" si="107"/>
        <v>0.10999506010209134</v>
      </c>
    </row>
    <row r="235" spans="1:26" s="24" customFormat="1" hidden="1" outlineLevel="2" x14ac:dyDescent="0.25">
      <c r="A235" s="27"/>
      <c r="B235" s="11" t="str">
        <f>CONCATENATE("          ", "6285", " - ", "JANITORIAL SERVICES")</f>
        <v xml:space="preserve">          6285 - JANITORIAL SERVICES</v>
      </c>
      <c r="C235" s="11"/>
      <c r="D235" s="6">
        <v>4210.63</v>
      </c>
      <c r="E235" s="2"/>
      <c r="F235" s="7">
        <f t="shared" si="100"/>
        <v>2.5544274009617403E-2</v>
      </c>
      <c r="G235" s="2"/>
      <c r="H235" s="6">
        <v>4115.7299999999996</v>
      </c>
      <c r="I235" s="2"/>
      <c r="J235" s="7">
        <f t="shared" si="101"/>
        <v>7.0041398441367739E-3</v>
      </c>
      <c r="K235" s="2"/>
      <c r="L235" s="6">
        <f t="shared" si="102"/>
        <v>94.900000000000546</v>
      </c>
      <c r="M235" s="2"/>
      <c r="N235" s="7">
        <f t="shared" si="103"/>
        <v>2.3057877946318285E-2</v>
      </c>
      <c r="O235" s="11"/>
      <c r="P235" s="6">
        <v>41680.67</v>
      </c>
      <c r="Q235" s="2"/>
      <c r="R235" s="7">
        <f t="shared" si="104"/>
        <v>4.7563708149405311E-3</v>
      </c>
      <c r="S235" s="2"/>
      <c r="T235" s="6">
        <v>39109.800000000003</v>
      </c>
      <c r="U235" s="2"/>
      <c r="V235" s="7">
        <f t="shared" si="105"/>
        <v>3.7464036639911738E-3</v>
      </c>
      <c r="W235" s="2"/>
      <c r="X235" s="6">
        <f t="shared" si="106"/>
        <v>2570.8699999999953</v>
      </c>
      <c r="Y235" s="2"/>
      <c r="Z235" s="7">
        <f t="shared" si="107"/>
        <v>6.5734675196497935E-2</v>
      </c>
    </row>
    <row r="236" spans="1:26" s="25" customFormat="1" outlineLevel="1" collapsed="1" x14ac:dyDescent="0.25">
      <c r="A236" s="26"/>
      <c r="B236" s="13" t="str">
        <f>CONCATENATE("     ","Subscriptions &amp; Dues                              ")</f>
        <v xml:space="preserve">     Subscriptions &amp; Dues                              </v>
      </c>
      <c r="C236" s="13"/>
      <c r="D236" s="1">
        <f>SUM(OSRRefD22_19x_0)</f>
        <v>2177.08</v>
      </c>
      <c r="E236" s="1"/>
      <c r="F236" s="5">
        <f t="shared" ref="F236:F238" si="108">IF(D$12=0,0,D236/D$12)</f>
        <v>1.3207507679577131E-2</v>
      </c>
      <c r="G236" s="1"/>
      <c r="H236" s="1">
        <f>SUM(OSRRefH22_19x_0)</f>
        <v>766.19</v>
      </c>
      <c r="I236" s="1"/>
      <c r="J236" s="5">
        <f t="shared" ref="J236:J238" si="109">IF(H$12=0,0,H236/H$12)</f>
        <v>1.3039003790771395E-3</v>
      </c>
      <c r="K236" s="1"/>
      <c r="L236" s="1">
        <f t="shared" ref="L236:L238" si="110">+D236-H236</f>
        <v>1410.8899999999999</v>
      </c>
      <c r="M236" s="1"/>
      <c r="N236" s="5">
        <f t="shared" ref="N236:N238" si="111">IF(H236=0,0,L236/H236)</f>
        <v>1.8414361972878788</v>
      </c>
      <c r="O236" s="13"/>
      <c r="P236" s="1">
        <f>SUM(OSRRefP22_19x_0)</f>
        <v>7098.85</v>
      </c>
      <c r="Q236" s="1"/>
      <c r="R236" s="5">
        <f t="shared" ref="R236:R238" si="112">IF(P$12=0,0,P236/P$12)</f>
        <v>8.1008205865310207E-4</v>
      </c>
      <c r="S236" s="1"/>
      <c r="T236" s="1">
        <f>SUM(OSRRefT22_19x_0)</f>
        <v>15055.86</v>
      </c>
      <c r="U236" s="1"/>
      <c r="V236" s="5">
        <f t="shared" ref="V236:V238" si="113">IF(T$12=0,0,T236/T$12)</f>
        <v>1.4422300566236123E-3</v>
      </c>
      <c r="W236" s="1"/>
      <c r="X236" s="1">
        <f t="shared" ref="X236:X238" si="114">+P236-T236</f>
        <v>-7957.01</v>
      </c>
      <c r="Y236" s="1"/>
      <c r="Z236" s="5">
        <f t="shared" ref="Z236:Z238" si="115">IF(T236=0,0,X236/T236)</f>
        <v>-0.52849920230395342</v>
      </c>
    </row>
    <row r="237" spans="1:26" s="24" customFormat="1" hidden="1" outlineLevel="2" x14ac:dyDescent="0.25">
      <c r="A237" s="27"/>
      <c r="B237" s="11" t="str">
        <f>CONCATENATE("          ", "6258", " - ", "MEMBERSHIP DUES")</f>
        <v xml:space="preserve">          6258 - MEMBERSHIP DUES</v>
      </c>
      <c r="C237" s="11"/>
      <c r="D237" s="6">
        <v>250</v>
      </c>
      <c r="E237" s="2"/>
      <c r="F237" s="7">
        <f t="shared" si="108"/>
        <v>1.5166539217182111E-3</v>
      </c>
      <c r="G237" s="2"/>
      <c r="H237" s="6">
        <v>474.23</v>
      </c>
      <c r="I237" s="2"/>
      <c r="J237" s="7">
        <f t="shared" si="109"/>
        <v>8.0704352284648965E-4</v>
      </c>
      <c r="K237" s="2"/>
      <c r="L237" s="6">
        <f t="shared" si="110"/>
        <v>-224.23000000000002</v>
      </c>
      <c r="M237" s="2"/>
      <c r="N237" s="7">
        <f t="shared" si="111"/>
        <v>-0.47282963962634167</v>
      </c>
      <c r="O237" s="11"/>
      <c r="P237" s="6">
        <v>4306.41</v>
      </c>
      <c r="Q237" s="2"/>
      <c r="R237" s="7">
        <f t="shared" si="112"/>
        <v>4.9142403039989643E-4</v>
      </c>
      <c r="S237" s="2"/>
      <c r="T237" s="6">
        <v>6057.6</v>
      </c>
      <c r="U237" s="2"/>
      <c r="V237" s="7">
        <f t="shared" si="113"/>
        <v>5.8026926333023783E-4</v>
      </c>
      <c r="W237" s="2"/>
      <c r="X237" s="6">
        <f t="shared" si="114"/>
        <v>-1751.1900000000005</v>
      </c>
      <c r="Y237" s="2"/>
      <c r="Z237" s="7">
        <f t="shared" si="115"/>
        <v>-0.28908973851030118</v>
      </c>
    </row>
    <row r="238" spans="1:26" s="24" customFormat="1" hidden="1" outlineLevel="2" x14ac:dyDescent="0.25">
      <c r="A238" s="27"/>
      <c r="B238" s="11" t="str">
        <f>CONCATENATE("          ", "6275", " - ", "SUBSCRIPTIONS")</f>
        <v xml:space="preserve">          6275 - SUBSCRIPTIONS</v>
      </c>
      <c r="C238" s="11"/>
      <c r="D238" s="6">
        <v>1927.08</v>
      </c>
      <c r="E238" s="2"/>
      <c r="F238" s="7">
        <f t="shared" si="108"/>
        <v>1.1690853757858919E-2</v>
      </c>
      <c r="G238" s="2"/>
      <c r="H238" s="6">
        <v>291.95999999999998</v>
      </c>
      <c r="I238" s="2"/>
      <c r="J238" s="7">
        <f t="shared" si="109"/>
        <v>4.9685685623064981E-4</v>
      </c>
      <c r="K238" s="2"/>
      <c r="L238" s="6">
        <f t="shared" si="110"/>
        <v>1635.12</v>
      </c>
      <c r="M238" s="2"/>
      <c r="N238" s="7">
        <f t="shared" si="111"/>
        <v>5.600493218249075</v>
      </c>
      <c r="O238" s="11"/>
      <c r="P238" s="6">
        <v>2792.44</v>
      </c>
      <c r="Q238" s="2"/>
      <c r="R238" s="7">
        <f t="shared" si="112"/>
        <v>3.1865802825320553E-4</v>
      </c>
      <c r="S238" s="2"/>
      <c r="T238" s="6">
        <v>8998.26</v>
      </c>
      <c r="U238" s="2"/>
      <c r="V238" s="7">
        <f t="shared" si="113"/>
        <v>8.6196079329337451E-4</v>
      </c>
      <c r="W238" s="2"/>
      <c r="X238" s="6">
        <f t="shared" si="114"/>
        <v>-6205.82</v>
      </c>
      <c r="Y238" s="2"/>
      <c r="Z238" s="7">
        <f t="shared" si="115"/>
        <v>-0.68966889154125344</v>
      </c>
    </row>
    <row r="239" spans="1:26" s="25" customFormat="1" outlineLevel="1" collapsed="1" x14ac:dyDescent="0.25">
      <c r="A239" s="26"/>
      <c r="B239" s="13" t="str">
        <f>CONCATENATE("     ","Supplies                                          ")</f>
        <v xml:space="preserve">     Supplies                                          </v>
      </c>
      <c r="C239" s="13"/>
      <c r="D239" s="1">
        <f>SUM(OSRRefD22_20x_0)</f>
        <v>5258.59</v>
      </c>
      <c r="E239" s="1"/>
      <c r="F239" s="5">
        <f t="shared" ref="F239:F246" si="116">IF(D$12=0,0,D239/D$12)</f>
        <v>3.1901844584832667E-2</v>
      </c>
      <c r="G239" s="1"/>
      <c r="H239" s="1">
        <f>SUM(OSRRefH22_20x_0)</f>
        <v>8868.75</v>
      </c>
      <c r="I239" s="1"/>
      <c r="J239" s="5">
        <f t="shared" ref="J239:J246" si="117">IF(H$12=0,0,H239/H$12)</f>
        <v>1.5092818343936073E-2</v>
      </c>
      <c r="K239" s="1"/>
      <c r="L239" s="1">
        <f t="shared" ref="L239:L246" si="118">+D239-H239</f>
        <v>-3610.16</v>
      </c>
      <c r="M239" s="1"/>
      <c r="N239" s="5">
        <f t="shared" ref="N239:N246" si="119">IF(H239=0,0,L239/H239)</f>
        <v>-0.40706525722339676</v>
      </c>
      <c r="O239" s="13"/>
      <c r="P239" s="1">
        <f>SUM(OSRRefP22_20x_0)</f>
        <v>88404.950000000012</v>
      </c>
      <c r="Q239" s="1"/>
      <c r="R239" s="5">
        <f t="shared" ref="R239:R246" si="120">IF(P$12=0,0,P239/P$12)</f>
        <v>1.0088290905023287E-2</v>
      </c>
      <c r="S239" s="1"/>
      <c r="T239" s="1">
        <f>SUM(OSRRefT22_20x_0)</f>
        <v>148827.41999999998</v>
      </c>
      <c r="U239" s="1"/>
      <c r="V239" s="5">
        <f t="shared" ref="V239:V246" si="121">IF(T$12=0,0,T239/T$12)</f>
        <v>1.4256467473378878E-2</v>
      </c>
      <c r="W239" s="1"/>
      <c r="X239" s="1">
        <f t="shared" ref="X239:X246" si="122">+P239-T239</f>
        <v>-60422.469999999972</v>
      </c>
      <c r="Y239" s="1"/>
      <c r="Z239" s="5">
        <f t="shared" ref="Z239:Z246" si="123">IF(T239=0,0,X239/T239)</f>
        <v>-0.40599017304741275</v>
      </c>
    </row>
    <row r="240" spans="1:26" s="24" customFormat="1" hidden="1" outlineLevel="2" x14ac:dyDescent="0.25">
      <c r="A240" s="27"/>
      <c r="B240" s="11" t="str">
        <f>CONCATENATE("          ", "6234", " - ", "EXPENDABLE SUPPLIES &amp; EQUIPMEN")</f>
        <v xml:space="preserve">          6234 - EXPENDABLE SUPPLIES &amp; EQUIPMEN</v>
      </c>
      <c r="C240" s="11"/>
      <c r="D240" s="6">
        <v>140.1</v>
      </c>
      <c r="E240" s="2"/>
      <c r="F240" s="7">
        <f t="shared" si="116"/>
        <v>8.4993285773088542E-4</v>
      </c>
      <c r="G240" s="2"/>
      <c r="H240" s="6">
        <v>131.38999999999999</v>
      </c>
      <c r="I240" s="2"/>
      <c r="J240" s="7">
        <f t="shared" si="117"/>
        <v>2.2359919968538528E-4</v>
      </c>
      <c r="K240" s="2"/>
      <c r="L240" s="6">
        <f t="shared" si="118"/>
        <v>8.710000000000008</v>
      </c>
      <c r="M240" s="2"/>
      <c r="N240" s="7">
        <f t="shared" si="119"/>
        <v>6.6291194154806374E-2</v>
      </c>
      <c r="O240" s="11"/>
      <c r="P240" s="6">
        <v>3441.8</v>
      </c>
      <c r="Q240" s="2"/>
      <c r="R240" s="7">
        <f t="shared" si="120"/>
        <v>3.9275945110436855E-4</v>
      </c>
      <c r="S240" s="2"/>
      <c r="T240" s="6">
        <v>3681.43</v>
      </c>
      <c r="U240" s="2"/>
      <c r="V240" s="7">
        <f t="shared" si="121"/>
        <v>3.5265132628464031E-4</v>
      </c>
      <c r="W240" s="2"/>
      <c r="X240" s="6">
        <f t="shared" si="122"/>
        <v>-239.62999999999965</v>
      </c>
      <c r="Y240" s="2"/>
      <c r="Z240" s="7">
        <f t="shared" si="123"/>
        <v>-6.5091554097184964E-2</v>
      </c>
    </row>
    <row r="241" spans="1:26" s="24" customFormat="1" hidden="1" outlineLevel="2" x14ac:dyDescent="0.25">
      <c r="A241" s="27"/>
      <c r="B241" s="11" t="str">
        <f>CONCATENATE("          ", "6237", " - ", "JANITORIAL SUPPLIES")</f>
        <v xml:space="preserve">          6237 - JANITORIAL SUPPLIES</v>
      </c>
      <c r="C241" s="11"/>
      <c r="D241" s="6">
        <v>482.39</v>
      </c>
      <c r="E241" s="2"/>
      <c r="F241" s="7">
        <f t="shared" si="116"/>
        <v>2.9264747411905912E-3</v>
      </c>
      <c r="G241" s="2"/>
      <c r="H241" s="6">
        <v>959.97</v>
      </c>
      <c r="I241" s="2"/>
      <c r="J241" s="7">
        <f t="shared" si="117"/>
        <v>1.633674737209676E-3</v>
      </c>
      <c r="K241" s="2"/>
      <c r="L241" s="6">
        <f t="shared" si="118"/>
        <v>-477.58000000000004</v>
      </c>
      <c r="M241" s="2"/>
      <c r="N241" s="7">
        <f t="shared" si="119"/>
        <v>-0.49749471337645973</v>
      </c>
      <c r="O241" s="11"/>
      <c r="P241" s="6">
        <v>5305.04</v>
      </c>
      <c r="Q241" s="2"/>
      <c r="R241" s="7">
        <f t="shared" si="120"/>
        <v>6.0538224141051757E-4</v>
      </c>
      <c r="S241" s="2"/>
      <c r="T241" s="6">
        <v>5877.22</v>
      </c>
      <c r="U241" s="2"/>
      <c r="V241" s="7">
        <f t="shared" si="121"/>
        <v>5.6299031296713883E-4</v>
      </c>
      <c r="W241" s="2"/>
      <c r="X241" s="6">
        <f t="shared" si="122"/>
        <v>-572.18000000000029</v>
      </c>
      <c r="Y241" s="2"/>
      <c r="Z241" s="7">
        <f t="shared" si="123"/>
        <v>-9.7355552455072339E-2</v>
      </c>
    </row>
    <row r="242" spans="1:26" s="24" customFormat="1" hidden="1" outlineLevel="2" x14ac:dyDescent="0.25">
      <c r="A242" s="27"/>
      <c r="B242" s="11" t="str">
        <f>CONCATENATE("          ", "6241", " - ", "OFFICE EXPENSE")</f>
        <v xml:space="preserve">          6241 - OFFICE EXPENSE</v>
      </c>
      <c r="C242" s="11"/>
      <c r="D242" s="6">
        <v>674.84</v>
      </c>
      <c r="E242" s="2"/>
      <c r="F242" s="7">
        <f t="shared" si="116"/>
        <v>4.0939949301292706E-3</v>
      </c>
      <c r="G242" s="2"/>
      <c r="H242" s="6">
        <v>1543.05</v>
      </c>
      <c r="I242" s="2"/>
      <c r="J242" s="7">
        <f t="shared" si="117"/>
        <v>2.6259589396037276E-3</v>
      </c>
      <c r="K242" s="2"/>
      <c r="L242" s="6">
        <f t="shared" si="118"/>
        <v>-868.20999999999992</v>
      </c>
      <c r="M242" s="2"/>
      <c r="N242" s="7">
        <f t="shared" si="119"/>
        <v>-0.56265837140727781</v>
      </c>
      <c r="O242" s="11"/>
      <c r="P242" s="6">
        <v>23080.68</v>
      </c>
      <c r="Q242" s="2"/>
      <c r="R242" s="7">
        <f t="shared" si="120"/>
        <v>2.6338413643778188E-3</v>
      </c>
      <c r="S242" s="2"/>
      <c r="T242" s="6">
        <v>32691.84</v>
      </c>
      <c r="U242" s="2"/>
      <c r="V242" s="7">
        <f t="shared" si="121"/>
        <v>3.131614816711239E-3</v>
      </c>
      <c r="W242" s="2"/>
      <c r="X242" s="6">
        <f t="shared" si="122"/>
        <v>-9611.16</v>
      </c>
      <c r="Y242" s="2"/>
      <c r="Z242" s="7">
        <f t="shared" si="123"/>
        <v>-0.29399262935337994</v>
      </c>
    </row>
    <row r="243" spans="1:26" s="24" customFormat="1" hidden="1" outlineLevel="2" x14ac:dyDescent="0.25">
      <c r="A243" s="27"/>
      <c r="B243" s="11" t="str">
        <f>CONCATENATE("          ", "6243", " - ", "PAPER SUPPLIES")</f>
        <v xml:space="preserve">          6243 - PAPER SUPPLIES</v>
      </c>
      <c r="C243" s="11"/>
      <c r="D243" s="6">
        <v>791.44</v>
      </c>
      <c r="E243" s="2"/>
      <c r="F243" s="7">
        <f t="shared" si="116"/>
        <v>4.8013623192186437E-3</v>
      </c>
      <c r="G243" s="2"/>
      <c r="H243" s="6">
        <v>4596</v>
      </c>
      <c r="I243" s="2"/>
      <c r="J243" s="7">
        <f t="shared" si="117"/>
        <v>7.8214622250858575E-3</v>
      </c>
      <c r="K243" s="2"/>
      <c r="L243" s="6">
        <f t="shared" si="118"/>
        <v>-3804.56</v>
      </c>
      <c r="M243" s="2"/>
      <c r="N243" s="7">
        <f t="shared" si="119"/>
        <v>-0.82779808529155785</v>
      </c>
      <c r="O243" s="11"/>
      <c r="P243" s="6">
        <v>17888.36</v>
      </c>
      <c r="Q243" s="2"/>
      <c r="R243" s="7">
        <f t="shared" si="120"/>
        <v>2.0413221148112446E-3</v>
      </c>
      <c r="S243" s="2"/>
      <c r="T243" s="6">
        <v>31085.74</v>
      </c>
      <c r="U243" s="2"/>
      <c r="V243" s="7">
        <f t="shared" si="121"/>
        <v>2.9777633798658389E-3</v>
      </c>
      <c r="W243" s="2"/>
      <c r="X243" s="6">
        <f t="shared" si="122"/>
        <v>-13197.380000000001</v>
      </c>
      <c r="Y243" s="2"/>
      <c r="Z243" s="7">
        <f t="shared" si="123"/>
        <v>-0.42454771866457097</v>
      </c>
    </row>
    <row r="244" spans="1:26" s="24" customFormat="1" hidden="1" outlineLevel="2" x14ac:dyDescent="0.25">
      <c r="A244" s="27"/>
      <c r="B244" s="11" t="str">
        <f>CONCATENATE("          ", "6245", " - ", "PRINTING")</f>
        <v xml:space="preserve">          6245 - PRINTING</v>
      </c>
      <c r="C244" s="11"/>
      <c r="D244" s="6">
        <v>485.1</v>
      </c>
      <c r="E244" s="2"/>
      <c r="F244" s="7">
        <f t="shared" si="116"/>
        <v>2.9429152697020167E-3</v>
      </c>
      <c r="G244" s="2"/>
      <c r="H244" s="6">
        <v>22</v>
      </c>
      <c r="I244" s="2"/>
      <c r="J244" s="7">
        <f t="shared" si="117"/>
        <v>3.7439549380306538E-5</v>
      </c>
      <c r="K244" s="2"/>
      <c r="L244" s="6">
        <f t="shared" si="118"/>
        <v>463.1</v>
      </c>
      <c r="M244" s="2"/>
      <c r="N244" s="7">
        <f t="shared" si="119"/>
        <v>21.05</v>
      </c>
      <c r="O244" s="11"/>
      <c r="P244" s="6">
        <v>10561.45</v>
      </c>
      <c r="Q244" s="2"/>
      <c r="R244" s="7">
        <f t="shared" si="120"/>
        <v>1.2052150923546497E-3</v>
      </c>
      <c r="S244" s="2"/>
      <c r="T244" s="6">
        <v>12293.04</v>
      </c>
      <c r="U244" s="2"/>
      <c r="V244" s="7">
        <f t="shared" si="121"/>
        <v>1.1775741654927935E-3</v>
      </c>
      <c r="W244" s="2"/>
      <c r="X244" s="6">
        <f t="shared" si="122"/>
        <v>-1731.5900000000001</v>
      </c>
      <c r="Y244" s="2"/>
      <c r="Z244" s="7">
        <f t="shared" si="123"/>
        <v>-0.14085938059259548</v>
      </c>
    </row>
    <row r="245" spans="1:26" s="24" customFormat="1" hidden="1" outlineLevel="2" x14ac:dyDescent="0.25">
      <c r="A245" s="27"/>
      <c r="B245" s="11" t="str">
        <f>CONCATENATE("          ", "6247", " - ", "STORE SUPPLIES")</f>
        <v xml:space="preserve">          6247 - STORE SUPPLIES</v>
      </c>
      <c r="C245" s="11"/>
      <c r="D245" s="6">
        <v>2640.81</v>
      </c>
      <c r="E245" s="2"/>
      <c r="F245" s="7">
        <f t="shared" si="116"/>
        <v>1.6020779372050674E-2</v>
      </c>
      <c r="G245" s="2"/>
      <c r="H245" s="6">
        <v>1616.34</v>
      </c>
      <c r="I245" s="2"/>
      <c r="J245" s="7">
        <f t="shared" si="117"/>
        <v>2.7506836929711213E-3</v>
      </c>
      <c r="K245" s="2"/>
      <c r="L245" s="6">
        <f t="shared" si="118"/>
        <v>1024.47</v>
      </c>
      <c r="M245" s="2"/>
      <c r="N245" s="7">
        <f t="shared" si="119"/>
        <v>0.63382085452318204</v>
      </c>
      <c r="O245" s="11"/>
      <c r="P245" s="6">
        <v>28083.710000000003</v>
      </c>
      <c r="Q245" s="2"/>
      <c r="R245" s="7">
        <f t="shared" si="120"/>
        <v>3.2047598711645842E-3</v>
      </c>
      <c r="S245" s="2"/>
      <c r="T245" s="6">
        <v>61221.369999999995</v>
      </c>
      <c r="U245" s="2"/>
      <c r="V245" s="7">
        <f t="shared" si="121"/>
        <v>5.8645138784284064E-3</v>
      </c>
      <c r="W245" s="2"/>
      <c r="X245" s="6">
        <f t="shared" si="122"/>
        <v>-33137.659999999989</v>
      </c>
      <c r="Y245" s="2"/>
      <c r="Z245" s="7">
        <f t="shared" si="123"/>
        <v>-0.54127602828881471</v>
      </c>
    </row>
    <row r="246" spans="1:26" s="24" customFormat="1" hidden="1" outlineLevel="2" x14ac:dyDescent="0.25">
      <c r="A246" s="27"/>
      <c r="B246" s="11" t="str">
        <f>CONCATENATE("          ", "6248", " - ", "UNIFORMS")</f>
        <v xml:space="preserve">          6248 - UNIFORMS</v>
      </c>
      <c r="C246" s="11"/>
      <c r="D246" s="6">
        <v>43.91</v>
      </c>
      <c r="E246" s="2"/>
      <c r="F246" s="7">
        <f t="shared" si="116"/>
        <v>2.6638509481058658E-4</v>
      </c>
      <c r="G246" s="2"/>
      <c r="H246" s="6"/>
      <c r="I246" s="2"/>
      <c r="J246" s="7">
        <f t="shared" si="117"/>
        <v>0</v>
      </c>
      <c r="K246" s="2"/>
      <c r="L246" s="6">
        <f t="shared" si="118"/>
        <v>43.91</v>
      </c>
      <c r="M246" s="2"/>
      <c r="N246" s="7">
        <f t="shared" si="119"/>
        <v>0</v>
      </c>
      <c r="O246" s="11"/>
      <c r="P246" s="6">
        <v>43.91</v>
      </c>
      <c r="Q246" s="2"/>
      <c r="R246" s="7">
        <f t="shared" si="120"/>
        <v>5.0107698001025106E-6</v>
      </c>
      <c r="S246" s="2"/>
      <c r="T246" s="6">
        <v>1976.78</v>
      </c>
      <c r="U246" s="2"/>
      <c r="V246" s="7">
        <f t="shared" si="121"/>
        <v>1.893595936288212E-4</v>
      </c>
      <c r="W246" s="2"/>
      <c r="X246" s="6">
        <f t="shared" si="122"/>
        <v>-1932.87</v>
      </c>
      <c r="Y246" s="2"/>
      <c r="Z246" s="7">
        <f t="shared" si="123"/>
        <v>-0.97778710832768434</v>
      </c>
    </row>
    <row r="247" spans="1:26" s="25" customFormat="1" outlineLevel="1" collapsed="1" x14ac:dyDescent="0.25">
      <c r="A247" s="26"/>
      <c r="B247" s="13" t="str">
        <f>CONCATENATE("     ","Telephone/Data Lines                              ")</f>
        <v xml:space="preserve">     Telephone/Data Lines                              </v>
      </c>
      <c r="C247" s="13"/>
      <c r="D247" s="1">
        <f>SUM(OSRRefD22_21x_0)</f>
        <v>2553.83</v>
      </c>
      <c r="E247" s="1"/>
      <c r="F247" s="5">
        <f t="shared" ref="F247:F249" si="124">IF(D$12=0,0,D247/D$12)</f>
        <v>1.5493105139606474E-2</v>
      </c>
      <c r="G247" s="1"/>
      <c r="H247" s="1">
        <f>SUM(OSRRefH22_21x_0)</f>
        <v>2914.39</v>
      </c>
      <c r="I247" s="1"/>
      <c r="J247" s="5">
        <f t="shared" ref="J247:J249" si="125">IF(H$12=0,0,H247/H$12)</f>
        <v>4.9597021962941622E-3</v>
      </c>
      <c r="K247" s="1"/>
      <c r="L247" s="1">
        <f t="shared" ref="L247:L249" si="126">+D247-H247</f>
        <v>-360.55999999999995</v>
      </c>
      <c r="M247" s="1"/>
      <c r="N247" s="5">
        <f t="shared" ref="N247:N249" si="127">IF(H247=0,0,L247/H247)</f>
        <v>-0.12371714149444651</v>
      </c>
      <c r="O247" s="13"/>
      <c r="P247" s="1">
        <f>SUM(OSRRefP22_21x_0)</f>
        <v>25117.89</v>
      </c>
      <c r="Q247" s="1"/>
      <c r="R247" s="5">
        <f t="shared" ref="R247:R249" si="128">IF(P$12=0,0,P247/P$12)</f>
        <v>2.8663166625893157E-3</v>
      </c>
      <c r="S247" s="1"/>
      <c r="T247" s="1">
        <f>SUM(OSRRefT22_21x_0)</f>
        <v>27586.95</v>
      </c>
      <c r="U247" s="1"/>
      <c r="V247" s="5">
        <f t="shared" ref="V247:V249" si="129">IF(T$12=0,0,T247/T$12)</f>
        <v>2.6426074937315278E-3</v>
      </c>
      <c r="W247" s="1"/>
      <c r="X247" s="1">
        <f t="shared" ref="X247:X249" si="130">+P247-T247</f>
        <v>-2469.0600000000013</v>
      </c>
      <c r="Y247" s="1"/>
      <c r="Z247" s="5">
        <f t="shared" ref="Z247:Z249" si="131">IF(T247=0,0,X247/T247)</f>
        <v>-8.9501014066433626E-2</v>
      </c>
    </row>
    <row r="248" spans="1:26" s="24" customFormat="1" hidden="1" outlineLevel="2" x14ac:dyDescent="0.25">
      <c r="A248" s="27"/>
      <c r="B248" s="11" t="str">
        <f>CONCATENATE("          ", "6303", " - ", "DATA PHONE LINES")</f>
        <v xml:space="preserve">          6303 - DATA PHONE LINES</v>
      </c>
      <c r="C248" s="11"/>
      <c r="D248" s="6"/>
      <c r="E248" s="2"/>
      <c r="F248" s="7">
        <f t="shared" si="124"/>
        <v>0</v>
      </c>
      <c r="G248" s="2"/>
      <c r="H248" s="6">
        <v>295</v>
      </c>
      <c r="I248" s="2"/>
      <c r="J248" s="7">
        <f t="shared" si="125"/>
        <v>5.0203032123592858E-4</v>
      </c>
      <c r="K248" s="2"/>
      <c r="L248" s="6">
        <f t="shared" si="126"/>
        <v>-295</v>
      </c>
      <c r="M248" s="2"/>
      <c r="N248" s="7">
        <f t="shared" si="127"/>
        <v>-1</v>
      </c>
      <c r="O248" s="11"/>
      <c r="P248" s="6">
        <v>2360</v>
      </c>
      <c r="Q248" s="2"/>
      <c r="R248" s="7">
        <f t="shared" si="128"/>
        <v>2.6931033314146952E-4</v>
      </c>
      <c r="S248" s="2"/>
      <c r="T248" s="6">
        <v>2655</v>
      </c>
      <c r="U248" s="2"/>
      <c r="V248" s="7">
        <f t="shared" si="129"/>
        <v>2.5432760402499028E-4</v>
      </c>
      <c r="W248" s="2"/>
      <c r="X248" s="6">
        <f t="shared" si="130"/>
        <v>-295</v>
      </c>
      <c r="Y248" s="2"/>
      <c r="Z248" s="7">
        <f t="shared" si="131"/>
        <v>-0.1111111111111111</v>
      </c>
    </row>
    <row r="249" spans="1:26" s="24" customFormat="1" hidden="1" outlineLevel="2" x14ac:dyDescent="0.25">
      <c r="A249" s="27"/>
      <c r="B249" s="11" t="str">
        <f>CONCATENATE("          ", "6309", " - ", "TELEPHONE")</f>
        <v xml:space="preserve">          6309 - TELEPHONE</v>
      </c>
      <c r="C249" s="11"/>
      <c r="D249" s="6">
        <v>2553.83</v>
      </c>
      <c r="E249" s="2"/>
      <c r="F249" s="7">
        <f t="shared" si="124"/>
        <v>1.5493105139606474E-2</v>
      </c>
      <c r="G249" s="2"/>
      <c r="H249" s="6">
        <v>2619.39</v>
      </c>
      <c r="I249" s="2"/>
      <c r="J249" s="7">
        <f t="shared" si="125"/>
        <v>4.4576718750582341E-3</v>
      </c>
      <c r="K249" s="2"/>
      <c r="L249" s="6">
        <f t="shared" si="126"/>
        <v>-65.559999999999945</v>
      </c>
      <c r="M249" s="2"/>
      <c r="N249" s="7">
        <f t="shared" si="127"/>
        <v>-2.5028728062640518E-2</v>
      </c>
      <c r="O249" s="11"/>
      <c r="P249" s="6">
        <v>22757.89</v>
      </c>
      <c r="Q249" s="2"/>
      <c r="R249" s="7">
        <f t="shared" si="128"/>
        <v>2.5970063294478464E-3</v>
      </c>
      <c r="S249" s="2"/>
      <c r="T249" s="6">
        <v>24931.95</v>
      </c>
      <c r="U249" s="2"/>
      <c r="V249" s="7">
        <f t="shared" si="129"/>
        <v>2.3882798897065377E-3</v>
      </c>
      <c r="W249" s="2"/>
      <c r="X249" s="6">
        <f t="shared" si="130"/>
        <v>-2174.0600000000013</v>
      </c>
      <c r="Y249" s="2"/>
      <c r="Z249" s="7">
        <f t="shared" si="131"/>
        <v>-8.7199757740569886E-2</v>
      </c>
    </row>
    <row r="250" spans="1:26" s="25" customFormat="1" outlineLevel="1" collapsed="1" x14ac:dyDescent="0.25">
      <c r="A250" s="26"/>
      <c r="B250" s="13" t="str">
        <f>CONCATENATE("     ","Training                                          ")</f>
        <v xml:space="preserve">     Training                                          </v>
      </c>
      <c r="C250" s="13"/>
      <c r="D250" s="1">
        <f>SUM(OSRRefD22_22x_0)</f>
        <v>1350</v>
      </c>
      <c r="E250" s="1"/>
      <c r="F250" s="5">
        <f t="shared" ref="F250:F255" si="132">IF(D$12=0,0,D250/D$12)</f>
        <v>8.1899311772783388E-3</v>
      </c>
      <c r="G250" s="1"/>
      <c r="H250" s="1">
        <f>SUM(OSRRefH22_22x_0)</f>
        <v>2345.08</v>
      </c>
      <c r="I250" s="1"/>
      <c r="J250" s="5">
        <f t="shared" ref="J250:J255" si="133">IF(H$12=0,0,H250/H$12)</f>
        <v>3.9908517482167847E-3</v>
      </c>
      <c r="K250" s="1"/>
      <c r="L250" s="1">
        <f t="shared" ref="L250:L255" si="134">+D250-H250</f>
        <v>-995.07999999999993</v>
      </c>
      <c r="M250" s="1"/>
      <c r="N250" s="5">
        <f t="shared" ref="N250:N255" si="135">IF(H250=0,0,L250/H250)</f>
        <v>-0.42432667542258684</v>
      </c>
      <c r="O250" s="13"/>
      <c r="P250" s="1">
        <f>SUM(OSRRefP22_22x_0)</f>
        <v>21716.880000000001</v>
      </c>
      <c r="Q250" s="1"/>
      <c r="R250" s="5">
        <f t="shared" ref="R250:R255" si="136">IF(P$12=0,0,P250/P$12)</f>
        <v>2.4782119438954732E-3</v>
      </c>
      <c r="S250" s="1"/>
      <c r="T250" s="1">
        <f>SUM(OSRRefT22_22x_0)</f>
        <v>20733.390000000003</v>
      </c>
      <c r="U250" s="1"/>
      <c r="V250" s="5">
        <f t="shared" ref="V250:V255" si="137">IF(T$12=0,0,T250/T$12)</f>
        <v>1.9860916768420695E-3</v>
      </c>
      <c r="W250" s="1"/>
      <c r="X250" s="1">
        <f t="shared" ref="X250:X255" si="138">+P250-T250</f>
        <v>983.48999999999796</v>
      </c>
      <c r="Y250" s="1"/>
      <c r="Z250" s="5">
        <f t="shared" ref="Z250:Z255" si="139">IF(T250=0,0,X250/T250)</f>
        <v>4.7435079357500042E-2</v>
      </c>
    </row>
    <row r="251" spans="1:26" s="24" customFormat="1" hidden="1" outlineLevel="2" x14ac:dyDescent="0.25">
      <c r="A251" s="27"/>
      <c r="B251" s="11" t="str">
        <f>CONCATENATE("          ", "6376", " - ", "TRAINING")</f>
        <v xml:space="preserve">          6376 - TRAINING</v>
      </c>
      <c r="C251" s="11"/>
      <c r="D251" s="6">
        <v>1350</v>
      </c>
      <c r="E251" s="2"/>
      <c r="F251" s="7">
        <f t="shared" si="132"/>
        <v>8.1899311772783388E-3</v>
      </c>
      <c r="G251" s="2"/>
      <c r="H251" s="6">
        <v>2345.08</v>
      </c>
      <c r="I251" s="2"/>
      <c r="J251" s="7">
        <f t="shared" si="133"/>
        <v>3.9908517482167847E-3</v>
      </c>
      <c r="K251" s="2"/>
      <c r="L251" s="6">
        <f t="shared" si="134"/>
        <v>-995.07999999999993</v>
      </c>
      <c r="M251" s="2"/>
      <c r="N251" s="7">
        <f t="shared" si="135"/>
        <v>-0.42432667542258684</v>
      </c>
      <c r="O251" s="11"/>
      <c r="P251" s="6">
        <v>21716.880000000001</v>
      </c>
      <c r="Q251" s="2"/>
      <c r="R251" s="7">
        <f t="shared" si="136"/>
        <v>2.4782119438954732E-3</v>
      </c>
      <c r="S251" s="2"/>
      <c r="T251" s="6">
        <v>20733.390000000003</v>
      </c>
      <c r="U251" s="2"/>
      <c r="V251" s="7">
        <f t="shared" si="137"/>
        <v>1.9860916768420695E-3</v>
      </c>
      <c r="W251" s="2"/>
      <c r="X251" s="6">
        <f t="shared" si="138"/>
        <v>983.48999999999796</v>
      </c>
      <c r="Y251" s="2"/>
      <c r="Z251" s="7">
        <f t="shared" si="139"/>
        <v>4.7435079357500042E-2</v>
      </c>
    </row>
    <row r="252" spans="1:26" s="25" customFormat="1" outlineLevel="1" collapsed="1" x14ac:dyDescent="0.25">
      <c r="A252" s="26"/>
      <c r="B252" s="13" t="str">
        <f>CONCATENATE("     ","Travel                                            ")</f>
        <v xml:space="preserve">     Travel                                            </v>
      </c>
      <c r="C252" s="13"/>
      <c r="D252" s="1">
        <f>SUM(OSRRefD22_23x_0)</f>
        <v>85.45</v>
      </c>
      <c r="E252" s="1"/>
      <c r="F252" s="5">
        <f t="shared" si="132"/>
        <v>5.1839231044328458E-4</v>
      </c>
      <c r="G252" s="1"/>
      <c r="H252" s="1">
        <f>SUM(OSRRefH22_23x_0)</f>
        <v>200.95</v>
      </c>
      <c r="I252" s="1"/>
      <c r="J252" s="5">
        <f t="shared" si="133"/>
        <v>3.4197624763511811E-4</v>
      </c>
      <c r="K252" s="1"/>
      <c r="L252" s="1">
        <f t="shared" si="134"/>
        <v>-115.49999999999999</v>
      </c>
      <c r="M252" s="1"/>
      <c r="N252" s="5">
        <f t="shared" si="135"/>
        <v>-0.57476984324458813</v>
      </c>
      <c r="O252" s="13"/>
      <c r="P252" s="1">
        <f>SUM(OSRRefP22_23x_0)</f>
        <v>1317.79</v>
      </c>
      <c r="Q252" s="1"/>
      <c r="R252" s="5">
        <f t="shared" si="136"/>
        <v>1.5037901013156656E-4</v>
      </c>
      <c r="S252" s="1"/>
      <c r="T252" s="1">
        <f>SUM(OSRRefT22_23x_0)</f>
        <v>3556.76</v>
      </c>
      <c r="U252" s="1"/>
      <c r="V252" s="5">
        <f t="shared" si="137"/>
        <v>3.4070894496870984E-4</v>
      </c>
      <c r="W252" s="1"/>
      <c r="X252" s="1">
        <f t="shared" si="138"/>
        <v>-2238.9700000000003</v>
      </c>
      <c r="Y252" s="1"/>
      <c r="Z252" s="5">
        <f t="shared" si="139"/>
        <v>-0.62949707036741309</v>
      </c>
    </row>
    <row r="253" spans="1:26" s="24" customFormat="1" hidden="1" outlineLevel="2" x14ac:dyDescent="0.25">
      <c r="A253" s="27"/>
      <c r="B253" s="11" t="str">
        <f>CONCATENATE("          ", "6292", " - ", "TRAVEL/CONFERENCE")</f>
        <v xml:space="preserve">          6292 - TRAVEL/CONFERENCE</v>
      </c>
      <c r="C253" s="11"/>
      <c r="D253" s="6"/>
      <c r="E253" s="2"/>
      <c r="F253" s="7">
        <f t="shared" si="132"/>
        <v>0</v>
      </c>
      <c r="G253" s="2"/>
      <c r="H253" s="6">
        <v>47.96</v>
      </c>
      <c r="I253" s="2"/>
      <c r="J253" s="7">
        <f t="shared" si="133"/>
        <v>8.161821764906826E-5</v>
      </c>
      <c r="K253" s="2"/>
      <c r="L253" s="6">
        <f t="shared" si="134"/>
        <v>-47.96</v>
      </c>
      <c r="M253" s="2"/>
      <c r="N253" s="7">
        <f t="shared" si="135"/>
        <v>-1</v>
      </c>
      <c r="O253" s="11"/>
      <c r="P253" s="6">
        <v>504.66</v>
      </c>
      <c r="Q253" s="2"/>
      <c r="R253" s="7">
        <f t="shared" si="136"/>
        <v>5.7589047764056782E-5</v>
      </c>
      <c r="S253" s="2"/>
      <c r="T253" s="6">
        <v>2403.5100000000002</v>
      </c>
      <c r="U253" s="2"/>
      <c r="V253" s="7">
        <f t="shared" si="137"/>
        <v>2.3023688871943673E-4</v>
      </c>
      <c r="W253" s="2"/>
      <c r="X253" s="6">
        <f t="shared" si="138"/>
        <v>-1898.8500000000001</v>
      </c>
      <c r="Y253" s="2"/>
      <c r="Z253" s="7">
        <f t="shared" si="139"/>
        <v>-0.79003207808579945</v>
      </c>
    </row>
    <row r="254" spans="1:26" s="24" customFormat="1" hidden="1" outlineLevel="2" x14ac:dyDescent="0.25">
      <c r="A254" s="27"/>
      <c r="B254" s="11" t="str">
        <f>CONCATENATE("          ", "6294", " - ", "TRAVEL OPERATIONAL")</f>
        <v xml:space="preserve">          6294 - TRAVEL OPERATIONAL</v>
      </c>
      <c r="C254" s="11"/>
      <c r="D254" s="6"/>
      <c r="E254" s="2"/>
      <c r="F254" s="7">
        <f t="shared" si="132"/>
        <v>0</v>
      </c>
      <c r="G254" s="2"/>
      <c r="H254" s="6">
        <v>106.79</v>
      </c>
      <c r="I254" s="2"/>
      <c r="J254" s="7">
        <f t="shared" si="133"/>
        <v>1.8173497628740616E-4</v>
      </c>
      <c r="K254" s="2"/>
      <c r="L254" s="6">
        <f t="shared" si="134"/>
        <v>-106.79</v>
      </c>
      <c r="M254" s="2"/>
      <c r="N254" s="7">
        <f t="shared" si="135"/>
        <v>-1</v>
      </c>
      <c r="O254" s="11"/>
      <c r="P254" s="6">
        <v>361.61</v>
      </c>
      <c r="Q254" s="2"/>
      <c r="R254" s="7">
        <f t="shared" si="136"/>
        <v>4.1264961681053723E-5</v>
      </c>
      <c r="S254" s="2"/>
      <c r="T254" s="6">
        <v>579.4</v>
      </c>
      <c r="U254" s="2"/>
      <c r="V254" s="7">
        <f t="shared" si="137"/>
        <v>5.5501850761611817E-5</v>
      </c>
      <c r="W254" s="2"/>
      <c r="X254" s="6">
        <f t="shared" si="138"/>
        <v>-217.78999999999996</v>
      </c>
      <c r="Y254" s="2"/>
      <c r="Z254" s="7">
        <f t="shared" si="139"/>
        <v>-0.37588885053503618</v>
      </c>
    </row>
    <row r="255" spans="1:26" s="24" customFormat="1" hidden="1" outlineLevel="2" x14ac:dyDescent="0.25">
      <c r="A255" s="27"/>
      <c r="B255" s="11" t="str">
        <f>CONCATENATE("          ", "6298", " - ", "VEHICLE MILEAGE")</f>
        <v xml:space="preserve">          6298 - VEHICLE MILEAGE</v>
      </c>
      <c r="C255" s="11"/>
      <c r="D255" s="6">
        <v>85.45</v>
      </c>
      <c r="E255" s="2"/>
      <c r="F255" s="7">
        <f t="shared" si="132"/>
        <v>5.1839231044328458E-4</v>
      </c>
      <c r="G255" s="2"/>
      <c r="H255" s="6">
        <v>46.2</v>
      </c>
      <c r="I255" s="2"/>
      <c r="J255" s="7">
        <f t="shared" si="133"/>
        <v>7.862305369864374E-5</v>
      </c>
      <c r="K255" s="2"/>
      <c r="L255" s="6">
        <f t="shared" si="134"/>
        <v>39.25</v>
      </c>
      <c r="M255" s="2"/>
      <c r="N255" s="7">
        <f t="shared" si="135"/>
        <v>0.84956709956709953</v>
      </c>
      <c r="O255" s="11"/>
      <c r="P255" s="6">
        <v>451.52</v>
      </c>
      <c r="Q255" s="2"/>
      <c r="R255" s="7">
        <f t="shared" si="136"/>
        <v>5.1525000686456058E-5</v>
      </c>
      <c r="S255" s="2"/>
      <c r="T255" s="6">
        <v>573.85</v>
      </c>
      <c r="U255" s="2"/>
      <c r="V255" s="7">
        <f t="shared" si="137"/>
        <v>5.4970205487661281E-5</v>
      </c>
      <c r="W255" s="2"/>
      <c r="X255" s="6">
        <f t="shared" si="138"/>
        <v>-122.33000000000004</v>
      </c>
      <c r="Y255" s="2"/>
      <c r="Z255" s="7">
        <f t="shared" si="139"/>
        <v>-0.21317417443582823</v>
      </c>
    </row>
    <row r="256" spans="1:26" s="25" customFormat="1" outlineLevel="1" collapsed="1" x14ac:dyDescent="0.25">
      <c r="A256" s="26"/>
      <c r="B256" s="13" t="str">
        <f>CONCATENATE("     ","Utilities                                         ")</f>
        <v xml:space="preserve">     Utilities                                         </v>
      </c>
      <c r="C256" s="13"/>
      <c r="D256" s="1">
        <f>SUM(OSRRefD22_24x_0)</f>
        <v>6201.05</v>
      </c>
      <c r="E256" s="1"/>
      <c r="F256" s="5">
        <f t="shared" ref="F256:F257" si="140">IF(D$12=0,0,D256/D$12)</f>
        <v>3.7619387205082851E-2</v>
      </c>
      <c r="G256" s="1"/>
      <c r="H256" s="1">
        <f>SUM(OSRRefH22_24x_0)</f>
        <v>5609.19</v>
      </c>
      <c r="I256" s="1"/>
      <c r="J256" s="5">
        <f t="shared" ref="J256:J257" si="141">IF(H$12=0,0,H256/H$12)</f>
        <v>9.5457066358418923E-3</v>
      </c>
      <c r="K256" s="1"/>
      <c r="L256" s="1">
        <f t="shared" ref="L256:L257" si="142">+D256-H256</f>
        <v>591.86000000000058</v>
      </c>
      <c r="M256" s="1"/>
      <c r="N256" s="5">
        <f t="shared" ref="N256:N257" si="143">IF(H256=0,0,L256/H256)</f>
        <v>0.10551612621430199</v>
      </c>
      <c r="O256" s="13"/>
      <c r="P256" s="1">
        <f>SUM(OSRRefP22_24x_0)</f>
        <v>59205.35</v>
      </c>
      <c r="Q256" s="1"/>
      <c r="R256" s="5">
        <f t="shared" ref="R256:R257" si="144">IF(P$12=0,0,P256/P$12)</f>
        <v>6.7561917509564836E-3</v>
      </c>
      <c r="S256" s="1"/>
      <c r="T256" s="1">
        <f>SUM(OSRRefT22_24x_0)</f>
        <v>46471.13</v>
      </c>
      <c r="U256" s="1"/>
      <c r="V256" s="5">
        <f t="shared" ref="V256:V257" si="145">IF(T$12=0,0,T256/T$12)</f>
        <v>4.4515597548903376E-3</v>
      </c>
      <c r="W256" s="1"/>
      <c r="X256" s="1">
        <f t="shared" ref="X256:X257" si="146">+P256-T256</f>
        <v>12734.220000000001</v>
      </c>
      <c r="Y256" s="1"/>
      <c r="Z256" s="5">
        <f t="shared" ref="Z256:Z257" si="147">IF(T256=0,0,X256/T256)</f>
        <v>0.2740243243493326</v>
      </c>
    </row>
    <row r="257" spans="1:26" s="24" customFormat="1" hidden="1" outlineLevel="2" x14ac:dyDescent="0.25">
      <c r="A257" s="27"/>
      <c r="B257" s="11" t="str">
        <f>CONCATENATE("          ", "6274", " - ", "UTILITIES")</f>
        <v xml:space="preserve">          6274 - UTILITIES</v>
      </c>
      <c r="C257" s="11"/>
      <c r="D257" s="6">
        <v>6201.05</v>
      </c>
      <c r="E257" s="2"/>
      <c r="F257" s="7">
        <f t="shared" si="140"/>
        <v>3.7619387205082851E-2</v>
      </c>
      <c r="G257" s="2"/>
      <c r="H257" s="6">
        <v>5609.19</v>
      </c>
      <c r="I257" s="2"/>
      <c r="J257" s="7">
        <f t="shared" si="141"/>
        <v>9.5457066358418923E-3</v>
      </c>
      <c r="K257" s="2"/>
      <c r="L257" s="6">
        <f t="shared" si="142"/>
        <v>591.86000000000058</v>
      </c>
      <c r="M257" s="2"/>
      <c r="N257" s="7">
        <f t="shared" si="143"/>
        <v>0.10551612621430199</v>
      </c>
      <c r="O257" s="11"/>
      <c r="P257" s="6">
        <v>59205.35</v>
      </c>
      <c r="Q257" s="2"/>
      <c r="R257" s="7">
        <f t="shared" si="144"/>
        <v>6.7561917509564836E-3</v>
      </c>
      <c r="S257" s="2"/>
      <c r="T257" s="6">
        <v>46471.13</v>
      </c>
      <c r="U257" s="2"/>
      <c r="V257" s="7">
        <f t="shared" si="145"/>
        <v>4.4515597548903376E-3</v>
      </c>
      <c r="W257" s="2"/>
      <c r="X257" s="6">
        <f t="shared" si="146"/>
        <v>12734.220000000001</v>
      </c>
      <c r="Y257" s="2"/>
      <c r="Z257" s="7">
        <f t="shared" si="147"/>
        <v>0.2740243243493326</v>
      </c>
    </row>
    <row r="258" spans="1:26" s="53" customFormat="1" x14ac:dyDescent="0.25">
      <c r="A258" s="37"/>
      <c r="B258" s="37"/>
      <c r="C258" s="37"/>
      <c r="D258" s="1"/>
      <c r="E258" s="1"/>
      <c r="F258" s="5"/>
      <c r="G258" s="1"/>
      <c r="H258" s="1"/>
      <c r="I258" s="1"/>
      <c r="J258" s="5"/>
      <c r="K258" s="1"/>
      <c r="L258" s="1"/>
      <c r="M258" s="1"/>
      <c r="N258" s="5"/>
      <c r="O258" s="37"/>
      <c r="P258" s="1"/>
      <c r="Q258" s="1"/>
      <c r="R258" s="5"/>
      <c r="S258" s="1"/>
      <c r="T258" s="1"/>
      <c r="U258" s="1"/>
      <c r="V258" s="5"/>
      <c r="W258" s="1"/>
      <c r="X258" s="1"/>
      <c r="Y258" s="1"/>
      <c r="Z258" s="5"/>
    </row>
    <row r="259" spans="1:26" s="23" customFormat="1" collapsed="1" x14ac:dyDescent="0.25">
      <c r="A259" s="10"/>
      <c r="B259" s="29" t="s">
        <v>0</v>
      </c>
      <c r="C259" s="10"/>
      <c r="D259" s="4">
        <f>SUM(OSRRefD25x_0)</f>
        <v>390561.66</v>
      </c>
      <c r="E259" s="4"/>
      <c r="F259" s="12">
        <f t="shared" ref="F259:F268" si="148">IF(D$12=0,0,D259/D$12)</f>
        <v>2.369387493247098</v>
      </c>
      <c r="G259" s="4"/>
      <c r="H259" s="4">
        <f>SUM(OSRRefH25x_0)</f>
        <v>163829.18</v>
      </c>
      <c r="I259" s="4"/>
      <c r="J259" s="12">
        <f t="shared" ref="J259:J268" si="149">IF(H$12=0,0,H259/H$12)</f>
        <v>0.2788041215702331</v>
      </c>
      <c r="K259" s="4"/>
      <c r="L259" s="4">
        <f t="shared" ref="L259:L268" si="150">+D259-H259</f>
        <v>226732.47999999998</v>
      </c>
      <c r="M259" s="4"/>
      <c r="N259" s="12">
        <f t="shared" ref="N259:N268" si="151">IF(H259=0,0,L259/H259)</f>
        <v>1.3839566309249671</v>
      </c>
      <c r="O259" s="10"/>
      <c r="P259" s="4">
        <f>SUM(OSRRefP25x_0)</f>
        <v>1061028.04</v>
      </c>
      <c r="Q259" s="4"/>
      <c r="R259" s="12">
        <f t="shared" ref="R259:R268" si="152">IF(P$12=0,0,P259/P$12)</f>
        <v>0.12107873513764425</v>
      </c>
      <c r="S259" s="4"/>
      <c r="T259" s="4">
        <f>SUM(OSRRefT25x_0)</f>
        <v>1063238.23</v>
      </c>
      <c r="U259" s="4"/>
      <c r="V259" s="12">
        <f t="shared" ref="V259:V268" si="153">IF(T$12=0,0,T259/T$12)</f>
        <v>0.10184965406541302</v>
      </c>
      <c r="W259" s="4"/>
      <c r="X259" s="4">
        <f t="shared" ref="X259:X268" si="154">+P259-T259</f>
        <v>-2210.1899999999441</v>
      </c>
      <c r="Y259" s="4"/>
      <c r="Z259" s="12">
        <f t="shared" ref="Z259:Z268" si="155">IF(T259=0,0,X259/T259)</f>
        <v>-2.078734509010219E-3</v>
      </c>
    </row>
    <row r="260" spans="1:26" s="24" customFormat="1" hidden="1" outlineLevel="1" x14ac:dyDescent="0.25">
      <c r="A260" s="44"/>
      <c r="B260" s="11" t="str">
        <f>CONCATENATE("          ", "4098", " - ", "TAXABLE SALES-GRAD RENTALS")</f>
        <v xml:space="preserve">          4098 - TAXABLE SALES-GRAD RENTALS</v>
      </c>
      <c r="C260" s="11"/>
      <c r="D260" s="2">
        <f t="shared" ref="D260:D261" si="156">0</f>
        <v>0</v>
      </c>
      <c r="E260" s="2"/>
      <c r="F260" s="19">
        <f t="shared" si="148"/>
        <v>0</v>
      </c>
      <c r="G260" s="2"/>
      <c r="H260" s="2">
        <f>--1176.5</f>
        <v>1176.5</v>
      </c>
      <c r="I260" s="2"/>
      <c r="J260" s="19">
        <f t="shared" si="149"/>
        <v>2.0021649929968474E-3</v>
      </c>
      <c r="K260" s="2"/>
      <c r="L260" s="2">
        <f t="shared" si="150"/>
        <v>-1176.5</v>
      </c>
      <c r="M260" s="2"/>
      <c r="N260" s="19">
        <f t="shared" si="151"/>
        <v>-1</v>
      </c>
      <c r="O260" s="11"/>
      <c r="P260" s="2">
        <f>--2098.85</f>
        <v>2098.85</v>
      </c>
      <c r="Q260" s="2"/>
      <c r="R260" s="19">
        <f t="shared" si="152"/>
        <v>2.3950931894659881E-4</v>
      </c>
      <c r="S260" s="2"/>
      <c r="T260" s="2">
        <f>--7074</f>
        <v>7074</v>
      </c>
      <c r="U260" s="2"/>
      <c r="V260" s="19">
        <f t="shared" si="153"/>
        <v>6.776321924191267E-4</v>
      </c>
      <c r="W260" s="2"/>
      <c r="X260" s="2">
        <f t="shared" si="154"/>
        <v>-4975.1499999999996</v>
      </c>
      <c r="Y260" s="2"/>
      <c r="Z260" s="19">
        <f t="shared" si="155"/>
        <v>-0.70330081990387328</v>
      </c>
    </row>
    <row r="261" spans="1:26" s="24" customFormat="1" hidden="1" outlineLevel="1" x14ac:dyDescent="0.25">
      <c r="A261" s="44"/>
      <c r="B261" s="11" t="str">
        <f>CONCATENATE("          ", "4197", " - ", "NON-TAXABLE SALES-RETURNED CHE")</f>
        <v xml:space="preserve">          4197 - NON-TAXABLE SALES-RETURNED CHE</v>
      </c>
      <c r="C261" s="11"/>
      <c r="D261" s="2">
        <f t="shared" si="156"/>
        <v>0</v>
      </c>
      <c r="E261" s="2"/>
      <c r="F261" s="19">
        <f t="shared" si="148"/>
        <v>0</v>
      </c>
      <c r="G261" s="2"/>
      <c r="H261" s="2">
        <f>0</f>
        <v>0</v>
      </c>
      <c r="I261" s="2"/>
      <c r="J261" s="19">
        <f t="shared" si="149"/>
        <v>0</v>
      </c>
      <c r="K261" s="2"/>
      <c r="L261" s="2">
        <f t="shared" si="150"/>
        <v>0</v>
      </c>
      <c r="M261" s="2"/>
      <c r="N261" s="19">
        <f t="shared" si="151"/>
        <v>0</v>
      </c>
      <c r="O261" s="11"/>
      <c r="P261" s="2">
        <f>--30</f>
        <v>30</v>
      </c>
      <c r="Q261" s="2"/>
      <c r="R261" s="19">
        <f t="shared" si="152"/>
        <v>3.4234364382390191E-6</v>
      </c>
      <c r="S261" s="2"/>
      <c r="T261" s="2">
        <f>--335</f>
        <v>335</v>
      </c>
      <c r="U261" s="2"/>
      <c r="V261" s="19">
        <f t="shared" si="153"/>
        <v>3.2090300319537386E-5</v>
      </c>
      <c r="W261" s="2"/>
      <c r="X261" s="2">
        <f t="shared" si="154"/>
        <v>-305</v>
      </c>
      <c r="Y261" s="2"/>
      <c r="Z261" s="19">
        <f t="shared" si="155"/>
        <v>-0.91044776119402981</v>
      </c>
    </row>
    <row r="262" spans="1:26" s="24" customFormat="1" hidden="1" outlineLevel="1" x14ac:dyDescent="0.25">
      <c r="A262" s="44"/>
      <c r="B262" s="11" t="str">
        <f>CONCATENATE("          ", "4198", " - ", "NON-TAXABLE SALES-GRAD RENTALS")</f>
        <v xml:space="preserve">          4198 - NON-TAXABLE SALES-GRAD RENTALS</v>
      </c>
      <c r="C262" s="11"/>
      <c r="D262" s="2">
        <f>-98.64</f>
        <v>-98.64</v>
      </c>
      <c r="E262" s="2"/>
      <c r="F262" s="19">
        <f t="shared" si="148"/>
        <v>-5.9841097135313731E-4</v>
      </c>
      <c r="G262" s="2"/>
      <c r="H262" s="2">
        <f>--132723.55</f>
        <v>132723.54999999999</v>
      </c>
      <c r="I262" s="2"/>
      <c r="J262" s="19">
        <f t="shared" si="149"/>
        <v>0.22586863200702653</v>
      </c>
      <c r="K262" s="2"/>
      <c r="L262" s="2">
        <f t="shared" si="150"/>
        <v>-132822.19</v>
      </c>
      <c r="M262" s="2"/>
      <c r="N262" s="19">
        <f t="shared" si="151"/>
        <v>-1.0007431989273947</v>
      </c>
      <c r="O262" s="11"/>
      <c r="P262" s="2">
        <f>--3633.46</f>
        <v>3633.46</v>
      </c>
      <c r="Q262" s="2"/>
      <c r="R262" s="19">
        <f t="shared" si="152"/>
        <v>4.1463064536279823E-4</v>
      </c>
      <c r="S262" s="2"/>
      <c r="T262" s="2">
        <f>--384565.85</f>
        <v>384565.85</v>
      </c>
      <c r="U262" s="2"/>
      <c r="V262" s="19">
        <f t="shared" si="153"/>
        <v>3.6838309310860191E-2</v>
      </c>
      <c r="W262" s="2"/>
      <c r="X262" s="2">
        <f t="shared" si="154"/>
        <v>-380932.38999999996</v>
      </c>
      <c r="Y262" s="2"/>
      <c r="Z262" s="19">
        <f t="shared" si="155"/>
        <v>-0.99055178716466885</v>
      </c>
    </row>
    <row r="263" spans="1:26" s="24" customFormat="1" hidden="1" outlineLevel="1" x14ac:dyDescent="0.25">
      <c r="A263" s="44"/>
      <c r="B263" s="11" t="str">
        <f>CONCATENATE("          ", "9150", " - ", "MISC. INCOME")</f>
        <v xml:space="preserve">          9150 - MISC. INCOME</v>
      </c>
      <c r="C263" s="11"/>
      <c r="D263" s="2">
        <f>--44617.49</f>
        <v>44617.49</v>
      </c>
      <c r="E263" s="2"/>
      <c r="F263" s="19">
        <f t="shared" si="148"/>
        <v>0.27067716474289222</v>
      </c>
      <c r="G263" s="2"/>
      <c r="H263" s="2">
        <f>--74884.33</f>
        <v>74884.33</v>
      </c>
      <c r="I263" s="2"/>
      <c r="J263" s="19">
        <f t="shared" si="149"/>
        <v>0.12743798049300775</v>
      </c>
      <c r="K263" s="2"/>
      <c r="L263" s="2">
        <f t="shared" si="150"/>
        <v>-30266.840000000004</v>
      </c>
      <c r="M263" s="2"/>
      <c r="N263" s="19">
        <f t="shared" si="151"/>
        <v>-0.40418122189248407</v>
      </c>
      <c r="O263" s="11"/>
      <c r="P263" s="2">
        <f>--427765.48</f>
        <v>427765.48</v>
      </c>
      <c r="Q263" s="2"/>
      <c r="R263" s="19">
        <f t="shared" si="152"/>
        <v>4.8814264375093473E-2</v>
      </c>
      <c r="S263" s="2"/>
      <c r="T263" s="2">
        <f>--584481.27</f>
        <v>584481.27</v>
      </c>
      <c r="U263" s="2"/>
      <c r="V263" s="19">
        <f t="shared" si="153"/>
        <v>5.5988595478939154E-2</v>
      </c>
      <c r="W263" s="2"/>
      <c r="X263" s="2">
        <f t="shared" si="154"/>
        <v>-156715.79000000004</v>
      </c>
      <c r="Y263" s="2"/>
      <c r="Z263" s="19">
        <f t="shared" si="155"/>
        <v>-0.26812799322038161</v>
      </c>
    </row>
    <row r="264" spans="1:26" s="24" customFormat="1" hidden="1" outlineLevel="1" x14ac:dyDescent="0.25">
      <c r="A264" s="44"/>
      <c r="B264" s="11" t="str">
        <f>CONCATENATE("          ", "9151", " - ", "MISC. INCOME")</f>
        <v xml:space="preserve">          9151 - MISC. INCOME</v>
      </c>
      <c r="C264" s="11"/>
      <c r="D264" s="2">
        <f>0</f>
        <v>0</v>
      </c>
      <c r="E264" s="2"/>
      <c r="F264" s="19">
        <f t="shared" si="148"/>
        <v>0</v>
      </c>
      <c r="G264" s="2"/>
      <c r="H264" s="2">
        <f>-30066.2</f>
        <v>-30066.2</v>
      </c>
      <c r="I264" s="2"/>
      <c r="J264" s="19">
        <f t="shared" si="149"/>
        <v>-5.1166589980826023E-2</v>
      </c>
      <c r="K264" s="2"/>
      <c r="L264" s="2">
        <f t="shared" si="150"/>
        <v>30066.2</v>
      </c>
      <c r="M264" s="2"/>
      <c r="N264" s="19">
        <f t="shared" si="151"/>
        <v>-1</v>
      </c>
      <c r="O264" s="11"/>
      <c r="P264" s="2">
        <f>--169392.7</f>
        <v>169392.7</v>
      </c>
      <c r="Q264" s="2"/>
      <c r="R264" s="19">
        <f t="shared" si="152"/>
        <v>1.9330171385056358E-2</v>
      </c>
      <c r="S264" s="2"/>
      <c r="T264" s="2">
        <f>-33295.53</f>
        <v>-33295.53</v>
      </c>
      <c r="U264" s="2"/>
      <c r="V264" s="19">
        <f t="shared" si="153"/>
        <v>-3.1894434537258699E-3</v>
      </c>
      <c r="W264" s="2"/>
      <c r="X264" s="2">
        <f t="shared" si="154"/>
        <v>202688.23</v>
      </c>
      <c r="Y264" s="2"/>
      <c r="Z264" s="19">
        <f t="shared" si="155"/>
        <v>-6.0875507913524736</v>
      </c>
    </row>
    <row r="265" spans="1:26" s="24" customFormat="1" hidden="1" outlineLevel="1" x14ac:dyDescent="0.25">
      <c r="A265" s="44"/>
      <c r="B265" s="11" t="str">
        <f>CONCATENATE("          ", "9152", " - ", "MISC. INCOME")</f>
        <v xml:space="preserve">          9152 - MISC. INCOME</v>
      </c>
      <c r="C265" s="11"/>
      <c r="D265" s="2">
        <f>--82.19</f>
        <v>82.19</v>
      </c>
      <c r="E265" s="2"/>
      <c r="F265" s="19">
        <f t="shared" si="148"/>
        <v>4.9861514330407899E-4</v>
      </c>
      <c r="G265" s="2"/>
      <c r="H265" s="2">
        <f>--111</f>
        <v>111</v>
      </c>
      <c r="I265" s="2"/>
      <c r="J265" s="19">
        <f t="shared" si="149"/>
        <v>1.8889954460063753E-4</v>
      </c>
      <c r="K265" s="2"/>
      <c r="L265" s="2">
        <f t="shared" si="150"/>
        <v>-28.810000000000002</v>
      </c>
      <c r="M265" s="2"/>
      <c r="N265" s="19">
        <f t="shared" si="151"/>
        <v>-0.25954954954954956</v>
      </c>
      <c r="O265" s="11"/>
      <c r="P265" s="2">
        <f>--4782.05</f>
        <v>4782.05</v>
      </c>
      <c r="Q265" s="2"/>
      <c r="R265" s="19">
        <f t="shared" si="152"/>
        <v>5.4570147398269673E-4</v>
      </c>
      <c r="S265" s="2"/>
      <c r="T265" s="2">
        <f>--10696.89</f>
        <v>10696.89</v>
      </c>
      <c r="U265" s="2"/>
      <c r="V265" s="19">
        <f t="shared" si="153"/>
        <v>1.0246758584628545E-3</v>
      </c>
      <c r="W265" s="2"/>
      <c r="X265" s="2">
        <f t="shared" si="154"/>
        <v>-5914.8399999999992</v>
      </c>
      <c r="Y265" s="2"/>
      <c r="Z265" s="19">
        <f t="shared" si="155"/>
        <v>-0.55294950214501593</v>
      </c>
    </row>
    <row r="266" spans="1:26" s="24" customFormat="1" hidden="1" outlineLevel="1" x14ac:dyDescent="0.25">
      <c r="A266" s="44"/>
      <c r="B266" s="11" t="str">
        <f>CONCATENATE("          ", "9153", " - ", "MISC. INCOME")</f>
        <v xml:space="preserve">          9153 - MISC. INCOME</v>
      </c>
      <c r="C266" s="11"/>
      <c r="D266" s="2">
        <f t="shared" ref="D266:D267" si="157">0</f>
        <v>0</v>
      </c>
      <c r="E266" s="2"/>
      <c r="F266" s="19">
        <f t="shared" si="148"/>
        <v>0</v>
      </c>
      <c r="G266" s="2"/>
      <c r="H266" s="2">
        <f t="shared" ref="H266:H267" si="158">0</f>
        <v>0</v>
      </c>
      <c r="I266" s="2"/>
      <c r="J266" s="19">
        <f t="shared" si="149"/>
        <v>0</v>
      </c>
      <c r="K266" s="2"/>
      <c r="L266" s="2">
        <f t="shared" si="150"/>
        <v>0</v>
      </c>
      <c r="M266" s="2"/>
      <c r="N266" s="19">
        <f t="shared" si="151"/>
        <v>0</v>
      </c>
      <c r="O266" s="11"/>
      <c r="P266" s="2">
        <f>--450</f>
        <v>450</v>
      </c>
      <c r="Q266" s="2"/>
      <c r="R266" s="19">
        <f t="shared" si="152"/>
        <v>5.1351546573585284E-5</v>
      </c>
      <c r="S266" s="2"/>
      <c r="T266" s="2">
        <f>--180</f>
        <v>180</v>
      </c>
      <c r="U266" s="2"/>
      <c r="V266" s="19">
        <f t="shared" si="153"/>
        <v>1.7242549425423071E-5</v>
      </c>
      <c r="W266" s="2"/>
      <c r="X266" s="2">
        <f t="shared" si="154"/>
        <v>270</v>
      </c>
      <c r="Y266" s="2"/>
      <c r="Z266" s="19">
        <f t="shared" si="155"/>
        <v>1.5</v>
      </c>
    </row>
    <row r="267" spans="1:26" s="24" customFormat="1" hidden="1" outlineLevel="1" x14ac:dyDescent="0.25">
      <c r="A267" s="44"/>
      <c r="B267" s="11" t="str">
        <f>CONCATENATE("          ", "9160", " - ", "MISC. INCOME")</f>
        <v xml:space="preserve">          9160 - MISC. INCOME</v>
      </c>
      <c r="C267" s="11"/>
      <c r="D267" s="2">
        <f t="shared" si="157"/>
        <v>0</v>
      </c>
      <c r="E267" s="2"/>
      <c r="F267" s="19">
        <f t="shared" si="148"/>
        <v>0</v>
      </c>
      <c r="G267" s="2"/>
      <c r="H267" s="2">
        <f t="shared" si="158"/>
        <v>0</v>
      </c>
      <c r="I267" s="2"/>
      <c r="J267" s="19">
        <f t="shared" si="149"/>
        <v>0</v>
      </c>
      <c r="K267" s="2"/>
      <c r="L267" s="2">
        <f t="shared" si="150"/>
        <v>0</v>
      </c>
      <c r="M267" s="2"/>
      <c r="N267" s="19">
        <f t="shared" si="151"/>
        <v>0</v>
      </c>
      <c r="O267" s="11"/>
      <c r="P267" s="2">
        <f>--22475</f>
        <v>22475</v>
      </c>
      <c r="Q267" s="2"/>
      <c r="R267" s="19">
        <f t="shared" si="152"/>
        <v>2.5647244649807319E-3</v>
      </c>
      <c r="S267" s="2"/>
      <c r="T267" s="2">
        <f>--40870</f>
        <v>40870</v>
      </c>
      <c r="U267" s="2"/>
      <c r="V267" s="19">
        <f t="shared" si="153"/>
        <v>3.9150166389835608E-3</v>
      </c>
      <c r="W267" s="2"/>
      <c r="X267" s="2">
        <f t="shared" si="154"/>
        <v>-18395</v>
      </c>
      <c r="Y267" s="2"/>
      <c r="Z267" s="19">
        <f t="shared" si="155"/>
        <v>-0.45008563738683632</v>
      </c>
    </row>
    <row r="268" spans="1:26" s="24" customFormat="1" hidden="1" outlineLevel="1" x14ac:dyDescent="0.25">
      <c r="A268" s="44"/>
      <c r="B268" s="11" t="str">
        <f>CONCATENATE("          ", "9163", " - ", "MISC. INCOME")</f>
        <v xml:space="preserve">          9163 - MISC. INCOME</v>
      </c>
      <c r="C268" s="11"/>
      <c r="D268" s="2">
        <f>--345960.62</f>
        <v>345960.62</v>
      </c>
      <c r="E268" s="2"/>
      <c r="F268" s="19">
        <f t="shared" si="148"/>
        <v>2.098810124332255</v>
      </c>
      <c r="G268" s="2"/>
      <c r="H268" s="2">
        <f>-15000</f>
        <v>-15000</v>
      </c>
      <c r="I268" s="2"/>
      <c r="J268" s="19">
        <f t="shared" si="149"/>
        <v>-2.5526965486572642E-2</v>
      </c>
      <c r="K268" s="2"/>
      <c r="L268" s="2">
        <f t="shared" si="150"/>
        <v>360960.62</v>
      </c>
      <c r="M268" s="2"/>
      <c r="N268" s="19">
        <f t="shared" si="151"/>
        <v>-24.064041333333332</v>
      </c>
      <c r="O268" s="11"/>
      <c r="P268" s="2">
        <f>--430400.5</f>
        <v>430400.5</v>
      </c>
      <c r="Q268" s="2"/>
      <c r="R268" s="19">
        <f t="shared" si="152"/>
        <v>4.9114958491209761E-2</v>
      </c>
      <c r="S268" s="2"/>
      <c r="T268" s="2">
        <f>--68330.75</f>
        <v>68330.75</v>
      </c>
      <c r="U268" s="2"/>
      <c r="V268" s="19">
        <f t="shared" si="153"/>
        <v>6.5455351897290423E-3</v>
      </c>
      <c r="W268" s="2"/>
      <c r="X268" s="2">
        <f t="shared" si="154"/>
        <v>362069.75</v>
      </c>
      <c r="Y268" s="2"/>
      <c r="Z268" s="19">
        <f t="shared" si="155"/>
        <v>5.2987820271254158</v>
      </c>
    </row>
    <row r="269" spans="1:26" x14ac:dyDescent="0.25">
      <c r="A269" s="9"/>
      <c r="B269" s="10"/>
      <c r="C269" s="10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O269" s="10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x14ac:dyDescent="0.25">
      <c r="A270" s="10"/>
      <c r="B270" s="28" t="s">
        <v>3</v>
      </c>
      <c r="C270" s="28"/>
      <c r="D270" s="21">
        <f>+D169-D171+D259</f>
        <v>222022.59000000003</v>
      </c>
      <c r="E270" s="14"/>
      <c r="F270" s="20">
        <f>IF(D$12=0,0,D270/D$12)</f>
        <v>1.346925727334138</v>
      </c>
      <c r="G270" s="14"/>
      <c r="H270" s="21">
        <f>+H169-H171+H259</f>
        <v>169021.10999999987</v>
      </c>
      <c r="I270" s="14"/>
      <c r="J270" s="20">
        <f>IF(H$12=0,0,H270/H$12)</f>
        <v>0.2876397360981463</v>
      </c>
      <c r="K270" s="15"/>
      <c r="L270" s="21">
        <f>+D270-H270</f>
        <v>53001.480000000156</v>
      </c>
      <c r="M270" s="15"/>
      <c r="N270" s="20">
        <f>IF(H270=0,0,L270/H270)</f>
        <v>0.31357905530261987</v>
      </c>
      <c r="O270" s="29"/>
      <c r="P270" s="21">
        <f>+P169-P171+P259</f>
        <v>1083118.5499999984</v>
      </c>
      <c r="Q270" s="14"/>
      <c r="R270" s="20">
        <f>IF(P$12=0,0,P270/P$12)</f>
        <v>0.12359958370008685</v>
      </c>
      <c r="S270" s="14"/>
      <c r="T270" s="21">
        <f>+T169-T171+T259</f>
        <v>1512839.1000000006</v>
      </c>
      <c r="U270" s="14"/>
      <c r="V270" s="20">
        <f>IF(T$12=0,0,T270/T$12)</f>
        <v>0.1449177941914587</v>
      </c>
      <c r="W270" s="15"/>
      <c r="X270" s="21">
        <f>+P270-T270</f>
        <v>-429720.55000000214</v>
      </c>
      <c r="Y270" s="15"/>
      <c r="Z270" s="20">
        <f>IF(T270=0,0,X270/T270)</f>
        <v>-0.2840490769970197</v>
      </c>
    </row>
    <row r="271" spans="1:26" x14ac:dyDescent="0.25">
      <c r="A271" s="9"/>
      <c r="B271" s="10"/>
      <c r="C271" s="9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x14ac:dyDescent="0.25">
      <c r="A272" s="51"/>
      <c r="B272" s="10" t="s">
        <v>13</v>
      </c>
      <c r="C272" s="10"/>
      <c r="D272" s="4">
        <v>73662.680000000008</v>
      </c>
      <c r="E272" s="4"/>
      <c r="F272" s="12">
        <f>IF(D$12=0,0,D272/D$12)</f>
        <v>0.44688317002509453</v>
      </c>
      <c r="G272" s="4"/>
      <c r="H272" s="4">
        <v>70802.38</v>
      </c>
      <c r="I272" s="4"/>
      <c r="J272" s="12">
        <f>IF(H$12=0,0,H272/H$12)</f>
        <v>0.12049132737514674</v>
      </c>
      <c r="K272" s="4"/>
      <c r="L272" s="4">
        <f>+D272-H272</f>
        <v>2860.3000000000029</v>
      </c>
      <c r="M272" s="4"/>
      <c r="N272" s="12">
        <f>IF(H272=0,0,L272/H272)</f>
        <v>4.0398359490175367E-2</v>
      </c>
      <c r="O272" s="10"/>
      <c r="P272" s="4">
        <v>994990.07999999996</v>
      </c>
      <c r="Q272" s="4"/>
      <c r="R272" s="12">
        <f>IF(P$12=0,0,P272/P$12)</f>
        <v>0.11354284318527855</v>
      </c>
      <c r="S272" s="4"/>
      <c r="T272" s="4">
        <v>1085253.6200000001</v>
      </c>
      <c r="U272" s="4"/>
      <c r="V272" s="12">
        <f>IF(T$12=0,0,T272/T$12)</f>
        <v>0.10395855101094062</v>
      </c>
      <c r="W272" s="4"/>
      <c r="X272" s="4">
        <f>+P272-T272</f>
        <v>-90263.540000000154</v>
      </c>
      <c r="Y272" s="4"/>
      <c r="Z272" s="12">
        <f>IF(T272=0,0,X272/T272)</f>
        <v>-8.3172761036263712E-2</v>
      </c>
    </row>
    <row r="273" spans="1:26" x14ac:dyDescent="0.25">
      <c r="A273" s="9"/>
      <c r="B273" s="10"/>
      <c r="C273" s="10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O273" s="10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ht="15.75" thickBot="1" x14ac:dyDescent="0.3">
      <c r="A274" s="10"/>
      <c r="B274" s="28" t="s">
        <v>4</v>
      </c>
      <c r="C274" s="28"/>
      <c r="D274" s="30">
        <f>+D270-D272</f>
        <v>148359.91000000003</v>
      </c>
      <c r="E274" s="14"/>
      <c r="F274" s="36">
        <f>IF(D$12=0,0,D274/D$12)</f>
        <v>0.90004255730904348</v>
      </c>
      <c r="G274" s="14"/>
      <c r="H274" s="30">
        <f>+H270-H272</f>
        <v>98218.729999999865</v>
      </c>
      <c r="I274" s="14"/>
      <c r="J274" s="36">
        <f>IF(H$12=0,0,H274/H$12)</f>
        <v>0.16714840872299955</v>
      </c>
      <c r="K274" s="15"/>
      <c r="L274" s="30">
        <f>D274-H274</f>
        <v>50141.180000000168</v>
      </c>
      <c r="M274" s="15"/>
      <c r="N274" s="36">
        <f>IF(H274=0,0,L274/H274)</f>
        <v>0.51050527735392459</v>
      </c>
      <c r="O274" s="29"/>
      <c r="P274" s="30">
        <f>+P270-P272</f>
        <v>88128.469999998459</v>
      </c>
      <c r="Q274" s="14"/>
      <c r="R274" s="36">
        <f>IF(P$12=0,0,P274/P$12)</f>
        <v>1.0056740514808298E-2</v>
      </c>
      <c r="S274" s="14"/>
      <c r="T274" s="30">
        <f>+T270-T272</f>
        <v>427585.48000000045</v>
      </c>
      <c r="U274" s="14"/>
      <c r="V274" s="36">
        <f>IF(T$12=0,0,T274/T$12)</f>
        <v>4.0959243180518086E-2</v>
      </c>
      <c r="W274" s="15"/>
      <c r="X274" s="30">
        <f>P274-T274</f>
        <v>-339457.01000000199</v>
      </c>
      <c r="Y274" s="15"/>
      <c r="Z274" s="36">
        <f>IF(T274=0,0,X274/T274)</f>
        <v>-0.79389274397250731</v>
      </c>
    </row>
    <row r="275" spans="1:26" ht="15.75" thickTop="1" x14ac:dyDescent="0.25">
      <c r="A275" s="9"/>
      <c r="B275" s="9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x14ac:dyDescent="0.25">
      <c r="A276" s="9"/>
      <c r="B276" s="9"/>
      <c r="C276" s="9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s="23" customFormat="1" ht="15.75" thickBot="1" x14ac:dyDescent="0.3">
      <c r="A277" s="10"/>
      <c r="B277" s="28" t="s">
        <v>5</v>
      </c>
      <c r="C277" s="28"/>
      <c r="D277" s="31">
        <f>SUM(D274:D276)</f>
        <v>148359.91000000003</v>
      </c>
      <c r="E277" s="14"/>
      <c r="F277" s="32">
        <f>IF(D$12=0,0,D277/D$12)</f>
        <v>0.90004255730904348</v>
      </c>
      <c r="G277" s="14"/>
      <c r="H277" s="31">
        <f>SUM(H274:H276)</f>
        <v>98218.729999999865</v>
      </c>
      <c r="I277" s="14"/>
      <c r="J277" s="32">
        <f>IF(H$12=0,0,H277/H$12)</f>
        <v>0.16714840872299955</v>
      </c>
      <c r="K277" s="15"/>
      <c r="L277" s="31">
        <f>+D277-H277</f>
        <v>50141.180000000168</v>
      </c>
      <c r="M277" s="15"/>
      <c r="N277" s="32">
        <f>IF(H277=0,0,L277/H277)</f>
        <v>0.51050527735392459</v>
      </c>
      <c r="O277" s="29"/>
      <c r="P277" s="31">
        <f>SUM(P274:P276)</f>
        <v>88128.469999998459</v>
      </c>
      <c r="Q277" s="14"/>
      <c r="R277" s="32">
        <f>IF(P$12=0,0,P277/P$12)</f>
        <v>1.0056740514808298E-2</v>
      </c>
      <c r="S277" s="14"/>
      <c r="T277" s="31">
        <f>SUM(T274:T276)</f>
        <v>427585.48000000045</v>
      </c>
      <c r="U277" s="14"/>
      <c r="V277" s="32">
        <f>IF(T$12=0,0,T277/T$12)</f>
        <v>4.0959243180518086E-2</v>
      </c>
      <c r="W277" s="15"/>
      <c r="X277" s="31">
        <f>+P277-T277</f>
        <v>-339457.01000000199</v>
      </c>
      <c r="Y277" s="15"/>
      <c r="Z277" s="32">
        <f>IF(T277=0,0,X277/T277)</f>
        <v>-0.79389274397250731</v>
      </c>
    </row>
    <row r="278" spans="1:26" ht="15.75" thickTop="1" x14ac:dyDescent="0.25">
      <c r="A278" s="9"/>
      <c r="C278" s="9"/>
      <c r="D278" s="17"/>
      <c r="E278" s="17"/>
      <c r="G278" s="17"/>
      <c r="H278" s="17"/>
      <c r="I278" s="17"/>
      <c r="J278" s="43"/>
      <c r="K278" s="17"/>
      <c r="L278" s="17"/>
      <c r="M278" s="17"/>
      <c r="P278" s="17"/>
      <c r="Q278" s="17"/>
      <c r="R278" s="43"/>
      <c r="S278" s="17"/>
      <c r="T278" s="17"/>
      <c r="U278" s="17"/>
      <c r="V278" s="43"/>
      <c r="W278" s="17"/>
      <c r="X278" s="17"/>
    </row>
    <row r="279" spans="1:26" x14ac:dyDescent="0.25">
      <c r="A279" s="9"/>
      <c r="B279" s="54">
        <v>43965.470381516207</v>
      </c>
      <c r="D279" s="17"/>
      <c r="E279" s="17"/>
      <c r="G279" s="17"/>
      <c r="H279" s="17"/>
      <c r="I279" s="17"/>
      <c r="J279" s="43"/>
      <c r="K279" s="17"/>
      <c r="L279" s="17"/>
      <c r="M279" s="17"/>
      <c r="P279" s="17"/>
      <c r="Q279" s="17"/>
      <c r="R279" s="43"/>
      <c r="S279" s="17"/>
      <c r="T279" s="17"/>
      <c r="U279" s="17"/>
      <c r="V279" s="43"/>
      <c r="W279" s="17"/>
      <c r="X279" s="17"/>
    </row>
    <row r="280" spans="1:26" x14ac:dyDescent="0.25">
      <c r="A280" s="9"/>
      <c r="B280" s="59" t="s">
        <v>313</v>
      </c>
      <c r="D280" s="17"/>
      <c r="E280" s="17"/>
      <c r="G280" s="17"/>
      <c r="H280" s="17"/>
      <c r="I280" s="17"/>
      <c r="J280" s="43"/>
      <c r="K280" s="17"/>
      <c r="L280" s="17"/>
      <c r="M280" s="17"/>
      <c r="P280" s="17"/>
      <c r="Q280" s="17"/>
      <c r="R280" s="43"/>
      <c r="S280" s="17"/>
      <c r="T280" s="17"/>
      <c r="U280" s="17"/>
      <c r="V280" s="43"/>
      <c r="W280" s="17"/>
      <c r="X280" s="17"/>
    </row>
    <row r="281" spans="1:26" x14ac:dyDescent="0.25">
      <c r="A281" s="9"/>
      <c r="B281" s="61"/>
      <c r="D281" s="17"/>
      <c r="E281" s="17"/>
      <c r="G281" s="17"/>
      <c r="H281" s="17"/>
      <c r="I281" s="17"/>
      <c r="J281" s="43"/>
      <c r="K281" s="17"/>
      <c r="L281" s="17"/>
      <c r="M281" s="17"/>
      <c r="P281" s="17"/>
      <c r="Q281" s="17"/>
      <c r="R281" s="43"/>
      <c r="S281" s="17"/>
      <c r="T281" s="17"/>
      <c r="U281" s="17"/>
      <c r="V281" s="43"/>
      <c r="W281" s="17"/>
      <c r="X281" s="17"/>
    </row>
    <row r="282" spans="1:26" x14ac:dyDescent="0.25">
      <c r="D282" s="17"/>
      <c r="E282" s="17"/>
      <c r="G282" s="17"/>
      <c r="H282" s="17"/>
      <c r="I282" s="17"/>
      <c r="J282" s="43"/>
      <c r="K282" s="17"/>
      <c r="L282" s="17"/>
      <c r="M282" s="17"/>
      <c r="P282" s="17"/>
      <c r="Q282" s="17"/>
      <c r="R282" s="43"/>
      <c r="S282" s="17"/>
      <c r="T282" s="17"/>
      <c r="U282" s="17"/>
      <c r="V282" s="43"/>
      <c r="W282" s="17"/>
      <c r="X282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468425.83</v>
      </c>
      <c r="E12" s="4"/>
      <c r="F12" s="12"/>
      <c r="G12" s="4"/>
      <c r="H12" s="4">
        <f>SUM(OSRRefH13x_0)</f>
        <v>830237.21000000008</v>
      </c>
      <c r="I12" s="4"/>
      <c r="J12" s="12"/>
      <c r="K12" s="4"/>
      <c r="L12" s="4">
        <f t="shared" ref="L12:L132" si="0">+D12-H12</f>
        <v>-361811.38000000006</v>
      </c>
      <c r="M12" s="4"/>
      <c r="N12" s="12">
        <f t="shared" ref="N12:N132" si="1">IF(H12=0,0,L12/H12)</f>
        <v>-0.43579277782550846</v>
      </c>
      <c r="O12" s="10"/>
      <c r="P12" s="4">
        <f>SUM(OSRRefP13x_0)</f>
        <v>11105048.310000001</v>
      </c>
      <c r="Q12" s="4"/>
      <c r="R12" s="12"/>
      <c r="S12" s="4"/>
      <c r="T12" s="4">
        <f>SUM(OSRRefT13x_0)</f>
        <v>12799315.240000004</v>
      </c>
      <c r="U12" s="4"/>
      <c r="V12" s="12"/>
      <c r="W12" s="4"/>
      <c r="X12" s="4">
        <f t="shared" ref="X12:X132" si="2">+P12-T12</f>
        <v>-1694266.9300000034</v>
      </c>
      <c r="Y12" s="4"/>
      <c r="Z12" s="12">
        <f t="shared" ref="Z12:Z132" si="3">IF(T12=0,0,X12/T12)</f>
        <v>-0.13237168537775643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--1084.45</f>
        <v>1084.45</v>
      </c>
      <c r="E14" s="2"/>
      <c r="F14" s="19"/>
      <c r="G14" s="2"/>
      <c r="H14" s="2">
        <f>--5639.51</f>
        <v>5639.51</v>
      </c>
      <c r="I14" s="2"/>
      <c r="J14" s="19"/>
      <c r="K14" s="2"/>
      <c r="L14" s="2">
        <f t="shared" si="0"/>
        <v>-4555.0600000000004</v>
      </c>
      <c r="M14" s="2"/>
      <c r="N14" s="19">
        <f t="shared" si="1"/>
        <v>-0.80770492471863697</v>
      </c>
      <c r="O14" s="11"/>
      <c r="P14" s="2">
        <f>--2397977.73</f>
        <v>2397977.73</v>
      </c>
      <c r="Q14" s="2"/>
      <c r="R14" s="19"/>
      <c r="S14" s="2"/>
      <c r="T14" s="2">
        <f>--3061354.17</f>
        <v>3061354.17</v>
      </c>
      <c r="U14" s="2"/>
      <c r="V14" s="19"/>
      <c r="W14" s="2"/>
      <c r="X14" s="2">
        <f t="shared" si="2"/>
        <v>-663376.43999999994</v>
      </c>
      <c r="Y14" s="2"/>
      <c r="Z14" s="19">
        <f t="shared" si="3"/>
        <v>-0.21669379077429646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--602.5</f>
        <v>602.5</v>
      </c>
      <c r="E15" s="2"/>
      <c r="F15" s="19"/>
      <c r="G15" s="2"/>
      <c r="H15" s="2">
        <f>--2522.75</f>
        <v>2522.75</v>
      </c>
      <c r="I15" s="2"/>
      <c r="J15" s="19"/>
      <c r="K15" s="2"/>
      <c r="L15" s="2">
        <f t="shared" si="0"/>
        <v>-1920.25</v>
      </c>
      <c r="M15" s="2"/>
      <c r="N15" s="19">
        <f t="shared" si="1"/>
        <v>-0.76117332276285798</v>
      </c>
      <c r="O15" s="11"/>
      <c r="P15" s="2">
        <f>--1244917.19</f>
        <v>1244917.19</v>
      </c>
      <c r="Q15" s="2"/>
      <c r="R15" s="19"/>
      <c r="S15" s="2"/>
      <c r="T15" s="2">
        <f>--1363656.39</f>
        <v>1363656.39</v>
      </c>
      <c r="U15" s="2"/>
      <c r="V15" s="19"/>
      <c r="W15" s="2"/>
      <c r="X15" s="2">
        <f t="shared" si="2"/>
        <v>-118739.19999999995</v>
      </c>
      <c r="Y15" s="2"/>
      <c r="Z15" s="19">
        <f t="shared" si="3"/>
        <v>-8.7074134562593122E-2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 t="shared" ref="H16:H18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18547.239999999998</v>
      </c>
      <c r="Y16" s="2"/>
      <c r="Z16" s="19">
        <f t="shared" si="3"/>
        <v>1.2244301921420153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--18.36</f>
        <v>18.36</v>
      </c>
      <c r="E19" s="2"/>
      <c r="F19" s="19"/>
      <c r="G19" s="2"/>
      <c r="H19" s="2">
        <f>--2215.06</f>
        <v>2215.06</v>
      </c>
      <c r="I19" s="2"/>
      <c r="J19" s="19"/>
      <c r="K19" s="2"/>
      <c r="L19" s="2">
        <f t="shared" si="0"/>
        <v>-2196.6999999999998</v>
      </c>
      <c r="M19" s="2"/>
      <c r="N19" s="19">
        <f t="shared" si="1"/>
        <v>-0.99171128547307963</v>
      </c>
      <c r="O19" s="11"/>
      <c r="P19" s="2">
        <f>--2713.36</f>
        <v>2713.36</v>
      </c>
      <c r="Q19" s="2"/>
      <c r="R19" s="19"/>
      <c r="S19" s="2"/>
      <c r="T19" s="2">
        <f>--6340.42</f>
        <v>6340.42</v>
      </c>
      <c r="U19" s="2"/>
      <c r="V19" s="19"/>
      <c r="W19" s="2"/>
      <c r="X19" s="2">
        <f t="shared" si="2"/>
        <v>-3627.06</v>
      </c>
      <c r="Y19" s="2"/>
      <c r="Z19" s="19">
        <f t="shared" si="3"/>
        <v>-0.57205358635547798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0</f>
        <v>0</v>
      </c>
      <c r="E20" s="2"/>
      <c r="F20" s="19"/>
      <c r="G20" s="2"/>
      <c r="H20" s="2">
        <f>--151.13</f>
        <v>151.13</v>
      </c>
      <c r="I20" s="2"/>
      <c r="J20" s="19"/>
      <c r="K20" s="2"/>
      <c r="L20" s="2">
        <f t="shared" si="0"/>
        <v>-151.13</v>
      </c>
      <c r="M20" s="2"/>
      <c r="N20" s="19">
        <f t="shared" si="1"/>
        <v>-1</v>
      </c>
      <c r="O20" s="11"/>
      <c r="P20" s="2">
        <f>--1219.18</f>
        <v>1219.18</v>
      </c>
      <c r="Q20" s="2"/>
      <c r="R20" s="19"/>
      <c r="S20" s="2"/>
      <c r="T20" s="2">
        <f>--2032.27</f>
        <v>2032.27</v>
      </c>
      <c r="U20" s="2"/>
      <c r="V20" s="19"/>
      <c r="W20" s="2"/>
      <c r="X20" s="2">
        <f t="shared" si="2"/>
        <v>-813.08999999999992</v>
      </c>
      <c r="Y20" s="2"/>
      <c r="Z20" s="19">
        <f t="shared" si="3"/>
        <v>-0.40008955502959742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--64.95</f>
        <v>64.95</v>
      </c>
      <c r="E21" s="2"/>
      <c r="F21" s="19"/>
      <c r="G21" s="2"/>
      <c r="H21" s="2">
        <f>--20.89</f>
        <v>20.89</v>
      </c>
      <c r="I21" s="2"/>
      <c r="J21" s="19"/>
      <c r="K21" s="2"/>
      <c r="L21" s="2">
        <f t="shared" si="0"/>
        <v>44.06</v>
      </c>
      <c r="M21" s="2"/>
      <c r="N21" s="19">
        <f t="shared" si="1"/>
        <v>2.1091431306845383</v>
      </c>
      <c r="O21" s="11"/>
      <c r="P21" s="2">
        <f>--347.52</f>
        <v>347.52</v>
      </c>
      <c r="Q21" s="2"/>
      <c r="R21" s="19"/>
      <c r="S21" s="2"/>
      <c r="T21" s="2">
        <f>--717.61</f>
        <v>717.61</v>
      </c>
      <c r="U21" s="2"/>
      <c r="V21" s="19"/>
      <c r="W21" s="2"/>
      <c r="X21" s="2">
        <f t="shared" si="2"/>
        <v>-370.09000000000003</v>
      </c>
      <c r="Y21" s="2"/>
      <c r="Z21" s="19">
        <f t="shared" si="3"/>
        <v>-0.5157258120706234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ref="D22:D24" si="6">0</f>
        <v>0</v>
      </c>
      <c r="E22" s="2"/>
      <c r="F22" s="19"/>
      <c r="G22" s="2"/>
      <c r="H22" s="2">
        <f>--243.29</f>
        <v>243.29</v>
      </c>
      <c r="I22" s="2"/>
      <c r="J22" s="19"/>
      <c r="K22" s="2"/>
      <c r="L22" s="2">
        <f t="shared" si="0"/>
        <v>-243.29</v>
      </c>
      <c r="M22" s="2"/>
      <c r="N22" s="19">
        <f t="shared" si="1"/>
        <v>-1</v>
      </c>
      <c r="O22" s="11"/>
      <c r="P22" s="2">
        <f>--4154.31</f>
        <v>4154.3100000000004</v>
      </c>
      <c r="Q22" s="2"/>
      <c r="R22" s="19"/>
      <c r="S22" s="2"/>
      <c r="T22" s="2">
        <f>--6075.08</f>
        <v>6075.08</v>
      </c>
      <c r="U22" s="2"/>
      <c r="V22" s="19"/>
      <c r="W22" s="2"/>
      <c r="X22" s="2">
        <f t="shared" si="2"/>
        <v>-1920.7699999999995</v>
      </c>
      <c r="Y22" s="2"/>
      <c r="Z22" s="19">
        <f t="shared" si="3"/>
        <v>-0.31617196810576975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6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6"/>
        <v>0</v>
      </c>
      <c r="E24" s="2"/>
      <c r="F24" s="19"/>
      <c r="G24" s="2"/>
      <c r="H24" s="2">
        <f>--3109.67</f>
        <v>3109.67</v>
      </c>
      <c r="I24" s="2"/>
      <c r="J24" s="19"/>
      <c r="K24" s="2"/>
      <c r="L24" s="2">
        <f t="shared" si="0"/>
        <v>-3109.67</v>
      </c>
      <c r="M24" s="2"/>
      <c r="N24" s="19">
        <f t="shared" si="1"/>
        <v>-1</v>
      </c>
      <c r="O24" s="11"/>
      <c r="P24" s="2">
        <f>--54702.86</f>
        <v>54702.86</v>
      </c>
      <c r="Q24" s="2"/>
      <c r="R24" s="19"/>
      <c r="S24" s="2"/>
      <c r="T24" s="2">
        <f>--56618.67</f>
        <v>56618.67</v>
      </c>
      <c r="U24" s="2"/>
      <c r="V24" s="19"/>
      <c r="W24" s="2"/>
      <c r="X24" s="2">
        <f t="shared" si="2"/>
        <v>-1915.8099999999977</v>
      </c>
      <c r="Y24" s="2"/>
      <c r="Z24" s="19">
        <f t="shared" si="3"/>
        <v>-3.3837071764490363E-2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--81.65</f>
        <v>81.650000000000006</v>
      </c>
      <c r="E25" s="2"/>
      <c r="F25" s="19"/>
      <c r="G25" s="2"/>
      <c r="H25" s="2">
        <f>--6211.4</f>
        <v>6211.4</v>
      </c>
      <c r="I25" s="2"/>
      <c r="J25" s="19"/>
      <c r="K25" s="2"/>
      <c r="L25" s="2">
        <f t="shared" si="0"/>
        <v>-6129.75</v>
      </c>
      <c r="M25" s="2"/>
      <c r="N25" s="19">
        <f t="shared" si="1"/>
        <v>-0.98685481533953701</v>
      </c>
      <c r="O25" s="11"/>
      <c r="P25" s="2">
        <f>--79949.71</f>
        <v>79949.710000000006</v>
      </c>
      <c r="Q25" s="2"/>
      <c r="R25" s="19"/>
      <c r="S25" s="2"/>
      <c r="T25" s="2">
        <f>--74938.78</f>
        <v>74938.78</v>
      </c>
      <c r="U25" s="2"/>
      <c r="V25" s="19"/>
      <c r="W25" s="2"/>
      <c r="X25" s="2">
        <f t="shared" si="2"/>
        <v>5010.9300000000076</v>
      </c>
      <c r="Y25" s="2"/>
      <c r="Z25" s="19">
        <f t="shared" si="3"/>
        <v>6.6866981287926064E-2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--1399.98</f>
        <v>1399.98</v>
      </c>
      <c r="E26" s="2"/>
      <c r="F26" s="19"/>
      <c r="G26" s="2"/>
      <c r="H26" s="2">
        <f>--14945.52</f>
        <v>14945.52</v>
      </c>
      <c r="I26" s="2"/>
      <c r="J26" s="19"/>
      <c r="K26" s="2"/>
      <c r="L26" s="2">
        <f t="shared" si="0"/>
        <v>-13545.54</v>
      </c>
      <c r="M26" s="2"/>
      <c r="N26" s="19">
        <f t="shared" si="1"/>
        <v>-0.90632778250606205</v>
      </c>
      <c r="O26" s="11"/>
      <c r="P26" s="2">
        <f>--271246.56</f>
        <v>271246.56</v>
      </c>
      <c r="Q26" s="2"/>
      <c r="R26" s="19"/>
      <c r="S26" s="2"/>
      <c r="T26" s="2">
        <f>--276703.99</f>
        <v>276703.99</v>
      </c>
      <c r="U26" s="2"/>
      <c r="V26" s="19"/>
      <c r="W26" s="2"/>
      <c r="X26" s="2">
        <f t="shared" si="2"/>
        <v>-5457.429999999993</v>
      </c>
      <c r="Y26" s="2"/>
      <c r="Z26" s="19">
        <f t="shared" si="3"/>
        <v>-1.9722989899784219E-2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--168.82</f>
        <v>168.82</v>
      </c>
      <c r="E27" s="2"/>
      <c r="F27" s="19"/>
      <c r="G27" s="2"/>
      <c r="H27" s="2">
        <f>--29042.56</f>
        <v>29042.560000000001</v>
      </c>
      <c r="I27" s="2"/>
      <c r="J27" s="19"/>
      <c r="K27" s="2"/>
      <c r="L27" s="2">
        <f t="shared" si="0"/>
        <v>-28873.74</v>
      </c>
      <c r="M27" s="2"/>
      <c r="N27" s="19">
        <f t="shared" si="1"/>
        <v>-0.99418715154586923</v>
      </c>
      <c r="O27" s="11"/>
      <c r="P27" s="2">
        <f>--292765.87</f>
        <v>292765.87</v>
      </c>
      <c r="Q27" s="2"/>
      <c r="R27" s="19"/>
      <c r="S27" s="2"/>
      <c r="T27" s="2">
        <f>--334048.12</f>
        <v>334048.12</v>
      </c>
      <c r="U27" s="2"/>
      <c r="V27" s="19"/>
      <c r="W27" s="2"/>
      <c r="X27" s="2">
        <f t="shared" si="2"/>
        <v>-41282.25</v>
      </c>
      <c r="Y27" s="2"/>
      <c r="Z27" s="19">
        <f t="shared" si="3"/>
        <v>-0.12358174624661861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7">0</f>
        <v>0</v>
      </c>
      <c r="E28" s="2"/>
      <c r="F28" s="19"/>
      <c r="G28" s="2"/>
      <c r="H28" s="2">
        <f>--91.57</f>
        <v>91.57</v>
      </c>
      <c r="I28" s="2"/>
      <c r="J28" s="19"/>
      <c r="K28" s="2"/>
      <c r="L28" s="2">
        <f t="shared" si="0"/>
        <v>-91.57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--658.7</f>
        <v>658.7</v>
      </c>
      <c r="U28" s="2"/>
      <c r="V28" s="19"/>
      <c r="W28" s="2"/>
      <c r="X28" s="2">
        <f t="shared" si="2"/>
        <v>-172.36000000000007</v>
      </c>
      <c r="Y28" s="2"/>
      <c r="Z28" s="19">
        <f t="shared" si="3"/>
        <v>-0.26166691969029915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7"/>
        <v>0</v>
      </c>
      <c r="E29" s="2"/>
      <c r="F29" s="19"/>
      <c r="G29" s="2"/>
      <c r="H29" s="2">
        <f>--94.97</f>
        <v>94.97</v>
      </c>
      <c r="I29" s="2"/>
      <c r="J29" s="19"/>
      <c r="K29" s="2"/>
      <c r="L29" s="2">
        <f t="shared" si="0"/>
        <v>-94.97</v>
      </c>
      <c r="M29" s="2"/>
      <c r="N29" s="19">
        <f t="shared" si="1"/>
        <v>-1</v>
      </c>
      <c r="O29" s="11"/>
      <c r="P29" s="2">
        <f>--1905.06</f>
        <v>1905.06</v>
      </c>
      <c r="Q29" s="2"/>
      <c r="R29" s="19"/>
      <c r="S29" s="2"/>
      <c r="T29" s="2">
        <f>--469.45</f>
        <v>469.45</v>
      </c>
      <c r="U29" s="2"/>
      <c r="V29" s="19"/>
      <c r="W29" s="2"/>
      <c r="X29" s="2">
        <f t="shared" si="2"/>
        <v>1435.61</v>
      </c>
      <c r="Y29" s="2"/>
      <c r="Z29" s="19">
        <f t="shared" si="3"/>
        <v>3.0580679518585576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--38.96</f>
        <v>38.96</v>
      </c>
      <c r="I30" s="2"/>
      <c r="J30" s="19"/>
      <c r="K30" s="2"/>
      <c r="L30" s="2">
        <f t="shared" si="0"/>
        <v>-38.96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--244.06</f>
        <v>244.06</v>
      </c>
      <c r="U30" s="2"/>
      <c r="V30" s="19"/>
      <c r="W30" s="2"/>
      <c r="X30" s="2">
        <f t="shared" si="2"/>
        <v>-38.53</v>
      </c>
      <c r="Y30" s="2"/>
      <c r="Z30" s="19">
        <f t="shared" si="3"/>
        <v>-0.15787101532410064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--1251.48</f>
        <v>1251.48</v>
      </c>
      <c r="I31" s="2"/>
      <c r="J31" s="19"/>
      <c r="K31" s="2"/>
      <c r="L31" s="2">
        <f t="shared" si="0"/>
        <v>-1251.48</v>
      </c>
      <c r="M31" s="2"/>
      <c r="N31" s="19">
        <f t="shared" si="1"/>
        <v>-1</v>
      </c>
      <c r="O31" s="11"/>
      <c r="P31" s="2">
        <f>--7803.51</f>
        <v>7803.51</v>
      </c>
      <c r="Q31" s="2"/>
      <c r="R31" s="19"/>
      <c r="S31" s="2"/>
      <c r="T31" s="2">
        <f>--8275.18</f>
        <v>8275.18</v>
      </c>
      <c r="U31" s="2"/>
      <c r="V31" s="19"/>
      <c r="W31" s="2"/>
      <c r="X31" s="2">
        <f t="shared" si="2"/>
        <v>-471.67000000000007</v>
      </c>
      <c r="Y31" s="2"/>
      <c r="Z31" s="19">
        <f t="shared" si="3"/>
        <v>-5.6998155931351352E-2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--218.46</f>
        <v>218.46</v>
      </c>
      <c r="I32" s="2"/>
      <c r="J32" s="19"/>
      <c r="K32" s="2"/>
      <c r="L32" s="2">
        <f t="shared" si="0"/>
        <v>-218.46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--2566.74</f>
        <v>2566.7399999999998</v>
      </c>
      <c r="U32" s="2"/>
      <c r="V32" s="19"/>
      <c r="W32" s="2"/>
      <c r="X32" s="2">
        <f t="shared" si="2"/>
        <v>-584.89999999999986</v>
      </c>
      <c r="Y32" s="2"/>
      <c r="Z32" s="19">
        <f t="shared" si="3"/>
        <v>-0.22787660612294192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--128.18</f>
        <v>128.18</v>
      </c>
      <c r="I33" s="2"/>
      <c r="J33" s="19"/>
      <c r="K33" s="2"/>
      <c r="L33" s="2">
        <f t="shared" si="0"/>
        <v>-128.18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--805.99</f>
        <v>805.99</v>
      </c>
      <c r="U33" s="2"/>
      <c r="V33" s="19"/>
      <c r="W33" s="2"/>
      <c r="X33" s="2">
        <f t="shared" si="2"/>
        <v>-292.48</v>
      </c>
      <c r="Y33" s="2"/>
      <c r="Z33" s="19">
        <f t="shared" si="3"/>
        <v>-0.36288291418007668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--67974.91</f>
        <v>67974.91</v>
      </c>
      <c r="E34" s="2"/>
      <c r="F34" s="19"/>
      <c r="G34" s="2"/>
      <c r="H34" s="2">
        <f>--278547.01</f>
        <v>278547.01</v>
      </c>
      <c r="I34" s="2"/>
      <c r="J34" s="19"/>
      <c r="K34" s="2"/>
      <c r="L34" s="2">
        <f t="shared" si="0"/>
        <v>-210572.1</v>
      </c>
      <c r="M34" s="2"/>
      <c r="N34" s="19">
        <f t="shared" si="1"/>
        <v>-0.75596611142944958</v>
      </c>
      <c r="O34" s="11"/>
      <c r="P34" s="2">
        <f>--1844103.4</f>
        <v>1844103.4</v>
      </c>
      <c r="Q34" s="2"/>
      <c r="R34" s="19"/>
      <c r="S34" s="2"/>
      <c r="T34" s="2">
        <f>--2128410.88</f>
        <v>2128410.88</v>
      </c>
      <c r="U34" s="2"/>
      <c r="V34" s="19"/>
      <c r="W34" s="2"/>
      <c r="X34" s="2">
        <f t="shared" si="2"/>
        <v>-284307.48</v>
      </c>
      <c r="Y34" s="2"/>
      <c r="Z34" s="19">
        <f t="shared" si="3"/>
        <v>-0.13357734762190276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--14115.57</f>
        <v>14115.57</v>
      </c>
      <c r="E35" s="2"/>
      <c r="F35" s="19"/>
      <c r="G35" s="2"/>
      <c r="H35" s="2">
        <f>--56719.49</f>
        <v>56719.49</v>
      </c>
      <c r="I35" s="2"/>
      <c r="J35" s="19"/>
      <c r="K35" s="2"/>
      <c r="L35" s="2">
        <f t="shared" si="0"/>
        <v>-42603.92</v>
      </c>
      <c r="M35" s="2"/>
      <c r="N35" s="19">
        <f t="shared" si="1"/>
        <v>-0.75113369319787604</v>
      </c>
      <c r="O35" s="11"/>
      <c r="P35" s="2">
        <f>--481133.29</f>
        <v>481133.29</v>
      </c>
      <c r="Q35" s="2"/>
      <c r="R35" s="19"/>
      <c r="S35" s="2"/>
      <c r="T35" s="2">
        <f>--663634.74</f>
        <v>663634.74</v>
      </c>
      <c r="U35" s="2"/>
      <c r="V35" s="19"/>
      <c r="W35" s="2"/>
      <c r="X35" s="2">
        <f t="shared" si="2"/>
        <v>-182501.45</v>
      </c>
      <c r="Y35" s="2"/>
      <c r="Z35" s="19">
        <f t="shared" si="3"/>
        <v>-0.27500285774671773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--1721.77</f>
        <v>1721.77</v>
      </c>
      <c r="E36" s="2"/>
      <c r="F36" s="19"/>
      <c r="G36" s="2"/>
      <c r="H36" s="2">
        <f>--41231.61</f>
        <v>41231.61</v>
      </c>
      <c r="I36" s="2"/>
      <c r="J36" s="19"/>
      <c r="K36" s="2"/>
      <c r="L36" s="2">
        <f t="shared" si="0"/>
        <v>-39509.840000000004</v>
      </c>
      <c r="M36" s="2"/>
      <c r="N36" s="19">
        <f t="shared" si="1"/>
        <v>-0.95824150451558898</v>
      </c>
      <c r="O36" s="11"/>
      <c r="P36" s="2">
        <f>--279302.18</f>
        <v>279302.18</v>
      </c>
      <c r="Q36" s="2"/>
      <c r="R36" s="19"/>
      <c r="S36" s="2"/>
      <c r="T36" s="2">
        <f>--285480.12</f>
        <v>285480.12</v>
      </c>
      <c r="U36" s="2"/>
      <c r="V36" s="19"/>
      <c r="W36" s="2"/>
      <c r="X36" s="2">
        <f t="shared" si="2"/>
        <v>-6177.9400000000023</v>
      </c>
      <c r="Y36" s="2"/>
      <c r="Z36" s="19">
        <f t="shared" si="3"/>
        <v>-2.1640526142415809E-2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--651</f>
        <v>651</v>
      </c>
      <c r="E37" s="2"/>
      <c r="F37" s="19"/>
      <c r="G37" s="2"/>
      <c r="H37" s="2">
        <f>--486.07</f>
        <v>486.07</v>
      </c>
      <c r="I37" s="2"/>
      <c r="J37" s="19"/>
      <c r="K37" s="2"/>
      <c r="L37" s="2">
        <f t="shared" si="0"/>
        <v>164.93</v>
      </c>
      <c r="M37" s="2"/>
      <c r="N37" s="19">
        <f t="shared" si="1"/>
        <v>0.33931326763634867</v>
      </c>
      <c r="O37" s="11"/>
      <c r="P37" s="2">
        <f>--77219.23</f>
        <v>77219.23</v>
      </c>
      <c r="Q37" s="2"/>
      <c r="R37" s="19"/>
      <c r="S37" s="2"/>
      <c r="T37" s="2">
        <f>--3553.38</f>
        <v>3553.38</v>
      </c>
      <c r="U37" s="2"/>
      <c r="V37" s="19"/>
      <c r="W37" s="2"/>
      <c r="X37" s="2">
        <f t="shared" si="2"/>
        <v>73665.849999999991</v>
      </c>
      <c r="Y37" s="2"/>
      <c r="Z37" s="19">
        <f t="shared" si="3"/>
        <v>20.731205218693184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--673.79</f>
        <v>673.79</v>
      </c>
      <c r="E38" s="2"/>
      <c r="F38" s="19"/>
      <c r="G38" s="2"/>
      <c r="H38" s="2">
        <f>--4813.14</f>
        <v>4813.1400000000003</v>
      </c>
      <c r="I38" s="2"/>
      <c r="J38" s="19"/>
      <c r="K38" s="2"/>
      <c r="L38" s="2">
        <f t="shared" si="0"/>
        <v>-4139.3500000000004</v>
      </c>
      <c r="M38" s="2"/>
      <c r="N38" s="19">
        <f t="shared" si="1"/>
        <v>-0.86001030512305898</v>
      </c>
      <c r="O38" s="11"/>
      <c r="P38" s="2">
        <f>--67340.52</f>
        <v>67340.52</v>
      </c>
      <c r="Q38" s="2"/>
      <c r="R38" s="19"/>
      <c r="S38" s="2"/>
      <c r="T38" s="2">
        <f>--80200.37</f>
        <v>80200.37</v>
      </c>
      <c r="U38" s="2"/>
      <c r="V38" s="19"/>
      <c r="W38" s="2"/>
      <c r="X38" s="2">
        <f t="shared" si="2"/>
        <v>-12859.849999999991</v>
      </c>
      <c r="Y38" s="2"/>
      <c r="Z38" s="19">
        <f t="shared" si="3"/>
        <v>-0.1603465171045968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--8913.15</f>
        <v>8913.15</v>
      </c>
      <c r="E39" s="2"/>
      <c r="F39" s="19"/>
      <c r="G39" s="2"/>
      <c r="H39" s="2">
        <f>--37220.65</f>
        <v>37220.65</v>
      </c>
      <c r="I39" s="2"/>
      <c r="J39" s="19"/>
      <c r="K39" s="2"/>
      <c r="L39" s="2">
        <f t="shared" si="0"/>
        <v>-28307.5</v>
      </c>
      <c r="M39" s="2"/>
      <c r="N39" s="19">
        <f t="shared" si="1"/>
        <v>-0.76053212396881831</v>
      </c>
      <c r="O39" s="11"/>
      <c r="P39" s="2">
        <f>--83313.97</f>
        <v>83313.97</v>
      </c>
      <c r="Q39" s="2"/>
      <c r="R39" s="19"/>
      <c r="S39" s="2"/>
      <c r="T39" s="2">
        <f>--132369.49</f>
        <v>132369.49</v>
      </c>
      <c r="U39" s="2"/>
      <c r="V39" s="19"/>
      <c r="W39" s="2"/>
      <c r="X39" s="2">
        <f t="shared" si="2"/>
        <v>-49055.51999999999</v>
      </c>
      <c r="Y39" s="2"/>
      <c r="Z39" s="19">
        <f t="shared" si="3"/>
        <v>-0.3705953690688088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--676</f>
        <v>676</v>
      </c>
      <c r="I40" s="2"/>
      <c r="J40" s="19"/>
      <c r="K40" s="2"/>
      <c r="L40" s="2">
        <f t="shared" si="0"/>
        <v>-676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--4608.66</f>
        <v>4608.66</v>
      </c>
      <c r="U40" s="2"/>
      <c r="V40" s="19"/>
      <c r="W40" s="2"/>
      <c r="X40" s="2">
        <f t="shared" si="2"/>
        <v>-1932.52</v>
      </c>
      <c r="Y40" s="2"/>
      <c r="Z40" s="19">
        <f t="shared" si="3"/>
        <v>-0.41932362118272992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--705.97</f>
        <v>705.97</v>
      </c>
      <c r="E41" s="2"/>
      <c r="F41" s="19"/>
      <c r="G41" s="2"/>
      <c r="H41" s="2">
        <f>--8054.22</f>
        <v>8054.22</v>
      </c>
      <c r="I41" s="2"/>
      <c r="J41" s="19"/>
      <c r="K41" s="2"/>
      <c r="L41" s="2">
        <f t="shared" si="0"/>
        <v>-7348.25</v>
      </c>
      <c r="M41" s="2"/>
      <c r="N41" s="19">
        <f t="shared" si="1"/>
        <v>-0.91234781269942955</v>
      </c>
      <c r="O41" s="11"/>
      <c r="P41" s="2">
        <f>--315078.02</f>
        <v>315078.02</v>
      </c>
      <c r="Q41" s="2"/>
      <c r="R41" s="19"/>
      <c r="S41" s="2"/>
      <c r="T41" s="2">
        <f>--229303.08</f>
        <v>229303.08</v>
      </c>
      <c r="U41" s="2"/>
      <c r="V41" s="19"/>
      <c r="W41" s="2"/>
      <c r="X41" s="2">
        <f t="shared" si="2"/>
        <v>85774.940000000031</v>
      </c>
      <c r="Y41" s="2"/>
      <c r="Z41" s="19">
        <f t="shared" si="3"/>
        <v>0.37406798024692922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--265200.65</f>
        <v>265200.65000000002</v>
      </c>
      <c r="E42" s="2"/>
      <c r="F42" s="19"/>
      <c r="G42" s="2"/>
      <c r="H42" s="2">
        <f>--201981.6</f>
        <v>201981.6</v>
      </c>
      <c r="I42" s="2"/>
      <c r="J42" s="19"/>
      <c r="K42" s="2"/>
      <c r="L42" s="2">
        <f t="shared" si="0"/>
        <v>63219.050000000017</v>
      </c>
      <c r="M42" s="2"/>
      <c r="N42" s="19">
        <f t="shared" si="1"/>
        <v>0.31299410441347142</v>
      </c>
      <c r="O42" s="11"/>
      <c r="P42" s="2">
        <f>--1926673.62</f>
        <v>1926673.62</v>
      </c>
      <c r="Q42" s="2"/>
      <c r="R42" s="19"/>
      <c r="S42" s="2"/>
      <c r="T42" s="2">
        <f>--1740017.57</f>
        <v>1740017.57</v>
      </c>
      <c r="U42" s="2"/>
      <c r="V42" s="19"/>
      <c r="W42" s="2"/>
      <c r="X42" s="2">
        <f t="shared" si="2"/>
        <v>186656.05000000005</v>
      </c>
      <c r="Y42" s="2"/>
      <c r="Z42" s="19">
        <f t="shared" si="3"/>
        <v>0.10727250874828813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--2895.75</f>
        <v>2895.75</v>
      </c>
      <c r="E43" s="2"/>
      <c r="F43" s="19"/>
      <c r="G43" s="2"/>
      <c r="H43" s="2">
        <f>--5488.79</f>
        <v>5488.79</v>
      </c>
      <c r="I43" s="2"/>
      <c r="J43" s="19"/>
      <c r="K43" s="2"/>
      <c r="L43" s="2">
        <f t="shared" si="0"/>
        <v>-2593.04</v>
      </c>
      <c r="M43" s="2"/>
      <c r="N43" s="19">
        <f t="shared" si="1"/>
        <v>-0.47242470562728761</v>
      </c>
      <c r="O43" s="11"/>
      <c r="P43" s="2">
        <f>--103778.4</f>
        <v>103778.4</v>
      </c>
      <c r="Q43" s="2"/>
      <c r="R43" s="19"/>
      <c r="S43" s="2"/>
      <c r="T43" s="2">
        <f>--123135.33</f>
        <v>123135.33</v>
      </c>
      <c r="U43" s="2"/>
      <c r="V43" s="19"/>
      <c r="W43" s="2"/>
      <c r="X43" s="2">
        <f t="shared" si="2"/>
        <v>-19356.930000000008</v>
      </c>
      <c r="Y43" s="2"/>
      <c r="Z43" s="19">
        <f t="shared" si="3"/>
        <v>-0.15720045579120148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>
        <f>--79</f>
        <v>79</v>
      </c>
      <c r="I44" s="2"/>
      <c r="J44" s="19"/>
      <c r="K44" s="2"/>
      <c r="L44" s="2">
        <f t="shared" si="0"/>
        <v>-79</v>
      </c>
      <c r="M44" s="2"/>
      <c r="N44" s="19">
        <f t="shared" si="1"/>
        <v>-1</v>
      </c>
      <c r="O44" s="11"/>
      <c r="P44" s="2">
        <f>--129</f>
        <v>129</v>
      </c>
      <c r="Q44" s="2"/>
      <c r="R44" s="19"/>
      <c r="S44" s="2"/>
      <c r="T44" s="2">
        <f>--1563.99</f>
        <v>1563.99</v>
      </c>
      <c r="U44" s="2"/>
      <c r="V44" s="19"/>
      <c r="W44" s="2"/>
      <c r="X44" s="2">
        <f t="shared" si="2"/>
        <v>-1434.99</v>
      </c>
      <c r="Y44" s="2"/>
      <c r="Z44" s="19">
        <f t="shared" si="3"/>
        <v>-0.91751865421134404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--10</f>
        <v>10</v>
      </c>
      <c r="E45" s="2"/>
      <c r="F45" s="19"/>
      <c r="G45" s="2"/>
      <c r="H45" s="2">
        <f>--1078.91</f>
        <v>1078.9100000000001</v>
      </c>
      <c r="I45" s="2"/>
      <c r="J45" s="19"/>
      <c r="K45" s="2"/>
      <c r="L45" s="2">
        <f t="shared" si="0"/>
        <v>-1068.9100000000001</v>
      </c>
      <c r="M45" s="2"/>
      <c r="N45" s="19">
        <f t="shared" si="1"/>
        <v>-0.99073138630655011</v>
      </c>
      <c r="O45" s="11"/>
      <c r="P45" s="2">
        <f>--4567.93</f>
        <v>4567.93</v>
      </c>
      <c r="Q45" s="2"/>
      <c r="R45" s="19"/>
      <c r="S45" s="2"/>
      <c r="T45" s="2">
        <f>--13358.65</f>
        <v>13358.65</v>
      </c>
      <c r="U45" s="2"/>
      <c r="V45" s="19"/>
      <c r="W45" s="2"/>
      <c r="X45" s="2">
        <f t="shared" si="2"/>
        <v>-8790.7199999999993</v>
      </c>
      <c r="Y45" s="2"/>
      <c r="Z45" s="19">
        <f t="shared" si="3"/>
        <v>-0.65805451898208278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--91.96</f>
        <v>91.96</v>
      </c>
      <c r="E46" s="2"/>
      <c r="F46" s="19"/>
      <c r="G46" s="2"/>
      <c r="H46" s="2">
        <f>--10962.03</f>
        <v>10962.03</v>
      </c>
      <c r="I46" s="2"/>
      <c r="J46" s="19"/>
      <c r="K46" s="2"/>
      <c r="L46" s="2">
        <f t="shared" si="0"/>
        <v>-10870.070000000002</v>
      </c>
      <c r="M46" s="2"/>
      <c r="N46" s="19">
        <f t="shared" si="1"/>
        <v>-0.99161104284516655</v>
      </c>
      <c r="O46" s="11"/>
      <c r="P46" s="2">
        <f>--49172.02</f>
        <v>49172.02</v>
      </c>
      <c r="Q46" s="2"/>
      <c r="R46" s="19"/>
      <c r="S46" s="2"/>
      <c r="T46" s="2">
        <f>--86847.28</f>
        <v>86847.28</v>
      </c>
      <c r="U46" s="2"/>
      <c r="V46" s="19"/>
      <c r="W46" s="2"/>
      <c r="X46" s="2">
        <f t="shared" si="2"/>
        <v>-37675.26</v>
      </c>
      <c r="Y46" s="2"/>
      <c r="Z46" s="19">
        <f t="shared" si="3"/>
        <v>-0.43381047742658152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--379.98</f>
        <v>379.98</v>
      </c>
      <c r="E47" s="2"/>
      <c r="F47" s="19"/>
      <c r="G47" s="2"/>
      <c r="H47" s="2">
        <f>--307</f>
        <v>307</v>
      </c>
      <c r="I47" s="2"/>
      <c r="J47" s="19"/>
      <c r="K47" s="2"/>
      <c r="L47" s="2">
        <f t="shared" si="0"/>
        <v>72.980000000000018</v>
      </c>
      <c r="M47" s="2"/>
      <c r="N47" s="19">
        <f t="shared" si="1"/>
        <v>0.23771986970684045</v>
      </c>
      <c r="O47" s="11"/>
      <c r="P47" s="2">
        <f>--1674.81</f>
        <v>1674.81</v>
      </c>
      <c r="Q47" s="2"/>
      <c r="R47" s="19"/>
      <c r="S47" s="2"/>
      <c r="T47" s="2">
        <f>--2060.78</f>
        <v>2060.7800000000002</v>
      </c>
      <c r="U47" s="2"/>
      <c r="V47" s="19"/>
      <c r="W47" s="2"/>
      <c r="X47" s="2">
        <f t="shared" si="2"/>
        <v>-385.97000000000025</v>
      </c>
      <c r="Y47" s="2"/>
      <c r="Z47" s="19">
        <f t="shared" si="3"/>
        <v>-0.18729316084201139</v>
      </c>
    </row>
    <row r="48" spans="1:26" s="24" customFormat="1" hidden="1" outlineLevel="1" x14ac:dyDescent="0.25">
      <c r="A48" s="44"/>
      <c r="B48" s="11" t="str">
        <f>CONCATENATE("          ", "4091", " - ", "TAXABLE SALES-GRAD ANNOUNCEMEN")</f>
        <v xml:space="preserve">          4091 - TAXABLE SALES-GRAD ANNOUNCEMEN</v>
      </c>
      <c r="C48" s="11"/>
      <c r="D48" s="2">
        <f>0</f>
        <v>0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0</f>
        <v>0</v>
      </c>
      <c r="Q48" s="2"/>
      <c r="R48" s="19"/>
      <c r="S48" s="2"/>
      <c r="T48" s="2">
        <f>--471.6</f>
        <v>471.6</v>
      </c>
      <c r="U48" s="2"/>
      <c r="V48" s="19"/>
      <c r="W48" s="2"/>
      <c r="X48" s="2">
        <f t="shared" si="2"/>
        <v>-471.6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"4092", " - ", "TAXABLE SALES-GRAD MERCH")</f>
        <v xml:space="preserve">          4092 - TAXABLE SALES-GRAD MERCH</v>
      </c>
      <c r="C49" s="11"/>
      <c r="D49" s="2">
        <f>--3214.15</f>
        <v>3214.15</v>
      </c>
      <c r="E49" s="2"/>
      <c r="F49" s="19"/>
      <c r="G49" s="2"/>
      <c r="H49" s="2">
        <f>--39254.68</f>
        <v>39254.68</v>
      </c>
      <c r="I49" s="2"/>
      <c r="J49" s="19"/>
      <c r="K49" s="2"/>
      <c r="L49" s="2">
        <f t="shared" si="0"/>
        <v>-36040.53</v>
      </c>
      <c r="M49" s="2"/>
      <c r="N49" s="19">
        <f t="shared" si="1"/>
        <v>-0.91812059097157328</v>
      </c>
      <c r="O49" s="11"/>
      <c r="P49" s="2">
        <f>--21826.42</f>
        <v>21826.42</v>
      </c>
      <c r="Q49" s="2"/>
      <c r="R49" s="19"/>
      <c r="S49" s="2"/>
      <c r="T49" s="2">
        <f>--123023.99</f>
        <v>123023.99</v>
      </c>
      <c r="U49" s="2"/>
      <c r="V49" s="19"/>
      <c r="W49" s="2"/>
      <c r="X49" s="2">
        <f t="shared" si="2"/>
        <v>-101197.57</v>
      </c>
      <c r="Y49" s="2"/>
      <c r="Z49" s="19">
        <f t="shared" si="3"/>
        <v>-0.8225840342196673</v>
      </c>
    </row>
    <row r="50" spans="1:26" s="24" customFormat="1" hidden="1" outlineLevel="1" x14ac:dyDescent="0.25">
      <c r="A50" s="44"/>
      <c r="B50" s="11" t="str">
        <f>CONCATENATE("          ", "4095", " - ", "TAXABLE SALES-CUSTOMER SERVICE")</f>
        <v xml:space="preserve">          4095 - TAXABLE SALES-CUSTOMER SERVICE</v>
      </c>
      <c r="C50" s="11"/>
      <c r="D50" s="2">
        <f>0</f>
        <v>0</v>
      </c>
      <c r="E50" s="2"/>
      <c r="F50" s="19"/>
      <c r="G50" s="2"/>
      <c r="H50" s="2">
        <f>--114.84</f>
        <v>114.84</v>
      </c>
      <c r="I50" s="2"/>
      <c r="J50" s="19"/>
      <c r="K50" s="2"/>
      <c r="L50" s="2">
        <f t="shared" si="0"/>
        <v>-114.84</v>
      </c>
      <c r="M50" s="2"/>
      <c r="N50" s="19">
        <f t="shared" si="1"/>
        <v>-1</v>
      </c>
      <c r="O50" s="11"/>
      <c r="P50" s="2">
        <f>--309.26</f>
        <v>309.26</v>
      </c>
      <c r="Q50" s="2"/>
      <c r="R50" s="19"/>
      <c r="S50" s="2"/>
      <c r="T50" s="2">
        <f>--2045.04</f>
        <v>2045.04</v>
      </c>
      <c r="U50" s="2"/>
      <c r="V50" s="19"/>
      <c r="W50" s="2"/>
      <c r="X50" s="2">
        <f t="shared" si="2"/>
        <v>-1735.78</v>
      </c>
      <c r="Y50" s="2"/>
      <c r="Z50" s="19">
        <f t="shared" si="3"/>
        <v>-0.84877557407190085</v>
      </c>
    </row>
    <row r="51" spans="1:26" s="24" customFormat="1" hidden="1" outlineLevel="1" x14ac:dyDescent="0.25">
      <c r="A51" s="44"/>
      <c r="B51" s="11" t="str">
        <f>CONCATENATE("          ", "4100", " - ", "NON-TAXABLE SALES")</f>
        <v xml:space="preserve">          4100 - NON-TAXABLE SALES</v>
      </c>
      <c r="C51" s="11"/>
      <c r="D51" s="2">
        <f>--27923.82</f>
        <v>27923.82</v>
      </c>
      <c r="E51" s="2"/>
      <c r="F51" s="19"/>
      <c r="G51" s="2"/>
      <c r="H51" s="2">
        <f>--776.32</f>
        <v>776.32</v>
      </c>
      <c r="I51" s="2"/>
      <c r="J51" s="19"/>
      <c r="K51" s="2"/>
      <c r="L51" s="2">
        <f t="shared" si="0"/>
        <v>27147.5</v>
      </c>
      <c r="M51" s="2"/>
      <c r="N51" s="19">
        <f t="shared" si="1"/>
        <v>34.969471352019781</v>
      </c>
      <c r="O51" s="11"/>
      <c r="P51" s="2">
        <f>--602236.47</f>
        <v>602236.47</v>
      </c>
      <c r="Q51" s="2"/>
      <c r="R51" s="19"/>
      <c r="S51" s="2"/>
      <c r="T51" s="2">
        <f>--779409.89</f>
        <v>779409.89</v>
      </c>
      <c r="U51" s="2"/>
      <c r="V51" s="19"/>
      <c r="W51" s="2"/>
      <c r="X51" s="2">
        <f t="shared" si="2"/>
        <v>-177173.42000000004</v>
      </c>
      <c r="Y51" s="2"/>
      <c r="Z51" s="19">
        <f t="shared" si="3"/>
        <v>-0.22731738751736913</v>
      </c>
    </row>
    <row r="52" spans="1:26" s="24" customFormat="1" hidden="1" outlineLevel="1" x14ac:dyDescent="0.25">
      <c r="A52" s="44"/>
      <c r="B52" s="11" t="str">
        <f>CONCATENATE("          ", "4101", " - ", "NON-TAXABLE SALES-NEW TEXT")</f>
        <v xml:space="preserve">          4101 - NON-TAXABLE SALES-NEW TEXT</v>
      </c>
      <c r="C52" s="11"/>
      <c r="D52" s="2">
        <f>--1972.02</f>
        <v>1972.02</v>
      </c>
      <c r="E52" s="2"/>
      <c r="F52" s="19"/>
      <c r="G52" s="2"/>
      <c r="H52" s="2">
        <f>--5697.7</f>
        <v>5697.7</v>
      </c>
      <c r="I52" s="2"/>
      <c r="J52" s="19"/>
      <c r="K52" s="2"/>
      <c r="L52" s="2">
        <f t="shared" si="0"/>
        <v>-3725.68</v>
      </c>
      <c r="M52" s="2"/>
      <c r="N52" s="19">
        <f t="shared" si="1"/>
        <v>-0.65389192130157781</v>
      </c>
      <c r="O52" s="11"/>
      <c r="P52" s="2">
        <f>--144163.44</f>
        <v>144163.44</v>
      </c>
      <c r="Q52" s="2"/>
      <c r="R52" s="19"/>
      <c r="S52" s="2"/>
      <c r="T52" s="2">
        <f>--266114.47</f>
        <v>266114.46999999997</v>
      </c>
      <c r="U52" s="2"/>
      <c r="V52" s="19"/>
      <c r="W52" s="2"/>
      <c r="X52" s="2">
        <f t="shared" si="2"/>
        <v>-121951.02999999997</v>
      </c>
      <c r="Y52" s="2"/>
      <c r="Z52" s="19">
        <f t="shared" si="3"/>
        <v>-0.45826530966166545</v>
      </c>
    </row>
    <row r="53" spans="1:26" s="24" customFormat="1" hidden="1" outlineLevel="1" x14ac:dyDescent="0.25">
      <c r="A53" s="44"/>
      <c r="B53" s="11" t="str">
        <f>CONCATENATE("          ", "4102", " - ", "NON-TAXABLE SALES-USED TEXT")</f>
        <v xml:space="preserve">          4102 - NON-TAXABLE SALES-USED TEXT</v>
      </c>
      <c r="C53" s="11"/>
      <c r="D53" s="2">
        <f>--804.2</f>
        <v>804.2</v>
      </c>
      <c r="E53" s="2"/>
      <c r="F53" s="19"/>
      <c r="G53" s="2"/>
      <c r="H53" s="2">
        <f>--6881.14</f>
        <v>6881.14</v>
      </c>
      <c r="I53" s="2"/>
      <c r="J53" s="19"/>
      <c r="K53" s="2"/>
      <c r="L53" s="2">
        <f t="shared" si="0"/>
        <v>-6076.9400000000005</v>
      </c>
      <c r="M53" s="2"/>
      <c r="N53" s="19">
        <f t="shared" si="1"/>
        <v>-0.88312983023161862</v>
      </c>
      <c r="O53" s="11"/>
      <c r="P53" s="2">
        <f>--69659.9</f>
        <v>69659.899999999994</v>
      </c>
      <c r="Q53" s="2"/>
      <c r="R53" s="19"/>
      <c r="S53" s="2"/>
      <c r="T53" s="2">
        <f>--92597.47</f>
        <v>92597.47</v>
      </c>
      <c r="U53" s="2"/>
      <c r="V53" s="19"/>
      <c r="W53" s="2"/>
      <c r="X53" s="2">
        <f t="shared" si="2"/>
        <v>-22937.570000000007</v>
      </c>
      <c r="Y53" s="2"/>
      <c r="Z53" s="19">
        <f t="shared" si="3"/>
        <v>-0.24771270748542057</v>
      </c>
    </row>
    <row r="54" spans="1:26" s="24" customFormat="1" hidden="1" outlineLevel="1" x14ac:dyDescent="0.25">
      <c r="A54" s="44"/>
      <c r="B54" s="11" t="str">
        <f>CONCATENATE("          ", "4103", " - ", "NON-TAXABLE SALES-RENTAL TEXT")</f>
        <v xml:space="preserve">          4103 - NON-TAXABLE SALES-RENTAL TEXT</v>
      </c>
      <c r="C54" s="11"/>
      <c r="D54" s="2">
        <f>0</f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--664.97</f>
        <v>664.97</v>
      </c>
      <c r="Q54" s="2"/>
      <c r="R54" s="19"/>
      <c r="S54" s="2"/>
      <c r="T54" s="2">
        <f>--509.85</f>
        <v>509.85</v>
      </c>
      <c r="U54" s="2"/>
      <c r="V54" s="19"/>
      <c r="W54" s="2"/>
      <c r="X54" s="2">
        <f t="shared" si="2"/>
        <v>155.12</v>
      </c>
      <c r="Y54" s="2"/>
      <c r="Z54" s="19">
        <f t="shared" si="3"/>
        <v>0.30424634696479358</v>
      </c>
    </row>
    <row r="55" spans="1:26" s="24" customFormat="1" hidden="1" outlineLevel="1" x14ac:dyDescent="0.25">
      <c r="A55" s="44"/>
      <c r="B55" s="11" t="str">
        <f>CONCATENATE("          ", "4104", " - ", "NON-TAXABLE SALES-DIGITAL TEXT")</f>
        <v xml:space="preserve">          4104 - NON-TAXABLE SALES-DIGITAL TEXT</v>
      </c>
      <c r="C55" s="11"/>
      <c r="D55" s="2">
        <f>--2502.44</f>
        <v>2502.44</v>
      </c>
      <c r="E55" s="2"/>
      <c r="F55" s="19"/>
      <c r="G55" s="2"/>
      <c r="H55" s="2">
        <f>--2347.02</f>
        <v>2347.02</v>
      </c>
      <c r="I55" s="2"/>
      <c r="J55" s="19"/>
      <c r="K55" s="2"/>
      <c r="L55" s="2">
        <f t="shared" si="0"/>
        <v>155.42000000000007</v>
      </c>
      <c r="M55" s="2"/>
      <c r="N55" s="19">
        <f t="shared" si="1"/>
        <v>6.6220142989833947E-2</v>
      </c>
      <c r="O55" s="11"/>
      <c r="P55" s="2">
        <f>--526854.09</f>
        <v>526854.09</v>
      </c>
      <c r="Q55" s="2"/>
      <c r="R55" s="19"/>
      <c r="S55" s="2"/>
      <c r="T55" s="2">
        <f>--528735.29</f>
        <v>528735.29</v>
      </c>
      <c r="U55" s="2"/>
      <c r="V55" s="19"/>
      <c r="W55" s="2"/>
      <c r="X55" s="2">
        <f t="shared" si="2"/>
        <v>-1881.2000000000698</v>
      </c>
      <c r="Y55" s="2"/>
      <c r="Z55" s="19">
        <f t="shared" si="3"/>
        <v>-3.5579240417261911E-3</v>
      </c>
    </row>
    <row r="56" spans="1:26" s="24" customFormat="1" hidden="1" outlineLevel="1" x14ac:dyDescent="0.25">
      <c r="A56" s="44"/>
      <c r="B56" s="11" t="str">
        <f>CONCATENATE("          ", "4111", " - ", "NON-TAXABLE SALES-NO VALUE TEX")</f>
        <v xml:space="preserve">          4111 - NON-TAXABLE SALES-NO VALUE TEX</v>
      </c>
      <c r="C56" s="11"/>
      <c r="D56" s="2">
        <f>--593.67</f>
        <v>593.66999999999996</v>
      </c>
      <c r="E56" s="2"/>
      <c r="F56" s="19"/>
      <c r="G56" s="2"/>
      <c r="H56" s="2">
        <f>--2525.72</f>
        <v>2525.7199999999998</v>
      </c>
      <c r="I56" s="2"/>
      <c r="J56" s="19"/>
      <c r="K56" s="2"/>
      <c r="L56" s="2">
        <f t="shared" si="0"/>
        <v>-1932.0499999999997</v>
      </c>
      <c r="M56" s="2"/>
      <c r="N56" s="19">
        <f t="shared" si="1"/>
        <v>-0.76495019242037909</v>
      </c>
      <c r="O56" s="11"/>
      <c r="P56" s="2">
        <f>--15323</f>
        <v>15323</v>
      </c>
      <c r="Q56" s="2"/>
      <c r="R56" s="19"/>
      <c r="S56" s="2"/>
      <c r="T56" s="2">
        <f>--19614.24</f>
        <v>19614.240000000002</v>
      </c>
      <c r="U56" s="2"/>
      <c r="V56" s="19"/>
      <c r="W56" s="2"/>
      <c r="X56" s="2">
        <f t="shared" si="2"/>
        <v>-4291.2400000000016</v>
      </c>
      <c r="Y56" s="2"/>
      <c r="Z56" s="19">
        <f t="shared" si="3"/>
        <v>-0.2187818646044915</v>
      </c>
    </row>
    <row r="57" spans="1:26" s="24" customFormat="1" hidden="1" outlineLevel="1" x14ac:dyDescent="0.25">
      <c r="A57" s="44"/>
      <c r="B57" s="11" t="str">
        <f>CONCATENATE("          ", "4113", " - ", "NON-TAXABLE SALES-TRADE BOOKS")</f>
        <v xml:space="preserve">          4113 - NON-TAXABLE SALES-TRADE BOOKS</v>
      </c>
      <c r="C57" s="11"/>
      <c r="D57" s="2">
        <f>--2440</f>
        <v>2440</v>
      </c>
      <c r="E57" s="2"/>
      <c r="F57" s="19"/>
      <c r="G57" s="2"/>
      <c r="H57" s="2">
        <f>--378</f>
        <v>378</v>
      </c>
      <c r="I57" s="2"/>
      <c r="J57" s="19"/>
      <c r="K57" s="2"/>
      <c r="L57" s="2">
        <f t="shared" si="0"/>
        <v>2062</v>
      </c>
      <c r="M57" s="2"/>
      <c r="N57" s="19">
        <f t="shared" si="1"/>
        <v>5.4550264550264549</v>
      </c>
      <c r="O57" s="11"/>
      <c r="P57" s="2">
        <f>--8241.92</f>
        <v>8241.92</v>
      </c>
      <c r="Q57" s="2"/>
      <c r="R57" s="19"/>
      <c r="S57" s="2"/>
      <c r="T57" s="2">
        <f>--3773</f>
        <v>3773</v>
      </c>
      <c r="U57" s="2"/>
      <c r="V57" s="19"/>
      <c r="W57" s="2"/>
      <c r="X57" s="2">
        <f t="shared" si="2"/>
        <v>4468.92</v>
      </c>
      <c r="Y57" s="2"/>
      <c r="Z57" s="19">
        <f t="shared" si="3"/>
        <v>1.1844473893453487</v>
      </c>
    </row>
    <row r="58" spans="1:26" s="24" customFormat="1" hidden="1" outlineLevel="1" x14ac:dyDescent="0.25">
      <c r="A58" s="44"/>
      <c r="B58" s="11" t="str">
        <f>CONCATENATE("          ", "4118", " - ", "NON-TAXABLE SALES-STUDY GUIDES")</f>
        <v xml:space="preserve">          4118 - NON-TAXABLE SALES-STUDY GUIDES</v>
      </c>
      <c r="C58" s="11"/>
      <c r="D58" s="2">
        <f>--7.02</f>
        <v>7.02</v>
      </c>
      <c r="E58" s="2"/>
      <c r="F58" s="19"/>
      <c r="G58" s="2"/>
      <c r="H58" s="2">
        <f t="shared" ref="H58:H59" si="8">0</f>
        <v>0</v>
      </c>
      <c r="I58" s="2"/>
      <c r="J58" s="19"/>
      <c r="K58" s="2"/>
      <c r="L58" s="2">
        <f t="shared" si="0"/>
        <v>7.02</v>
      </c>
      <c r="M58" s="2"/>
      <c r="N58" s="19">
        <f t="shared" si="1"/>
        <v>0</v>
      </c>
      <c r="O58" s="11"/>
      <c r="P58" s="2">
        <f>--75.94</f>
        <v>75.94</v>
      </c>
      <c r="Q58" s="2"/>
      <c r="R58" s="19"/>
      <c r="S58" s="2"/>
      <c r="T58" s="2">
        <f>--266.48</f>
        <v>266.48</v>
      </c>
      <c r="U58" s="2"/>
      <c r="V58" s="19"/>
      <c r="W58" s="2"/>
      <c r="X58" s="2">
        <f t="shared" si="2"/>
        <v>-190.54000000000002</v>
      </c>
      <c r="Y58" s="2"/>
      <c r="Z58" s="19">
        <f t="shared" si="3"/>
        <v>-0.71502551786250379</v>
      </c>
    </row>
    <row r="59" spans="1:26" s="24" customFormat="1" hidden="1" outlineLevel="1" x14ac:dyDescent="0.25">
      <c r="A59" s="44"/>
      <c r="B59" s="11" t="str">
        <f>CONCATENATE("          ", "4125", " - ", "NON-TAXABLE SALES-TEST FORMS")</f>
        <v xml:space="preserve">          4125 - NON-TAXABLE SALES-TEST FORMS</v>
      </c>
      <c r="C59" s="11"/>
      <c r="D59" s="2">
        <f>0</f>
        <v>0</v>
      </c>
      <c r="E59" s="2"/>
      <c r="F59" s="19"/>
      <c r="G59" s="2"/>
      <c r="H59" s="2">
        <f t="shared" si="8"/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>--267.61</f>
        <v>267.61</v>
      </c>
      <c r="Q59" s="2"/>
      <c r="R59" s="19"/>
      <c r="S59" s="2"/>
      <c r="T59" s="2">
        <f>--305.19</f>
        <v>305.19</v>
      </c>
      <c r="U59" s="2"/>
      <c r="V59" s="19"/>
      <c r="W59" s="2"/>
      <c r="X59" s="2">
        <f t="shared" si="2"/>
        <v>-37.579999999999984</v>
      </c>
      <c r="Y59" s="2"/>
      <c r="Z59" s="19">
        <f t="shared" si="3"/>
        <v>-0.123136406828533</v>
      </c>
    </row>
    <row r="60" spans="1:26" s="24" customFormat="1" hidden="1" outlineLevel="1" x14ac:dyDescent="0.25">
      <c r="A60" s="44"/>
      <c r="B60" s="11" t="str">
        <f>CONCATENATE("          ", "4126", " - ", "NON-TAXABLE SALES-WRITING INST")</f>
        <v xml:space="preserve">          4126 - NON-TAXABLE SALES-WRITING INST</v>
      </c>
      <c r="C60" s="11"/>
      <c r="D60" s="2">
        <f>--5.57</f>
        <v>5.57</v>
      </c>
      <c r="E60" s="2"/>
      <c r="F60" s="19"/>
      <c r="G60" s="2"/>
      <c r="H60" s="2">
        <f>--100.47</f>
        <v>100.47</v>
      </c>
      <c r="I60" s="2"/>
      <c r="J60" s="19"/>
      <c r="K60" s="2"/>
      <c r="L60" s="2">
        <f t="shared" si="0"/>
        <v>-94.9</v>
      </c>
      <c r="M60" s="2"/>
      <c r="N60" s="19">
        <f t="shared" si="1"/>
        <v>-0.94456056534288846</v>
      </c>
      <c r="O60" s="11"/>
      <c r="P60" s="2">
        <f>--3022.86</f>
        <v>3022.86</v>
      </c>
      <c r="Q60" s="2"/>
      <c r="R60" s="19"/>
      <c r="S60" s="2"/>
      <c r="T60" s="2">
        <f>--3659.14</f>
        <v>3659.14</v>
      </c>
      <c r="U60" s="2"/>
      <c r="V60" s="19"/>
      <c r="W60" s="2"/>
      <c r="X60" s="2">
        <f t="shared" si="2"/>
        <v>-636.27999999999975</v>
      </c>
      <c r="Y60" s="2"/>
      <c r="Z60" s="19">
        <f t="shared" si="3"/>
        <v>-0.17388785343004087</v>
      </c>
    </row>
    <row r="61" spans="1:26" s="24" customFormat="1" hidden="1" outlineLevel="1" x14ac:dyDescent="0.25">
      <c r="A61" s="44"/>
      <c r="B61" s="11" t="str">
        <f>CONCATENATE("          ", "4127", " - ", "NON-TAXABLE SALES-SCHOOL SUPPL")</f>
        <v xml:space="preserve">          4127 - NON-TAXABLE SALES-SCHOOL SUPPL</v>
      </c>
      <c r="C61" s="11"/>
      <c r="D61" s="2">
        <f>--1430.65</f>
        <v>1430.65</v>
      </c>
      <c r="E61" s="2"/>
      <c r="F61" s="19"/>
      <c r="G61" s="2"/>
      <c r="H61" s="2">
        <f>--4.99</f>
        <v>4.99</v>
      </c>
      <c r="I61" s="2"/>
      <c r="J61" s="19"/>
      <c r="K61" s="2"/>
      <c r="L61" s="2">
        <f t="shared" si="0"/>
        <v>1425.66</v>
      </c>
      <c r="M61" s="2"/>
      <c r="N61" s="19">
        <f t="shared" si="1"/>
        <v>285.70340681362728</v>
      </c>
      <c r="O61" s="11"/>
      <c r="P61" s="2">
        <f>--6146.87</f>
        <v>6146.87</v>
      </c>
      <c r="Q61" s="2"/>
      <c r="R61" s="19"/>
      <c r="S61" s="2"/>
      <c r="T61" s="2">
        <f>--12330.36</f>
        <v>12330.36</v>
      </c>
      <c r="U61" s="2"/>
      <c r="V61" s="19"/>
      <c r="W61" s="2"/>
      <c r="X61" s="2">
        <f t="shared" si="2"/>
        <v>-6183.4900000000007</v>
      </c>
      <c r="Y61" s="2"/>
      <c r="Z61" s="19">
        <f t="shared" si="3"/>
        <v>-0.50148495258857007</v>
      </c>
    </row>
    <row r="62" spans="1:26" s="24" customFormat="1" hidden="1" outlineLevel="1" x14ac:dyDescent="0.25">
      <c r="A62" s="44"/>
      <c r="B62" s="11" t="str">
        <f>CONCATENATE("          ", "4128", " - ", "NON-TAXABLE SALES-ART/TECH")</f>
        <v xml:space="preserve">          4128 - NON-TAXABLE SALES-ART/TECH</v>
      </c>
      <c r="C62" s="11"/>
      <c r="D62" s="2">
        <f>0</f>
        <v>0</v>
      </c>
      <c r="E62" s="2"/>
      <c r="F62" s="19"/>
      <c r="G62" s="2"/>
      <c r="H62" s="2">
        <f>--7.45</f>
        <v>7.45</v>
      </c>
      <c r="I62" s="2"/>
      <c r="J62" s="19"/>
      <c r="K62" s="2"/>
      <c r="L62" s="2">
        <f t="shared" si="0"/>
        <v>-7.45</v>
      </c>
      <c r="M62" s="2"/>
      <c r="N62" s="19">
        <f t="shared" si="1"/>
        <v>-1</v>
      </c>
      <c r="O62" s="11"/>
      <c r="P62" s="2">
        <f>--730.62</f>
        <v>730.62</v>
      </c>
      <c r="Q62" s="2"/>
      <c r="R62" s="19"/>
      <c r="S62" s="2"/>
      <c r="T62" s="2">
        <f>--852.82</f>
        <v>852.82</v>
      </c>
      <c r="U62" s="2"/>
      <c r="V62" s="19"/>
      <c r="W62" s="2"/>
      <c r="X62" s="2">
        <f t="shared" si="2"/>
        <v>-122.20000000000005</v>
      </c>
      <c r="Y62" s="2"/>
      <c r="Z62" s="19">
        <f t="shared" si="3"/>
        <v>-0.14328932248305626</v>
      </c>
    </row>
    <row r="63" spans="1:26" s="24" customFormat="1" hidden="1" outlineLevel="1" x14ac:dyDescent="0.25">
      <c r="A63" s="44"/>
      <c r="B63" s="11" t="str">
        <f>CONCATENATE("          ", "4131", " - ", "NON-TAXABLE SALES-FOOD")</f>
        <v xml:space="preserve">          4131 - NON-TAXABLE SALES-FOOD</v>
      </c>
      <c r="C63" s="11"/>
      <c r="D63" s="2">
        <f>--3.97</f>
        <v>3.97</v>
      </c>
      <c r="E63" s="2"/>
      <c r="F63" s="19"/>
      <c r="G63" s="2"/>
      <c r="H63" s="2">
        <f>--9031.87</f>
        <v>9031.8700000000008</v>
      </c>
      <c r="I63" s="2"/>
      <c r="J63" s="19"/>
      <c r="K63" s="2"/>
      <c r="L63" s="2">
        <f t="shared" si="0"/>
        <v>-9027.9000000000015</v>
      </c>
      <c r="M63" s="2"/>
      <c r="N63" s="19">
        <f t="shared" si="1"/>
        <v>-0.99956044540056499</v>
      </c>
      <c r="O63" s="11"/>
      <c r="P63" s="2">
        <f>--57887.54</f>
        <v>57887.54</v>
      </c>
      <c r="Q63" s="2"/>
      <c r="R63" s="19"/>
      <c r="S63" s="2"/>
      <c r="T63" s="2">
        <f>--71045.88</f>
        <v>71045.88</v>
      </c>
      <c r="U63" s="2"/>
      <c r="V63" s="19"/>
      <c r="W63" s="2"/>
      <c r="X63" s="2">
        <f t="shared" si="2"/>
        <v>-13158.340000000004</v>
      </c>
      <c r="Y63" s="2"/>
      <c r="Z63" s="19">
        <f t="shared" si="3"/>
        <v>-0.18520905082743719</v>
      </c>
    </row>
    <row r="64" spans="1:26" s="24" customFormat="1" hidden="1" outlineLevel="1" x14ac:dyDescent="0.25">
      <c r="A64" s="44"/>
      <c r="B64" s="11" t="str">
        <f>CONCATENATE("          ", "4132", " - ", "NON-TAXABLE SALES-JUICE")</f>
        <v xml:space="preserve">          4132 - NON-TAXABLE SALES-JUICE</v>
      </c>
      <c r="C64" s="11"/>
      <c r="D64" s="2">
        <f>0</f>
        <v>0</v>
      </c>
      <c r="E64" s="2"/>
      <c r="F64" s="19"/>
      <c r="G64" s="2"/>
      <c r="H64" s="2">
        <f>--2173.93</f>
        <v>2173.9299999999998</v>
      </c>
      <c r="I64" s="2"/>
      <c r="J64" s="19"/>
      <c r="K64" s="2"/>
      <c r="L64" s="2">
        <f t="shared" si="0"/>
        <v>-2173.9299999999998</v>
      </c>
      <c r="M64" s="2"/>
      <c r="N64" s="19">
        <f t="shared" si="1"/>
        <v>-1</v>
      </c>
      <c r="O64" s="11"/>
      <c r="P64" s="2">
        <f>--16199.63</f>
        <v>16199.63</v>
      </c>
      <c r="Q64" s="2"/>
      <c r="R64" s="19"/>
      <c r="S64" s="2"/>
      <c r="T64" s="2">
        <f>--17387.86</f>
        <v>17387.86</v>
      </c>
      <c r="U64" s="2"/>
      <c r="V64" s="19"/>
      <c r="W64" s="2"/>
      <c r="X64" s="2">
        <f t="shared" si="2"/>
        <v>-1188.2300000000014</v>
      </c>
      <c r="Y64" s="2"/>
      <c r="Z64" s="19">
        <f t="shared" si="3"/>
        <v>-6.8336759095138866E-2</v>
      </c>
    </row>
    <row r="65" spans="1:26" s="24" customFormat="1" hidden="1" outlineLevel="1" x14ac:dyDescent="0.25">
      <c r="A65" s="44"/>
      <c r="B65" s="11" t="str">
        <f>CONCATENATE("          ", "4133", " - ", "NON-TAXABLE SALES-CANDY")</f>
        <v xml:space="preserve">          4133 - NON-TAXABLE SALES-CANDY</v>
      </c>
      <c r="C65" s="11"/>
      <c r="D65" s="2">
        <f>--4.17</f>
        <v>4.17</v>
      </c>
      <c r="E65" s="2"/>
      <c r="F65" s="19"/>
      <c r="G65" s="2"/>
      <c r="H65" s="2">
        <f>--2570.67</f>
        <v>2570.67</v>
      </c>
      <c r="I65" s="2"/>
      <c r="J65" s="19"/>
      <c r="K65" s="2"/>
      <c r="L65" s="2">
        <f t="shared" si="0"/>
        <v>-2566.5</v>
      </c>
      <c r="M65" s="2"/>
      <c r="N65" s="19">
        <f t="shared" si="1"/>
        <v>-0.99837785480049945</v>
      </c>
      <c r="O65" s="11"/>
      <c r="P65" s="2">
        <f>--18088.46</f>
        <v>18088.46</v>
      </c>
      <c r="Q65" s="2"/>
      <c r="R65" s="19"/>
      <c r="S65" s="2"/>
      <c r="T65" s="2">
        <f>--19959.46</f>
        <v>19959.46</v>
      </c>
      <c r="U65" s="2"/>
      <c r="V65" s="19"/>
      <c r="W65" s="2"/>
      <c r="X65" s="2">
        <f t="shared" si="2"/>
        <v>-1871</v>
      </c>
      <c r="Y65" s="2"/>
      <c r="Z65" s="19">
        <f t="shared" si="3"/>
        <v>-9.3740011002301671E-2</v>
      </c>
    </row>
    <row r="66" spans="1:26" s="24" customFormat="1" hidden="1" outlineLevel="1" x14ac:dyDescent="0.25">
      <c r="A66" s="44"/>
      <c r="B66" s="11" t="str">
        <f>CONCATENATE("          ", "4134", " - ", "NON-TAXABLE SALES-SODA")</f>
        <v xml:space="preserve">          4134 - NON-TAXABLE SALES-SODA</v>
      </c>
      <c r="C66" s="11"/>
      <c r="D66" s="2">
        <f t="shared" ref="D66:D68" si="9">0</f>
        <v>0</v>
      </c>
      <c r="E66" s="2"/>
      <c r="F66" s="19"/>
      <c r="G66" s="2"/>
      <c r="H66" s="2">
        <f>0</f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--1.89</f>
        <v>1.89</v>
      </c>
      <c r="Q66" s="2"/>
      <c r="R66" s="19"/>
      <c r="S66" s="2"/>
      <c r="T66" s="2">
        <f>--111.36</f>
        <v>111.36</v>
      </c>
      <c r="U66" s="2"/>
      <c r="V66" s="19"/>
      <c r="W66" s="2"/>
      <c r="X66" s="2">
        <f t="shared" si="2"/>
        <v>-109.47</v>
      </c>
      <c r="Y66" s="2"/>
      <c r="Z66" s="19">
        <f t="shared" si="3"/>
        <v>-0.98302801724137934</v>
      </c>
    </row>
    <row r="67" spans="1:26" s="24" customFormat="1" hidden="1" outlineLevel="1" x14ac:dyDescent="0.25">
      <c r="A67" s="44"/>
      <c r="B67" s="11" t="str">
        <f>CONCATENATE("          ", "4135", " - ", "NON-TAXABLE SALES")</f>
        <v xml:space="preserve">          4135 - NON-TAXABLE SALES</v>
      </c>
      <c r="C67" s="11"/>
      <c r="D67" s="2">
        <f t="shared" si="9"/>
        <v>0</v>
      </c>
      <c r="E67" s="2"/>
      <c r="F67" s="19"/>
      <c r="G67" s="2"/>
      <c r="H67" s="2">
        <f>--34.82</f>
        <v>34.82</v>
      </c>
      <c r="I67" s="2"/>
      <c r="J67" s="19"/>
      <c r="K67" s="2"/>
      <c r="L67" s="2">
        <f t="shared" si="0"/>
        <v>-34.82</v>
      </c>
      <c r="M67" s="2"/>
      <c r="N67" s="19">
        <f t="shared" si="1"/>
        <v>-1</v>
      </c>
      <c r="O67" s="11"/>
      <c r="P67" s="2">
        <f>--161.4</f>
        <v>161.4</v>
      </c>
      <c r="Q67" s="2"/>
      <c r="R67" s="19"/>
      <c r="S67" s="2"/>
      <c r="T67" s="2">
        <f>--370.53</f>
        <v>370.53</v>
      </c>
      <c r="U67" s="2"/>
      <c r="V67" s="19"/>
      <c r="W67" s="2"/>
      <c r="X67" s="2">
        <f t="shared" si="2"/>
        <v>-209.12999999999997</v>
      </c>
      <c r="Y67" s="2"/>
      <c r="Z67" s="19">
        <f t="shared" si="3"/>
        <v>-0.56440774026394624</v>
      </c>
    </row>
    <row r="68" spans="1:26" s="24" customFormat="1" hidden="1" outlineLevel="1" x14ac:dyDescent="0.25">
      <c r="A68" s="44"/>
      <c r="B68" s="11" t="str">
        <f>CONCATENATE("          ", "4137", " - ", "NON-TAXABLE SALES-WATER")</f>
        <v xml:space="preserve">          4137 - NON-TAXABLE SALES-WATER</v>
      </c>
      <c r="C68" s="11"/>
      <c r="D68" s="2">
        <f t="shared" si="9"/>
        <v>0</v>
      </c>
      <c r="E68" s="2"/>
      <c r="F68" s="19"/>
      <c r="G68" s="2"/>
      <c r="H68" s="2">
        <f>--1267.81</f>
        <v>1267.81</v>
      </c>
      <c r="I68" s="2"/>
      <c r="J68" s="19"/>
      <c r="K68" s="2"/>
      <c r="L68" s="2">
        <f t="shared" si="0"/>
        <v>-1267.81</v>
      </c>
      <c r="M68" s="2"/>
      <c r="N68" s="19">
        <f t="shared" si="1"/>
        <v>-1</v>
      </c>
      <c r="O68" s="11"/>
      <c r="P68" s="2">
        <f>--8519.06</f>
        <v>8519.06</v>
      </c>
      <c r="Q68" s="2"/>
      <c r="R68" s="19"/>
      <c r="S68" s="2"/>
      <c r="T68" s="2">
        <f>--9694.74</f>
        <v>9694.74</v>
      </c>
      <c r="U68" s="2"/>
      <c r="V68" s="19"/>
      <c r="W68" s="2"/>
      <c r="X68" s="2">
        <f t="shared" si="2"/>
        <v>-1175.6800000000003</v>
      </c>
      <c r="Y68" s="2"/>
      <c r="Z68" s="19">
        <f t="shared" si="3"/>
        <v>-0.12126988449406589</v>
      </c>
    </row>
    <row r="69" spans="1:26" s="24" customFormat="1" hidden="1" outlineLevel="1" x14ac:dyDescent="0.25">
      <c r="A69" s="44"/>
      <c r="B69" s="11" t="str">
        <f>CONCATENATE("          ", "4140", " - ", "NON-TAXABLE SALES-LOGO CLOTHIN")</f>
        <v xml:space="preserve">          4140 - NON-TAXABLE SALES-LOGO CLOTHIN</v>
      </c>
      <c r="C69" s="11"/>
      <c r="D69" s="2">
        <f>--30875.73</f>
        <v>30875.73</v>
      </c>
      <c r="E69" s="2"/>
      <c r="F69" s="19"/>
      <c r="G69" s="2"/>
      <c r="H69" s="2">
        <f>--11589.38</f>
        <v>11589.38</v>
      </c>
      <c r="I69" s="2"/>
      <c r="J69" s="19"/>
      <c r="K69" s="2"/>
      <c r="L69" s="2">
        <f t="shared" si="0"/>
        <v>19286.349999999999</v>
      </c>
      <c r="M69" s="2"/>
      <c r="N69" s="19">
        <f t="shared" si="1"/>
        <v>1.6641399281065941</v>
      </c>
      <c r="O69" s="11"/>
      <c r="P69" s="2">
        <f>--78924.71</f>
        <v>78924.710000000006</v>
      </c>
      <c r="Q69" s="2"/>
      <c r="R69" s="19"/>
      <c r="S69" s="2"/>
      <c r="T69" s="2">
        <f>--47255.77</f>
        <v>47255.77</v>
      </c>
      <c r="U69" s="2"/>
      <c r="V69" s="19"/>
      <c r="W69" s="2"/>
      <c r="X69" s="2">
        <f t="shared" si="2"/>
        <v>31668.94000000001</v>
      </c>
      <c r="Y69" s="2"/>
      <c r="Z69" s="19">
        <f t="shared" si="3"/>
        <v>0.67016027884002338</v>
      </c>
    </row>
    <row r="70" spans="1:26" s="24" customFormat="1" hidden="1" outlineLevel="1" x14ac:dyDescent="0.25">
      <c r="A70" s="44"/>
      <c r="B70" s="11" t="str">
        <f>CONCATENATE("          ", "4141", " - ", "NON-TAXABLE SALES-LOGO GIFTS")</f>
        <v xml:space="preserve">          4141 - NON-TAXABLE SALES-LOGO GIFTS</v>
      </c>
      <c r="C70" s="11"/>
      <c r="D70" s="2">
        <f>--1860.77</f>
        <v>1860.77</v>
      </c>
      <c r="E70" s="2"/>
      <c r="F70" s="19"/>
      <c r="G70" s="2"/>
      <c r="H70" s="2">
        <f>--727.75</f>
        <v>727.75</v>
      </c>
      <c r="I70" s="2"/>
      <c r="J70" s="19"/>
      <c r="K70" s="2"/>
      <c r="L70" s="2">
        <f t="shared" si="0"/>
        <v>1133.02</v>
      </c>
      <c r="M70" s="2"/>
      <c r="N70" s="19">
        <f t="shared" si="1"/>
        <v>1.5568807969769838</v>
      </c>
      <c r="O70" s="11"/>
      <c r="P70" s="2">
        <f>--12775.33</f>
        <v>12775.33</v>
      </c>
      <c r="Q70" s="2"/>
      <c r="R70" s="19"/>
      <c r="S70" s="2"/>
      <c r="T70" s="2">
        <f>--6003.33</f>
        <v>6003.33</v>
      </c>
      <c r="U70" s="2"/>
      <c r="V70" s="19"/>
      <c r="W70" s="2"/>
      <c r="X70" s="2">
        <f t="shared" si="2"/>
        <v>6772</v>
      </c>
      <c r="Y70" s="2"/>
      <c r="Z70" s="19">
        <f t="shared" si="3"/>
        <v>1.1280406041313737</v>
      </c>
    </row>
    <row r="71" spans="1:26" s="24" customFormat="1" hidden="1" outlineLevel="1" x14ac:dyDescent="0.25">
      <c r="A71" s="44"/>
      <c r="B71" s="11" t="str">
        <f>CONCATENATE("          ", "4142", " - ", "NON-TAXABLE SALES-EVERYDAY GIF")</f>
        <v xml:space="preserve">          4142 - NON-TAXABLE SALES-EVERYDAY GIF</v>
      </c>
      <c r="C71" s="11"/>
      <c r="D71" s="2">
        <f>--386.65</f>
        <v>386.65</v>
      </c>
      <c r="E71" s="2"/>
      <c r="F71" s="19"/>
      <c r="G71" s="2"/>
      <c r="H71" s="2">
        <f>--2399.88</f>
        <v>2399.88</v>
      </c>
      <c r="I71" s="2"/>
      <c r="J71" s="19"/>
      <c r="K71" s="2"/>
      <c r="L71" s="2">
        <f t="shared" si="0"/>
        <v>-2013.23</v>
      </c>
      <c r="M71" s="2"/>
      <c r="N71" s="19">
        <f t="shared" si="1"/>
        <v>-0.83888777772221945</v>
      </c>
      <c r="O71" s="11"/>
      <c r="P71" s="2">
        <f>--14128.08</f>
        <v>14128.08</v>
      </c>
      <c r="Q71" s="2"/>
      <c r="R71" s="19"/>
      <c r="S71" s="2"/>
      <c r="T71" s="2">
        <f>--19569.19</f>
        <v>19569.189999999999</v>
      </c>
      <c r="U71" s="2"/>
      <c r="V71" s="19"/>
      <c r="W71" s="2"/>
      <c r="X71" s="2">
        <f t="shared" si="2"/>
        <v>-5441.1099999999988</v>
      </c>
      <c r="Y71" s="2"/>
      <c r="Z71" s="19">
        <f t="shared" si="3"/>
        <v>-0.27804472234159916</v>
      </c>
    </row>
    <row r="72" spans="1:26" s="24" customFormat="1" hidden="1" outlineLevel="1" x14ac:dyDescent="0.25">
      <c r="A72" s="44"/>
      <c r="B72" s="11" t="str">
        <f>CONCATENATE("          ", "4143", " - ", "NON-TAXABLE SALES-CARDS")</f>
        <v xml:space="preserve">          4143 - NON-TAXABLE SALES-CARDS</v>
      </c>
      <c r="C72" s="11"/>
      <c r="D72" s="2">
        <f>-9.99</f>
        <v>-9.99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-9.99</v>
      </c>
      <c r="M72" s="2"/>
      <c r="N72" s="19">
        <f t="shared" si="1"/>
        <v>0</v>
      </c>
      <c r="O72" s="11"/>
      <c r="P72" s="2">
        <f>0</f>
        <v>0</v>
      </c>
      <c r="Q72" s="2"/>
      <c r="R72" s="19"/>
      <c r="S72" s="2"/>
      <c r="T72" s="2">
        <f>0</f>
        <v>0</v>
      </c>
      <c r="U72" s="2"/>
      <c r="V72" s="19"/>
      <c r="W72" s="2"/>
      <c r="X72" s="2">
        <f t="shared" si="2"/>
        <v>0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"4144", " - ", "NON-TAXABLE SALES-ACCESSORIES")</f>
        <v xml:space="preserve">          4144 - NON-TAXABLE SALES-ACCESSORIES</v>
      </c>
      <c r="C73" s="11"/>
      <c r="D73" s="2">
        <f>--299.4</f>
        <v>299.39999999999998</v>
      </c>
      <c r="E73" s="2"/>
      <c r="F73" s="19"/>
      <c r="G73" s="2"/>
      <c r="H73" s="2">
        <f>--74.8</f>
        <v>74.8</v>
      </c>
      <c r="I73" s="2"/>
      <c r="J73" s="19"/>
      <c r="K73" s="2"/>
      <c r="L73" s="2">
        <f t="shared" si="0"/>
        <v>224.59999999999997</v>
      </c>
      <c r="M73" s="2"/>
      <c r="N73" s="19">
        <f t="shared" si="1"/>
        <v>3.0026737967914436</v>
      </c>
      <c r="O73" s="11"/>
      <c r="P73" s="2">
        <f>--2339.67</f>
        <v>2339.67</v>
      </c>
      <c r="Q73" s="2"/>
      <c r="R73" s="19"/>
      <c r="S73" s="2"/>
      <c r="T73" s="2">
        <f>--580.04</f>
        <v>580.04</v>
      </c>
      <c r="U73" s="2"/>
      <c r="V73" s="19"/>
      <c r="W73" s="2"/>
      <c r="X73" s="2">
        <f t="shared" si="2"/>
        <v>1759.63</v>
      </c>
      <c r="Y73" s="2"/>
      <c r="Z73" s="19">
        <f t="shared" si="3"/>
        <v>3.0336356113371497</v>
      </c>
    </row>
    <row r="74" spans="1:26" s="24" customFormat="1" hidden="1" outlineLevel="1" x14ac:dyDescent="0.25">
      <c r="A74" s="44"/>
      <c r="B74" s="11" t="str">
        <f>CONCATENATE("          ", "4145", " - ", "NON-TAXABLE SALES-SPECIAL ORDE")</f>
        <v xml:space="preserve">          4145 - NON-TAXABLE SALES-SPECIAL ORDE</v>
      </c>
      <c r="C74" s="11"/>
      <c r="D74" s="2">
        <f>0</f>
        <v>0</v>
      </c>
      <c r="E74" s="2"/>
      <c r="F74" s="19"/>
      <c r="G74" s="2"/>
      <c r="H74" s="2">
        <f>--29.95</f>
        <v>29.95</v>
      </c>
      <c r="I74" s="2"/>
      <c r="J74" s="19"/>
      <c r="K74" s="2"/>
      <c r="L74" s="2">
        <f t="shared" si="0"/>
        <v>-29.95</v>
      </c>
      <c r="M74" s="2"/>
      <c r="N74" s="19">
        <f t="shared" si="1"/>
        <v>-1</v>
      </c>
      <c r="O74" s="11"/>
      <c r="P74" s="2">
        <f>--140</f>
        <v>140</v>
      </c>
      <c r="Q74" s="2"/>
      <c r="R74" s="19"/>
      <c r="S74" s="2"/>
      <c r="T74" s="2">
        <f>--1950.95</f>
        <v>1950.95</v>
      </c>
      <c r="U74" s="2"/>
      <c r="V74" s="19"/>
      <c r="W74" s="2"/>
      <c r="X74" s="2">
        <f t="shared" si="2"/>
        <v>-1810.95</v>
      </c>
      <c r="Y74" s="2"/>
      <c r="Z74" s="19">
        <f t="shared" si="3"/>
        <v>-0.9282400881621774</v>
      </c>
    </row>
    <row r="75" spans="1:26" s="24" customFormat="1" hidden="1" outlineLevel="1" x14ac:dyDescent="0.25">
      <c r="A75" s="44"/>
      <c r="B75" s="11" t="str">
        <f>CONCATENATE("          ", "4146", " - ", "NON-TAXABLE SALES-COIN OP MACH")</f>
        <v xml:space="preserve">          4146 - NON-TAXABLE SALES-COIN OP MACH</v>
      </c>
      <c r="C75" s="11"/>
      <c r="D75" s="2">
        <f>--121.7</f>
        <v>121.7</v>
      </c>
      <c r="E75" s="2"/>
      <c r="F75" s="19"/>
      <c r="G75" s="2"/>
      <c r="H75" s="2">
        <f>--28198.35</f>
        <v>28198.35</v>
      </c>
      <c r="I75" s="2"/>
      <c r="J75" s="19"/>
      <c r="K75" s="2"/>
      <c r="L75" s="2">
        <f t="shared" si="0"/>
        <v>-28076.649999999998</v>
      </c>
      <c r="M75" s="2"/>
      <c r="N75" s="19">
        <f t="shared" si="1"/>
        <v>-0.99568414463966859</v>
      </c>
      <c r="O75" s="11"/>
      <c r="P75" s="2">
        <f>--205908.65</f>
        <v>205908.65</v>
      </c>
      <c r="Q75" s="2"/>
      <c r="R75" s="19"/>
      <c r="S75" s="2"/>
      <c r="T75" s="2">
        <f>--260558.54</f>
        <v>260558.54</v>
      </c>
      <c r="U75" s="2"/>
      <c r="V75" s="19"/>
      <c r="W75" s="2"/>
      <c r="X75" s="2">
        <f t="shared" si="2"/>
        <v>-54649.890000000014</v>
      </c>
      <c r="Y75" s="2"/>
      <c r="Z75" s="19">
        <f t="shared" si="3"/>
        <v>-0.20974131187563461</v>
      </c>
    </row>
    <row r="76" spans="1:26" s="24" customFormat="1" hidden="1" outlineLevel="1" x14ac:dyDescent="0.25">
      <c r="A76" s="44"/>
      <c r="B76" s="11" t="str">
        <f>CONCATENATE("          ", "4147", " - ", "NON-TAXABLE SALES-MISC")</f>
        <v xml:space="preserve">          4147 - NON-TAXABLE SALES-MISC</v>
      </c>
      <c r="C76" s="11"/>
      <c r="D76" s="2">
        <f>0</f>
        <v>0</v>
      </c>
      <c r="E76" s="2"/>
      <c r="F76" s="19"/>
      <c r="G76" s="2"/>
      <c r="H76" s="2">
        <f>--167.5</f>
        <v>167.5</v>
      </c>
      <c r="I76" s="2"/>
      <c r="J76" s="19"/>
      <c r="K76" s="2"/>
      <c r="L76" s="2">
        <f t="shared" si="0"/>
        <v>-167.5</v>
      </c>
      <c r="M76" s="2"/>
      <c r="N76" s="19">
        <f t="shared" si="1"/>
        <v>-1</v>
      </c>
      <c r="O76" s="11"/>
      <c r="P76" s="2">
        <f>--3436.37</f>
        <v>3436.37</v>
      </c>
      <c r="Q76" s="2"/>
      <c r="R76" s="19"/>
      <c r="S76" s="2"/>
      <c r="T76" s="2">
        <f>--898.23</f>
        <v>898.23</v>
      </c>
      <c r="U76" s="2"/>
      <c r="V76" s="19"/>
      <c r="W76" s="2"/>
      <c r="X76" s="2">
        <f t="shared" si="2"/>
        <v>2538.14</v>
      </c>
      <c r="Y76" s="2"/>
      <c r="Z76" s="19">
        <f t="shared" si="3"/>
        <v>2.8257127907106194</v>
      </c>
    </row>
    <row r="77" spans="1:26" s="24" customFormat="1" hidden="1" outlineLevel="1" x14ac:dyDescent="0.25">
      <c r="A77" s="44"/>
      <c r="B77" s="11" t="str">
        <f>CONCATENATE("          ", "4181", " - ", "NON-TAXABLE SALES-ELECTRONICS")</f>
        <v xml:space="preserve">          4181 - NON-TAXABLE SALES-ELECTRONICS</v>
      </c>
      <c r="C77" s="11"/>
      <c r="D77" s="2">
        <f>--154.96</f>
        <v>154.96</v>
      </c>
      <c r="E77" s="2"/>
      <c r="F77" s="19"/>
      <c r="G77" s="2"/>
      <c r="H77" s="2">
        <f>--1610.57</f>
        <v>1610.57</v>
      </c>
      <c r="I77" s="2"/>
      <c r="J77" s="19"/>
      <c r="K77" s="2"/>
      <c r="L77" s="2">
        <f t="shared" si="0"/>
        <v>-1455.61</v>
      </c>
      <c r="M77" s="2"/>
      <c r="N77" s="19">
        <f t="shared" si="1"/>
        <v>-0.90378561627249976</v>
      </c>
      <c r="O77" s="11"/>
      <c r="P77" s="2">
        <f>--2233.33</f>
        <v>2233.33</v>
      </c>
      <c r="Q77" s="2"/>
      <c r="R77" s="19"/>
      <c r="S77" s="2"/>
      <c r="T77" s="2">
        <f>--14517.08</f>
        <v>14517.08</v>
      </c>
      <c r="U77" s="2"/>
      <c r="V77" s="19"/>
      <c r="W77" s="2"/>
      <c r="X77" s="2">
        <f t="shared" si="2"/>
        <v>-12283.75</v>
      </c>
      <c r="Y77" s="2"/>
      <c r="Z77" s="19">
        <f t="shared" si="3"/>
        <v>-0.84615845610825313</v>
      </c>
    </row>
    <row r="78" spans="1:26" s="24" customFormat="1" hidden="1" outlineLevel="1" x14ac:dyDescent="0.25">
      <c r="A78" s="44"/>
      <c r="B78" s="11" t="str">
        <f>CONCATENATE("          ", "4182", " - ", "NON-TAXABLE SALES-COMPUTER HAR")</f>
        <v xml:space="preserve">          4182 - NON-TAXABLE SALES-COMPUTER HAR</v>
      </c>
      <c r="C78" s="11"/>
      <c r="D78" s="2">
        <f>--30055.98</f>
        <v>30055.98</v>
      </c>
      <c r="E78" s="2"/>
      <c r="F78" s="19"/>
      <c r="G78" s="2"/>
      <c r="H78" s="2">
        <f>--16809</f>
        <v>16809</v>
      </c>
      <c r="I78" s="2"/>
      <c r="J78" s="19"/>
      <c r="K78" s="2"/>
      <c r="L78" s="2">
        <f t="shared" si="0"/>
        <v>13246.98</v>
      </c>
      <c r="M78" s="2"/>
      <c r="N78" s="19">
        <f t="shared" si="1"/>
        <v>0.78808852400499729</v>
      </c>
      <c r="O78" s="11"/>
      <c r="P78" s="2">
        <f>--148066.94</f>
        <v>148066.94</v>
      </c>
      <c r="Q78" s="2"/>
      <c r="R78" s="19"/>
      <c r="S78" s="2"/>
      <c r="T78" s="2">
        <f>--219678.84</f>
        <v>219678.84</v>
      </c>
      <c r="U78" s="2"/>
      <c r="V78" s="19"/>
      <c r="W78" s="2"/>
      <c r="X78" s="2">
        <f t="shared" si="2"/>
        <v>-71611.899999999994</v>
      </c>
      <c r="Y78" s="2"/>
      <c r="Z78" s="19">
        <f t="shared" si="3"/>
        <v>-0.32598451448487253</v>
      </c>
    </row>
    <row r="79" spans="1:26" s="24" customFormat="1" hidden="1" outlineLevel="1" x14ac:dyDescent="0.25">
      <c r="A79" s="44"/>
      <c r="B79" s="11" t="str">
        <f>CONCATENATE("          ", "4183", " - ", "NON-TAXABLE SALES-COMPUTER EQU")</f>
        <v xml:space="preserve">          4183 - NON-TAXABLE SALES-COMPUTER EQU</v>
      </c>
      <c r="C79" s="11"/>
      <c r="D79" s="2">
        <f>--2769.8</f>
        <v>2769.8</v>
      </c>
      <c r="E79" s="2"/>
      <c r="F79" s="19"/>
      <c r="G79" s="2"/>
      <c r="H79" s="2">
        <f>--513.9</f>
        <v>513.9</v>
      </c>
      <c r="I79" s="2"/>
      <c r="J79" s="19"/>
      <c r="K79" s="2"/>
      <c r="L79" s="2">
        <f t="shared" si="0"/>
        <v>2255.9</v>
      </c>
      <c r="M79" s="2"/>
      <c r="N79" s="19">
        <f t="shared" si="1"/>
        <v>4.3897645456314462</v>
      </c>
      <c r="O79" s="11"/>
      <c r="P79" s="2">
        <f>--9532.02</f>
        <v>9532.02</v>
      </c>
      <c r="Q79" s="2"/>
      <c r="R79" s="19"/>
      <c r="S79" s="2"/>
      <c r="T79" s="2">
        <f>--9646.95</f>
        <v>9646.9500000000007</v>
      </c>
      <c r="U79" s="2"/>
      <c r="V79" s="19"/>
      <c r="W79" s="2"/>
      <c r="X79" s="2">
        <f t="shared" si="2"/>
        <v>-114.93000000000029</v>
      </c>
      <c r="Y79" s="2"/>
      <c r="Z79" s="19">
        <f t="shared" si="3"/>
        <v>-1.1913610001088456E-2</v>
      </c>
    </row>
    <row r="80" spans="1:26" s="24" customFormat="1" hidden="1" outlineLevel="1" x14ac:dyDescent="0.25">
      <c r="A80" s="44"/>
      <c r="B80" s="11" t="str">
        <f>CONCATENATE("          ", "4184", " - ", "NON-TAXABLE SALES-SOFTWARE LIC")</f>
        <v xml:space="preserve">          4184 - NON-TAXABLE SALES-SOFTWARE LIC</v>
      </c>
      <c r="C80" s="11"/>
      <c r="D80" s="2">
        <f>0</f>
        <v>0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--2728</f>
        <v>2728</v>
      </c>
      <c r="Q80" s="2"/>
      <c r="R80" s="19"/>
      <c r="S80" s="2"/>
      <c r="T80" s="2">
        <f>--3840</f>
        <v>3840</v>
      </c>
      <c r="U80" s="2"/>
      <c r="V80" s="19"/>
      <c r="W80" s="2"/>
      <c r="X80" s="2">
        <f t="shared" si="2"/>
        <v>-1112</v>
      </c>
      <c r="Y80" s="2"/>
      <c r="Z80" s="19">
        <f t="shared" si="3"/>
        <v>-0.28958333333333336</v>
      </c>
    </row>
    <row r="81" spans="1:26" s="24" customFormat="1" hidden="1" outlineLevel="1" x14ac:dyDescent="0.25">
      <c r="A81" s="44"/>
      <c r="B81" s="11" t="str">
        <f>CONCATENATE("          ", "4185", " - ", "NON-TAXABLE SALES-SOFTWARE")</f>
        <v xml:space="preserve">          4185 - NON-TAXABLE SALES-SOFTWARE</v>
      </c>
      <c r="C81" s="11"/>
      <c r="D81" s="2">
        <f>--3224.87</f>
        <v>3224.87</v>
      </c>
      <c r="E81" s="2"/>
      <c r="F81" s="19"/>
      <c r="G81" s="2"/>
      <c r="H81" s="2">
        <f>--1442.97</f>
        <v>1442.97</v>
      </c>
      <c r="I81" s="2"/>
      <c r="J81" s="19"/>
      <c r="K81" s="2"/>
      <c r="L81" s="2">
        <f t="shared" si="0"/>
        <v>1781.8999999999999</v>
      </c>
      <c r="M81" s="2"/>
      <c r="N81" s="19">
        <f t="shared" si="1"/>
        <v>1.2348836081138206</v>
      </c>
      <c r="O81" s="11"/>
      <c r="P81" s="2">
        <f>--16347.61</f>
        <v>16347.61</v>
      </c>
      <c r="Q81" s="2"/>
      <c r="R81" s="19"/>
      <c r="S81" s="2"/>
      <c r="T81" s="2">
        <f>--5779.78</f>
        <v>5779.78</v>
      </c>
      <c r="U81" s="2"/>
      <c r="V81" s="19"/>
      <c r="W81" s="2"/>
      <c r="X81" s="2">
        <f t="shared" si="2"/>
        <v>10567.830000000002</v>
      </c>
      <c r="Y81" s="2"/>
      <c r="Z81" s="19">
        <f t="shared" si="3"/>
        <v>1.8284138842654916</v>
      </c>
    </row>
    <row r="82" spans="1:26" s="24" customFormat="1" hidden="1" outlineLevel="1" x14ac:dyDescent="0.25">
      <c r="A82" s="44"/>
      <c r="B82" s="11" t="str">
        <f>CONCATENATE("          ", "4186", " - ", "NON-TAXABLE SALES-COMPUTER SUP")</f>
        <v xml:space="preserve">          4186 - NON-TAXABLE SALES-COMPUTER SUP</v>
      </c>
      <c r="C82" s="11"/>
      <c r="D82" s="2">
        <f>--189.97</f>
        <v>189.97</v>
      </c>
      <c r="E82" s="2"/>
      <c r="F82" s="19"/>
      <c r="G82" s="2"/>
      <c r="H82" s="2">
        <f>--504.87</f>
        <v>504.87</v>
      </c>
      <c r="I82" s="2"/>
      <c r="J82" s="19"/>
      <c r="K82" s="2"/>
      <c r="L82" s="2">
        <f t="shared" si="0"/>
        <v>-314.89999999999998</v>
      </c>
      <c r="M82" s="2"/>
      <c r="N82" s="19">
        <f t="shared" si="1"/>
        <v>-0.62372491928615281</v>
      </c>
      <c r="O82" s="11"/>
      <c r="P82" s="2">
        <f>--2809.16</f>
        <v>2809.16</v>
      </c>
      <c r="Q82" s="2"/>
      <c r="R82" s="19"/>
      <c r="S82" s="2"/>
      <c r="T82" s="2">
        <f>--5850.74</f>
        <v>5850.74</v>
      </c>
      <c r="U82" s="2"/>
      <c r="V82" s="19"/>
      <c r="W82" s="2"/>
      <c r="X82" s="2">
        <f t="shared" si="2"/>
        <v>-3041.58</v>
      </c>
      <c r="Y82" s="2"/>
      <c r="Z82" s="19">
        <f t="shared" si="3"/>
        <v>-0.51986244475057852</v>
      </c>
    </row>
    <row r="83" spans="1:26" s="24" customFormat="1" hidden="1" outlineLevel="1" x14ac:dyDescent="0.25">
      <c r="A83" s="44"/>
      <c r="B83" s="11" t="str">
        <f>CONCATENATE("          ", "4188", " - ", "NON-TAXABLE SALES-MUSIC")</f>
        <v xml:space="preserve">          4188 - NON-TAXABLE SALES-MUSIC</v>
      </c>
      <c r="C83" s="11"/>
      <c r="D83" s="2">
        <f t="shared" ref="D83:D84" si="10">0</f>
        <v>0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--219.96</f>
        <v>219.96</v>
      </c>
      <c r="Q83" s="2"/>
      <c r="R83" s="19"/>
      <c r="S83" s="2"/>
      <c r="T83" s="2">
        <f>--199.98</f>
        <v>199.98</v>
      </c>
      <c r="U83" s="2"/>
      <c r="V83" s="19"/>
      <c r="W83" s="2"/>
      <c r="X83" s="2">
        <f t="shared" si="2"/>
        <v>19.980000000000018</v>
      </c>
      <c r="Y83" s="2"/>
      <c r="Z83" s="19">
        <f t="shared" si="3"/>
        <v>9.9909990999100001E-2</v>
      </c>
    </row>
    <row r="84" spans="1:26" s="24" customFormat="1" hidden="1" outlineLevel="1" x14ac:dyDescent="0.25">
      <c r="A84" s="44"/>
      <c r="B84" s="11" t="str">
        <f>CONCATENATE("          ", "4192", " - ", "NON-TAXABLE SALES-GRAD MERCH")</f>
        <v xml:space="preserve">          4192 - NON-TAXABLE SALES-GRAD MERCH</v>
      </c>
      <c r="C84" s="11"/>
      <c r="D84" s="2">
        <f t="shared" si="10"/>
        <v>0</v>
      </c>
      <c r="E84" s="2"/>
      <c r="F84" s="19"/>
      <c r="G84" s="2"/>
      <c r="H84" s="2">
        <f>--313.5</f>
        <v>313.5</v>
      </c>
      <c r="I84" s="2"/>
      <c r="J84" s="19"/>
      <c r="K84" s="2"/>
      <c r="L84" s="2">
        <f t="shared" si="0"/>
        <v>-313.5</v>
      </c>
      <c r="M84" s="2"/>
      <c r="N84" s="19">
        <f t="shared" si="1"/>
        <v>-1</v>
      </c>
      <c r="O84" s="11"/>
      <c r="P84" s="2">
        <f>0</f>
        <v>0</v>
      </c>
      <c r="Q84" s="2"/>
      <c r="R84" s="19"/>
      <c r="S84" s="2"/>
      <c r="T84" s="2">
        <f>--532</f>
        <v>532</v>
      </c>
      <c r="U84" s="2"/>
      <c r="V84" s="19"/>
      <c r="W84" s="2"/>
      <c r="X84" s="2">
        <f t="shared" si="2"/>
        <v>-532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"4201", " - ", "SALES RETURN TAXABLE-NEW TEXT")</f>
        <v xml:space="preserve">          4201 - SALES RETURN TAXABLE-NEW TEXT</v>
      </c>
      <c r="C85" s="11"/>
      <c r="D85" s="2">
        <f>-62.3</f>
        <v>-62.3</v>
      </c>
      <c r="E85" s="2"/>
      <c r="F85" s="19"/>
      <c r="G85" s="2"/>
      <c r="H85" s="2">
        <f>-295.04</f>
        <v>-295.04000000000002</v>
      </c>
      <c r="I85" s="2"/>
      <c r="J85" s="19"/>
      <c r="K85" s="2"/>
      <c r="L85" s="2">
        <f t="shared" si="0"/>
        <v>232.74</v>
      </c>
      <c r="M85" s="2"/>
      <c r="N85" s="19">
        <f t="shared" si="1"/>
        <v>-0.78884219088937091</v>
      </c>
      <c r="O85" s="11"/>
      <c r="P85" s="2">
        <f>-121223.01</f>
        <v>-121223.01</v>
      </c>
      <c r="Q85" s="2"/>
      <c r="R85" s="19"/>
      <c r="S85" s="2"/>
      <c r="T85" s="2">
        <f>-175695.6</f>
        <v>-175695.6</v>
      </c>
      <c r="U85" s="2"/>
      <c r="V85" s="19"/>
      <c r="W85" s="2"/>
      <c r="X85" s="2">
        <f t="shared" si="2"/>
        <v>54472.590000000011</v>
      </c>
      <c r="Y85" s="2"/>
      <c r="Z85" s="19">
        <f t="shared" si="3"/>
        <v>-0.31003957981873198</v>
      </c>
    </row>
    <row r="86" spans="1:26" s="24" customFormat="1" hidden="1" outlineLevel="1" x14ac:dyDescent="0.25">
      <c r="A86" s="44"/>
      <c r="B86" s="11" t="str">
        <f>CONCATENATE("          ", "4202", " - ", "SALES RETURN TAXABLE-USED TEXT")</f>
        <v xml:space="preserve">          4202 - SALES RETURN TAXABLE-USED TEXT</v>
      </c>
      <c r="C86" s="11"/>
      <c r="D86" s="2">
        <f>-31.95</f>
        <v>-31.95</v>
      </c>
      <c r="E86" s="2"/>
      <c r="F86" s="19"/>
      <c r="G86" s="2"/>
      <c r="H86" s="2">
        <f>-238.1</f>
        <v>-238.1</v>
      </c>
      <c r="I86" s="2"/>
      <c r="J86" s="19"/>
      <c r="K86" s="2"/>
      <c r="L86" s="2">
        <f t="shared" si="0"/>
        <v>206.15</v>
      </c>
      <c r="M86" s="2"/>
      <c r="N86" s="19">
        <f t="shared" si="1"/>
        <v>-0.86581268374632514</v>
      </c>
      <c r="O86" s="11"/>
      <c r="P86" s="2">
        <f>-45552.71</f>
        <v>-45552.71</v>
      </c>
      <c r="Q86" s="2"/>
      <c r="R86" s="19"/>
      <c r="S86" s="2"/>
      <c r="T86" s="2">
        <f>-45639.95</f>
        <v>-45639.95</v>
      </c>
      <c r="U86" s="2"/>
      <c r="V86" s="19"/>
      <c r="W86" s="2"/>
      <c r="X86" s="2">
        <f t="shared" si="2"/>
        <v>87.239999999997963</v>
      </c>
      <c r="Y86" s="2"/>
      <c r="Z86" s="19">
        <f t="shared" si="3"/>
        <v>-1.9114832509675836E-3</v>
      </c>
    </row>
    <row r="87" spans="1:26" s="24" customFormat="1" hidden="1" outlineLevel="1" x14ac:dyDescent="0.25">
      <c r="A87" s="44"/>
      <c r="B87" s="11" t="str">
        <f>CONCATENATE("          ", "4203", " - ", "SALES RETURN TAXABLE-RENTAL TE")</f>
        <v xml:space="preserve">          4203 - SALES RETURN TAXABLE-RENTAL TE</v>
      </c>
      <c r="C87" s="11"/>
      <c r="D87" s="2">
        <f t="shared" ref="D87:D88" si="11">0</f>
        <v>0</v>
      </c>
      <c r="E87" s="2"/>
      <c r="F87" s="19"/>
      <c r="G87" s="2"/>
      <c r="H87" s="2">
        <f t="shared" ref="H87:H88" si="12"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-144.99</f>
        <v>-144.99</v>
      </c>
      <c r="Q87" s="2"/>
      <c r="R87" s="19"/>
      <c r="S87" s="2"/>
      <c r="T87" s="2">
        <f>-1699.5</f>
        <v>-1699.5</v>
      </c>
      <c r="U87" s="2"/>
      <c r="V87" s="19"/>
      <c r="W87" s="2"/>
      <c r="X87" s="2">
        <f t="shared" si="2"/>
        <v>1554.51</v>
      </c>
      <c r="Y87" s="2"/>
      <c r="Z87" s="19">
        <f t="shared" si="3"/>
        <v>-0.9146866725507502</v>
      </c>
    </row>
    <row r="88" spans="1:26" s="24" customFormat="1" hidden="1" outlineLevel="1" x14ac:dyDescent="0.25">
      <c r="A88" s="44"/>
      <c r="B88" s="11" t="str">
        <f>CONCATENATE("          ", "4204", " - ", "SALES RETURN TAXABLE-DIGITAL T")</f>
        <v xml:space="preserve">          4204 - SALES RETURN TAXABLE-DIGITAL T</v>
      </c>
      <c r="C88" s="11"/>
      <c r="D88" s="2">
        <f t="shared" si="11"/>
        <v>0</v>
      </c>
      <c r="E88" s="2"/>
      <c r="F88" s="19"/>
      <c r="G88" s="2"/>
      <c r="H88" s="2">
        <f t="shared" si="12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-17255.33</f>
        <v>-17255.330000000002</v>
      </c>
      <c r="Q88" s="2"/>
      <c r="R88" s="19"/>
      <c r="S88" s="2"/>
      <c r="T88" s="2">
        <f>-27059.65</f>
        <v>-27059.65</v>
      </c>
      <c r="U88" s="2"/>
      <c r="V88" s="19"/>
      <c r="W88" s="2"/>
      <c r="X88" s="2">
        <f t="shared" si="2"/>
        <v>9804.32</v>
      </c>
      <c r="Y88" s="2"/>
      <c r="Z88" s="19">
        <f t="shared" si="3"/>
        <v>-0.36232249862803101</v>
      </c>
    </row>
    <row r="89" spans="1:26" s="24" customFormat="1" hidden="1" outlineLevel="1" x14ac:dyDescent="0.25">
      <c r="A89" s="44"/>
      <c r="B89" s="11" t="str">
        <f>CONCATENATE("          ", "4213", " - ", "NON-TAXABLE SALES-TRADE BOOKS")</f>
        <v xml:space="preserve">          4213 - NON-TAXABLE SALES-TRADE BOOKS</v>
      </c>
      <c r="C89" s="11"/>
      <c r="D89" s="2">
        <f>-2173.76</f>
        <v>-2173.7600000000002</v>
      </c>
      <c r="E89" s="2"/>
      <c r="F89" s="19"/>
      <c r="G89" s="2"/>
      <c r="H89" s="2">
        <f>-899.64</f>
        <v>-899.64</v>
      </c>
      <c r="I89" s="2"/>
      <c r="J89" s="19"/>
      <c r="K89" s="2"/>
      <c r="L89" s="2">
        <f t="shared" si="0"/>
        <v>-1274.1200000000003</v>
      </c>
      <c r="M89" s="2"/>
      <c r="N89" s="19">
        <f t="shared" si="1"/>
        <v>1.4162553910453075</v>
      </c>
      <c r="O89" s="11"/>
      <c r="P89" s="2">
        <f>-2768.67</f>
        <v>-2768.67</v>
      </c>
      <c r="Q89" s="2"/>
      <c r="R89" s="19"/>
      <c r="S89" s="2"/>
      <c r="T89" s="2">
        <f>-1548.35</f>
        <v>-1548.35</v>
      </c>
      <c r="U89" s="2"/>
      <c r="V89" s="19"/>
      <c r="W89" s="2"/>
      <c r="X89" s="2">
        <f t="shared" si="2"/>
        <v>-1220.3200000000002</v>
      </c>
      <c r="Y89" s="2"/>
      <c r="Z89" s="19">
        <f t="shared" si="3"/>
        <v>0.7881422159072563</v>
      </c>
    </row>
    <row r="90" spans="1:26" s="24" customFormat="1" hidden="1" outlineLevel="1" x14ac:dyDescent="0.25">
      <c r="A90" s="44"/>
      <c r="B90" s="11" t="str">
        <f>CONCATENATE("          ", "4214", " - ", "SALES RETURN TAXABLE-REMAINDER")</f>
        <v xml:space="preserve">          4214 - SALES RETURN TAXABLE-REMAINDER</v>
      </c>
      <c r="C90" s="11"/>
      <c r="D90" s="2">
        <f t="shared" ref="D90:D98" si="13">0</f>
        <v>0</v>
      </c>
      <c r="E90" s="2"/>
      <c r="F90" s="19"/>
      <c r="G90" s="2"/>
      <c r="H90" s="2">
        <f t="shared" ref="H90:H92" si="14">0</f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-11.94</f>
        <v>-11.94</v>
      </c>
      <c r="Q90" s="2"/>
      <c r="R90" s="19"/>
      <c r="S90" s="2"/>
      <c r="T90" s="2">
        <f>-19.84</f>
        <v>-19.84</v>
      </c>
      <c r="U90" s="2"/>
      <c r="V90" s="19"/>
      <c r="W90" s="2"/>
      <c r="X90" s="2">
        <f t="shared" si="2"/>
        <v>7.9</v>
      </c>
      <c r="Y90" s="2"/>
      <c r="Z90" s="19">
        <f t="shared" si="3"/>
        <v>-0.39818548387096775</v>
      </c>
    </row>
    <row r="91" spans="1:26" s="24" customFormat="1" hidden="1" outlineLevel="1" x14ac:dyDescent="0.25">
      <c r="A91" s="44"/>
      <c r="B91" s="11" t="str">
        <f>CONCATENATE("          ", "4217", " - ", "NON-TAXABLE SALES-DORM/HOUSEWA")</f>
        <v xml:space="preserve">          4217 - NON-TAXABLE SALES-DORM/HOUSEWA</v>
      </c>
      <c r="C91" s="11"/>
      <c r="D91" s="2">
        <f t="shared" si="13"/>
        <v>0</v>
      </c>
      <c r="E91" s="2"/>
      <c r="F91" s="19"/>
      <c r="G91" s="2"/>
      <c r="H91" s="2">
        <f t="shared" si="14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-2.98</f>
        <v>-2.98</v>
      </c>
      <c r="Q91" s="2"/>
      <c r="R91" s="19"/>
      <c r="S91" s="2"/>
      <c r="T91" s="2">
        <f>-1.5</f>
        <v>-1.5</v>
      </c>
      <c r="U91" s="2"/>
      <c r="V91" s="19"/>
      <c r="W91" s="2"/>
      <c r="X91" s="2">
        <f t="shared" si="2"/>
        <v>-1.48</v>
      </c>
      <c r="Y91" s="2"/>
      <c r="Z91" s="19">
        <f t="shared" si="3"/>
        <v>0.98666666666666669</v>
      </c>
    </row>
    <row r="92" spans="1:26" s="24" customFormat="1" hidden="1" outlineLevel="1" x14ac:dyDescent="0.25">
      <c r="A92" s="44"/>
      <c r="B92" s="11" t="str">
        <f>CONCATENATE("          ", "4218", " - ", "SALES RETURN TAXABLE-STUDY GUI")</f>
        <v xml:space="preserve">          4218 - SALES RETURN TAXABLE-STUDY GUI</v>
      </c>
      <c r="C92" s="11"/>
      <c r="D92" s="2">
        <f t="shared" si="13"/>
        <v>0</v>
      </c>
      <c r="E92" s="2"/>
      <c r="F92" s="19"/>
      <c r="G92" s="2"/>
      <c r="H92" s="2">
        <f t="shared" si="14"/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-39.25</f>
        <v>-39.25</v>
      </c>
      <c r="Q92" s="2"/>
      <c r="R92" s="19"/>
      <c r="S92" s="2"/>
      <c r="T92" s="2">
        <f>-67.6</f>
        <v>-67.599999999999994</v>
      </c>
      <c r="U92" s="2"/>
      <c r="V92" s="19"/>
      <c r="W92" s="2"/>
      <c r="X92" s="2">
        <f t="shared" si="2"/>
        <v>28.349999999999994</v>
      </c>
      <c r="Y92" s="2"/>
      <c r="Z92" s="19">
        <f t="shared" si="3"/>
        <v>-0.41937869822485202</v>
      </c>
    </row>
    <row r="93" spans="1:26" s="24" customFormat="1" hidden="1" outlineLevel="1" x14ac:dyDescent="0.25">
      <c r="A93" s="44"/>
      <c r="B93" s="11" t="str">
        <f>CONCATENATE("          ", "4225", " - ", "SALES RETURN TAXABLE-TEST FORM")</f>
        <v xml:space="preserve">          4225 - SALES RETURN TAXABLE-TEST FORM</v>
      </c>
      <c r="C93" s="11"/>
      <c r="D93" s="2">
        <f t="shared" si="13"/>
        <v>0</v>
      </c>
      <c r="E93" s="2"/>
      <c r="F93" s="19"/>
      <c r="G93" s="2"/>
      <c r="H93" s="2">
        <f>-73.92</f>
        <v>-73.92</v>
      </c>
      <c r="I93" s="2"/>
      <c r="J93" s="19"/>
      <c r="K93" s="2"/>
      <c r="L93" s="2">
        <f t="shared" si="0"/>
        <v>73.92</v>
      </c>
      <c r="M93" s="2"/>
      <c r="N93" s="19">
        <f t="shared" si="1"/>
        <v>-1</v>
      </c>
      <c r="O93" s="11"/>
      <c r="P93" s="2">
        <f>-176.41</f>
        <v>-176.41</v>
      </c>
      <c r="Q93" s="2"/>
      <c r="R93" s="19"/>
      <c r="S93" s="2"/>
      <c r="T93" s="2">
        <f>-187.82</f>
        <v>-187.82</v>
      </c>
      <c r="U93" s="2"/>
      <c r="V93" s="19"/>
      <c r="W93" s="2"/>
      <c r="X93" s="2">
        <f t="shared" si="2"/>
        <v>11.409999999999997</v>
      </c>
      <c r="Y93" s="2"/>
      <c r="Z93" s="19">
        <f t="shared" si="3"/>
        <v>-6.0749653923969742E-2</v>
      </c>
    </row>
    <row r="94" spans="1:26" s="24" customFormat="1" hidden="1" outlineLevel="1" x14ac:dyDescent="0.25">
      <c r="A94" s="44"/>
      <c r="B94" s="11" t="str">
        <f>CONCATENATE("          ", "4226", " - ", "SALES RETURN TAXABLE-WRITING I")</f>
        <v xml:space="preserve">          4226 - SALES RETURN TAXABLE-WRITING I</v>
      </c>
      <c r="C94" s="11"/>
      <c r="D94" s="2">
        <f t="shared" si="13"/>
        <v>0</v>
      </c>
      <c r="E94" s="2"/>
      <c r="F94" s="19"/>
      <c r="G94" s="2"/>
      <c r="H94" s="2">
        <f>-292.72</f>
        <v>-292.72000000000003</v>
      </c>
      <c r="I94" s="2"/>
      <c r="J94" s="19"/>
      <c r="K94" s="2"/>
      <c r="L94" s="2">
        <f t="shared" si="0"/>
        <v>292.72000000000003</v>
      </c>
      <c r="M94" s="2"/>
      <c r="N94" s="19">
        <f t="shared" si="1"/>
        <v>-1</v>
      </c>
      <c r="O94" s="11"/>
      <c r="P94" s="2">
        <f>-765.04</f>
        <v>-765.04</v>
      </c>
      <c r="Q94" s="2"/>
      <c r="R94" s="19"/>
      <c r="S94" s="2"/>
      <c r="T94" s="2">
        <f>-670.45</f>
        <v>-670.45</v>
      </c>
      <c r="U94" s="2"/>
      <c r="V94" s="19"/>
      <c r="W94" s="2"/>
      <c r="X94" s="2">
        <f t="shared" si="2"/>
        <v>-94.589999999999918</v>
      </c>
      <c r="Y94" s="2"/>
      <c r="Z94" s="19">
        <f t="shared" si="3"/>
        <v>0.1410843463345513</v>
      </c>
    </row>
    <row r="95" spans="1:26" s="24" customFormat="1" hidden="1" outlineLevel="1" x14ac:dyDescent="0.25">
      <c r="A95" s="44"/>
      <c r="B95" s="11" t="str">
        <f>CONCATENATE("          ", "4227", " - ", "SALES RETURN TAXABLE-SCHOOL SU")</f>
        <v xml:space="preserve">          4227 - SALES RETURN TAXABLE-SCHOOL SU</v>
      </c>
      <c r="C95" s="11"/>
      <c r="D95" s="2">
        <f t="shared" si="13"/>
        <v>0</v>
      </c>
      <c r="E95" s="2"/>
      <c r="F95" s="19"/>
      <c r="G95" s="2"/>
      <c r="H95" s="2">
        <f>-521.01</f>
        <v>-521.01</v>
      </c>
      <c r="I95" s="2"/>
      <c r="J95" s="19"/>
      <c r="K95" s="2"/>
      <c r="L95" s="2">
        <f t="shared" si="0"/>
        <v>521.01</v>
      </c>
      <c r="M95" s="2"/>
      <c r="N95" s="19">
        <f t="shared" si="1"/>
        <v>-1</v>
      </c>
      <c r="O95" s="11"/>
      <c r="P95" s="2">
        <f>-8593.61</f>
        <v>-8593.61</v>
      </c>
      <c r="Q95" s="2"/>
      <c r="R95" s="19"/>
      <c r="S95" s="2"/>
      <c r="T95" s="2">
        <f>-6491.83</f>
        <v>-6491.83</v>
      </c>
      <c r="U95" s="2"/>
      <c r="V95" s="19"/>
      <c r="W95" s="2"/>
      <c r="X95" s="2">
        <f t="shared" si="2"/>
        <v>-2101.7800000000007</v>
      </c>
      <c r="Y95" s="2"/>
      <c r="Z95" s="19">
        <f t="shared" si="3"/>
        <v>0.32375770776499085</v>
      </c>
    </row>
    <row r="96" spans="1:26" s="24" customFormat="1" hidden="1" outlineLevel="1" x14ac:dyDescent="0.25">
      <c r="A96" s="44"/>
      <c r="B96" s="11" t="str">
        <f>CONCATENATE("          ", "4228", " - ", "SALES RETURN TAXABLE-ART/TECH")</f>
        <v xml:space="preserve">          4228 - SALES RETURN TAXABLE-ART/TECH</v>
      </c>
      <c r="C96" s="11"/>
      <c r="D96" s="2">
        <f t="shared" si="13"/>
        <v>0</v>
      </c>
      <c r="E96" s="2"/>
      <c r="F96" s="19"/>
      <c r="G96" s="2"/>
      <c r="H96" s="2">
        <f>-636.43</f>
        <v>-636.42999999999995</v>
      </c>
      <c r="I96" s="2"/>
      <c r="J96" s="19"/>
      <c r="K96" s="2"/>
      <c r="L96" s="2">
        <f t="shared" si="0"/>
        <v>636.42999999999995</v>
      </c>
      <c r="M96" s="2"/>
      <c r="N96" s="19">
        <f t="shared" si="1"/>
        <v>-1</v>
      </c>
      <c r="O96" s="11"/>
      <c r="P96" s="2">
        <f>-4739.1</f>
        <v>-4739.1000000000004</v>
      </c>
      <c r="Q96" s="2"/>
      <c r="R96" s="19"/>
      <c r="S96" s="2"/>
      <c r="T96" s="2">
        <f>-8058.01</f>
        <v>-8058.01</v>
      </c>
      <c r="U96" s="2"/>
      <c r="V96" s="19"/>
      <c r="W96" s="2"/>
      <c r="X96" s="2">
        <f t="shared" si="2"/>
        <v>3318.91</v>
      </c>
      <c r="Y96" s="2"/>
      <c r="Z96" s="19">
        <f t="shared" si="3"/>
        <v>-0.41187712599016379</v>
      </c>
    </row>
    <row r="97" spans="1:26" s="24" customFormat="1" hidden="1" outlineLevel="1" x14ac:dyDescent="0.25">
      <c r="A97" s="44"/>
      <c r="B97" s="11" t="str">
        <f>CONCATENATE("          ", "4233", " - ", "SALES RETURN TAXABLE-CANDY")</f>
        <v xml:space="preserve">          4233 - SALES RETURN TAXABLE-CANDY</v>
      </c>
      <c r="C97" s="11"/>
      <c r="D97" s="2">
        <f t="shared" si="13"/>
        <v>0</v>
      </c>
      <c r="E97" s="2"/>
      <c r="F97" s="19"/>
      <c r="G97" s="2"/>
      <c r="H97" s="2">
        <f t="shared" ref="H97:H98" si="15"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-8.25</f>
        <v>-8.25</v>
      </c>
      <c r="Q97" s="2"/>
      <c r="R97" s="19"/>
      <c r="S97" s="2"/>
      <c r="T97" s="2">
        <f>-3.58</f>
        <v>-3.58</v>
      </c>
      <c r="U97" s="2"/>
      <c r="V97" s="19"/>
      <c r="W97" s="2"/>
      <c r="X97" s="2">
        <f t="shared" si="2"/>
        <v>-4.67</v>
      </c>
      <c r="Y97" s="2"/>
      <c r="Z97" s="19">
        <f t="shared" si="3"/>
        <v>1.3044692737430168</v>
      </c>
    </row>
    <row r="98" spans="1:26" s="24" customFormat="1" hidden="1" outlineLevel="1" x14ac:dyDescent="0.25">
      <c r="A98" s="44"/>
      <c r="B98" s="11" t="str">
        <f>CONCATENATE("          ", "4234", " - ", "SALES RETURN TAXABLE-SODA")</f>
        <v xml:space="preserve">          4234 - SALES RETURN TAXABLE-SODA</v>
      </c>
      <c r="C98" s="11"/>
      <c r="D98" s="2">
        <f t="shared" si="13"/>
        <v>0</v>
      </c>
      <c r="E98" s="2"/>
      <c r="F98" s="19"/>
      <c r="G98" s="2"/>
      <c r="H98" s="2">
        <f t="shared" si="15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0</f>
        <v>0</v>
      </c>
      <c r="Q98" s="2"/>
      <c r="R98" s="19"/>
      <c r="S98" s="2"/>
      <c r="T98" s="2">
        <f>-5.28</f>
        <v>-5.28</v>
      </c>
      <c r="U98" s="2"/>
      <c r="V98" s="19"/>
      <c r="W98" s="2"/>
      <c r="X98" s="2">
        <f t="shared" si="2"/>
        <v>5.28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"4240", " - ", "SALES RETURN TAXABLE-LOGO CLOT")</f>
        <v xml:space="preserve">          4240 - SALES RETURN TAXABLE-LOGO CLOT</v>
      </c>
      <c r="C99" s="11"/>
      <c r="D99" s="2">
        <f>-1642.96</f>
        <v>-1642.96</v>
      </c>
      <c r="E99" s="2"/>
      <c r="F99" s="19"/>
      <c r="G99" s="2"/>
      <c r="H99" s="2">
        <f>-7874.77</f>
        <v>-7874.77</v>
      </c>
      <c r="I99" s="2"/>
      <c r="J99" s="19"/>
      <c r="K99" s="2"/>
      <c r="L99" s="2">
        <f t="shared" si="0"/>
        <v>6231.81</v>
      </c>
      <c r="M99" s="2"/>
      <c r="N99" s="19">
        <f t="shared" si="1"/>
        <v>-0.79136406523619107</v>
      </c>
      <c r="O99" s="11"/>
      <c r="P99" s="2">
        <f>-74455.19</f>
        <v>-74455.19</v>
      </c>
      <c r="Q99" s="2"/>
      <c r="R99" s="19"/>
      <c r="S99" s="2"/>
      <c r="T99" s="2">
        <f>-83871.12</f>
        <v>-83871.12</v>
      </c>
      <c r="U99" s="2"/>
      <c r="V99" s="19"/>
      <c r="W99" s="2"/>
      <c r="X99" s="2">
        <f t="shared" si="2"/>
        <v>9415.929999999993</v>
      </c>
      <c r="Y99" s="2"/>
      <c r="Z99" s="19">
        <f t="shared" si="3"/>
        <v>-0.11226665388515134</v>
      </c>
    </row>
    <row r="100" spans="1:26" s="24" customFormat="1" hidden="1" outlineLevel="1" x14ac:dyDescent="0.25">
      <c r="A100" s="44"/>
      <c r="B100" s="11" t="str">
        <f>CONCATENATE("          ", "4241", " - ", "SALES RETURN TAXABLE-LOGO GIFT")</f>
        <v xml:space="preserve">          4241 - SALES RETURN TAXABLE-LOGO GIFT</v>
      </c>
      <c r="C100" s="11"/>
      <c r="D100" s="2">
        <f>-190.5</f>
        <v>-190.5</v>
      </c>
      <c r="E100" s="2"/>
      <c r="F100" s="19"/>
      <c r="G100" s="2"/>
      <c r="H100" s="2">
        <f>-728.13</f>
        <v>-728.13</v>
      </c>
      <c r="I100" s="2"/>
      <c r="J100" s="19"/>
      <c r="K100" s="2"/>
      <c r="L100" s="2">
        <f t="shared" si="0"/>
        <v>537.63</v>
      </c>
      <c r="M100" s="2"/>
      <c r="N100" s="19">
        <f t="shared" si="1"/>
        <v>-0.73837089530715672</v>
      </c>
      <c r="O100" s="11"/>
      <c r="P100" s="2">
        <f>-6331.88</f>
        <v>-6331.88</v>
      </c>
      <c r="Q100" s="2"/>
      <c r="R100" s="19"/>
      <c r="S100" s="2"/>
      <c r="T100" s="2">
        <f>-10787.05</f>
        <v>-10787.05</v>
      </c>
      <c r="U100" s="2"/>
      <c r="V100" s="19"/>
      <c r="W100" s="2"/>
      <c r="X100" s="2">
        <f t="shared" si="2"/>
        <v>4455.1699999999992</v>
      </c>
      <c r="Y100" s="2"/>
      <c r="Z100" s="19">
        <f t="shared" si="3"/>
        <v>-0.41301097148896126</v>
      </c>
    </row>
    <row r="101" spans="1:26" s="24" customFormat="1" hidden="1" outlineLevel="1" x14ac:dyDescent="0.25">
      <c r="A101" s="44"/>
      <c r="B101" s="11" t="str">
        <f>CONCATENATE("          ", "4242", " - ", "SALES RETURN TAXABLE-EVERYDAY")</f>
        <v xml:space="preserve">          4242 - SALES RETURN TAXABLE-EVERYDAY</v>
      </c>
      <c r="C101" s="11"/>
      <c r="D101" s="2">
        <f>-3</f>
        <v>-3</v>
      </c>
      <c r="E101" s="2"/>
      <c r="F101" s="19"/>
      <c r="G101" s="2"/>
      <c r="H101" s="2">
        <f>-832.72</f>
        <v>-832.72</v>
      </c>
      <c r="I101" s="2"/>
      <c r="J101" s="19"/>
      <c r="K101" s="2"/>
      <c r="L101" s="2">
        <f t="shared" si="0"/>
        <v>829.72</v>
      </c>
      <c r="M101" s="2"/>
      <c r="N101" s="19">
        <f t="shared" si="1"/>
        <v>-0.99639734844845806</v>
      </c>
      <c r="O101" s="11"/>
      <c r="P101" s="2">
        <f>-4181.41</f>
        <v>-4181.41</v>
      </c>
      <c r="Q101" s="2"/>
      <c r="R101" s="19"/>
      <c r="S101" s="2"/>
      <c r="T101" s="2">
        <f>-4239.18</f>
        <v>-4239.18</v>
      </c>
      <c r="U101" s="2"/>
      <c r="V101" s="19"/>
      <c r="W101" s="2"/>
      <c r="X101" s="2">
        <f t="shared" si="2"/>
        <v>57.770000000000437</v>
      </c>
      <c r="Y101" s="2"/>
      <c r="Z101" s="19">
        <f t="shared" si="3"/>
        <v>-1.36276355332872E-2</v>
      </c>
    </row>
    <row r="102" spans="1:26" s="24" customFormat="1" hidden="1" outlineLevel="1" x14ac:dyDescent="0.25">
      <c r="A102" s="44"/>
      <c r="B102" s="11" t="str">
        <f>CONCATENATE("          ", "4243", " - ", "SALES RETURN TAXABLE-CARDS")</f>
        <v xml:space="preserve">          4243 - SALES RETURN TAXABLE-CARDS</v>
      </c>
      <c r="C102" s="11"/>
      <c r="D102" s="2">
        <f>-13</f>
        <v>-13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-13</v>
      </c>
      <c r="M102" s="2"/>
      <c r="N102" s="19">
        <f t="shared" si="1"/>
        <v>0</v>
      </c>
      <c r="O102" s="11"/>
      <c r="P102" s="2">
        <f>-3006.31</f>
        <v>-3006.31</v>
      </c>
      <c r="Q102" s="2"/>
      <c r="R102" s="19"/>
      <c r="S102" s="2"/>
      <c r="T102" s="2">
        <f>-25.94</f>
        <v>-25.94</v>
      </c>
      <c r="U102" s="2"/>
      <c r="V102" s="19"/>
      <c r="W102" s="2"/>
      <c r="X102" s="2">
        <f t="shared" si="2"/>
        <v>-2980.37</v>
      </c>
      <c r="Y102" s="2"/>
      <c r="Z102" s="19">
        <f t="shared" si="3"/>
        <v>114.89475713184271</v>
      </c>
    </row>
    <row r="103" spans="1:26" s="24" customFormat="1" hidden="1" outlineLevel="1" x14ac:dyDescent="0.25">
      <c r="A103" s="44"/>
      <c r="B103" s="11" t="str">
        <f>CONCATENATE("          ", "4244", " - ", "SALES RETURN TAXABLE-ACCESSORI")</f>
        <v xml:space="preserve">          4244 - SALES RETURN TAXABLE-ACCESSORI</v>
      </c>
      <c r="C103" s="11"/>
      <c r="D103" s="2">
        <f t="shared" ref="D103:D105" si="16">0</f>
        <v>0</v>
      </c>
      <c r="E103" s="2"/>
      <c r="F103" s="19"/>
      <c r="G103" s="2"/>
      <c r="H103" s="2">
        <f>-174.65</f>
        <v>-174.65</v>
      </c>
      <c r="I103" s="2"/>
      <c r="J103" s="19"/>
      <c r="K103" s="2"/>
      <c r="L103" s="2">
        <f t="shared" si="0"/>
        <v>174.65</v>
      </c>
      <c r="M103" s="2"/>
      <c r="N103" s="19">
        <f t="shared" si="1"/>
        <v>-1</v>
      </c>
      <c r="O103" s="11"/>
      <c r="P103" s="2">
        <f>-2470.7</f>
        <v>-2470.6999999999998</v>
      </c>
      <c r="Q103" s="2"/>
      <c r="R103" s="19"/>
      <c r="S103" s="2"/>
      <c r="T103" s="2">
        <f>-3829.22</f>
        <v>-3829.22</v>
      </c>
      <c r="U103" s="2"/>
      <c r="V103" s="19"/>
      <c r="W103" s="2"/>
      <c r="X103" s="2">
        <f t="shared" si="2"/>
        <v>1358.52</v>
      </c>
      <c r="Y103" s="2"/>
      <c r="Z103" s="19">
        <f t="shared" si="3"/>
        <v>-0.35477721311389787</v>
      </c>
    </row>
    <row r="104" spans="1:26" s="24" customFormat="1" hidden="1" outlineLevel="1" x14ac:dyDescent="0.25">
      <c r="A104" s="44"/>
      <c r="B104" s="11" t="str">
        <f>CONCATENATE("          ", "4245", " - ", "SALES RETURN TAXABLE-SPECIAL O")</f>
        <v xml:space="preserve">          4245 - SALES RETURN TAXABLE-SPECIAL O</v>
      </c>
      <c r="C104" s="11"/>
      <c r="D104" s="2">
        <f t="shared" si="16"/>
        <v>0</v>
      </c>
      <c r="E104" s="2"/>
      <c r="F104" s="19"/>
      <c r="G104" s="2"/>
      <c r="H104" s="2">
        <f>-504</f>
        <v>-504</v>
      </c>
      <c r="I104" s="2"/>
      <c r="J104" s="19"/>
      <c r="K104" s="2"/>
      <c r="L104" s="2">
        <f t="shared" si="0"/>
        <v>504</v>
      </c>
      <c r="M104" s="2"/>
      <c r="N104" s="19">
        <f t="shared" si="1"/>
        <v>-1</v>
      </c>
      <c r="O104" s="11"/>
      <c r="P104" s="2">
        <f>-1735.03</f>
        <v>-1735.03</v>
      </c>
      <c r="Q104" s="2"/>
      <c r="R104" s="19"/>
      <c r="S104" s="2"/>
      <c r="T104" s="2">
        <f>-751.92</f>
        <v>-751.92</v>
      </c>
      <c r="U104" s="2"/>
      <c r="V104" s="19"/>
      <c r="W104" s="2"/>
      <c r="X104" s="2">
        <f t="shared" si="2"/>
        <v>-983.11</v>
      </c>
      <c r="Y104" s="2"/>
      <c r="Z104" s="19">
        <f t="shared" si="3"/>
        <v>1.3074662198106182</v>
      </c>
    </row>
    <row r="105" spans="1:26" s="24" customFormat="1" hidden="1" outlineLevel="1" x14ac:dyDescent="0.25">
      <c r="A105" s="44"/>
      <c r="B105" s="11" t="str">
        <f>CONCATENATE("          ", "4281", " - ", "SALES RETURN TAXABLE-ELECTRONI")</f>
        <v xml:space="preserve">          4281 - SALES RETURN TAXABLE-ELECTRONI</v>
      </c>
      <c r="C105" s="11"/>
      <c r="D105" s="2">
        <f t="shared" si="16"/>
        <v>0</v>
      </c>
      <c r="E105" s="2"/>
      <c r="F105" s="19"/>
      <c r="G105" s="2"/>
      <c r="H105" s="2">
        <f>-85.89</f>
        <v>-85.89</v>
      </c>
      <c r="I105" s="2"/>
      <c r="J105" s="19"/>
      <c r="K105" s="2"/>
      <c r="L105" s="2">
        <f t="shared" si="0"/>
        <v>85.89</v>
      </c>
      <c r="M105" s="2"/>
      <c r="N105" s="19">
        <f t="shared" si="1"/>
        <v>-1</v>
      </c>
      <c r="O105" s="11"/>
      <c r="P105" s="2">
        <f>-7836.67</f>
        <v>-7836.67</v>
      </c>
      <c r="Q105" s="2"/>
      <c r="R105" s="19"/>
      <c r="S105" s="2"/>
      <c r="T105" s="2">
        <f>-7131.74</f>
        <v>-7131.74</v>
      </c>
      <c r="U105" s="2"/>
      <c r="V105" s="19"/>
      <c r="W105" s="2"/>
      <c r="X105" s="2">
        <f t="shared" si="2"/>
        <v>-704.93000000000029</v>
      </c>
      <c r="Y105" s="2"/>
      <c r="Z105" s="19">
        <f t="shared" si="3"/>
        <v>9.884404086520264E-2</v>
      </c>
    </row>
    <row r="106" spans="1:26" s="24" customFormat="1" hidden="1" outlineLevel="1" x14ac:dyDescent="0.25">
      <c r="A106" s="44"/>
      <c r="B106" s="11" t="str">
        <f>CONCATENATE("          ", "4282", " - ", "SALES RETURN TAXABLE-COMPUTER")</f>
        <v xml:space="preserve">          4282 - SALES RETURN TAXABLE-COMPUTER</v>
      </c>
      <c r="C106" s="11"/>
      <c r="D106" s="2">
        <f>-1954.65</f>
        <v>-1954.65</v>
      </c>
      <c r="E106" s="2"/>
      <c r="F106" s="19"/>
      <c r="G106" s="2"/>
      <c r="H106" s="2">
        <f>-3805.21</f>
        <v>-3805.21</v>
      </c>
      <c r="I106" s="2"/>
      <c r="J106" s="19"/>
      <c r="K106" s="2"/>
      <c r="L106" s="2">
        <f t="shared" si="0"/>
        <v>1850.56</v>
      </c>
      <c r="M106" s="2"/>
      <c r="N106" s="19">
        <f t="shared" si="1"/>
        <v>-0.48632269966703545</v>
      </c>
      <c r="O106" s="11"/>
      <c r="P106" s="2">
        <f>-215445.8</f>
        <v>-215445.8</v>
      </c>
      <c r="Q106" s="2"/>
      <c r="R106" s="19"/>
      <c r="S106" s="2"/>
      <c r="T106" s="2">
        <f>-66363.82</f>
        <v>-66363.820000000007</v>
      </c>
      <c r="U106" s="2"/>
      <c r="V106" s="19"/>
      <c r="W106" s="2"/>
      <c r="X106" s="2">
        <f t="shared" si="2"/>
        <v>-149081.97999999998</v>
      </c>
      <c r="Y106" s="2"/>
      <c r="Z106" s="19">
        <f t="shared" si="3"/>
        <v>2.2464345783591115</v>
      </c>
    </row>
    <row r="107" spans="1:26" s="24" customFormat="1" hidden="1" outlineLevel="1" x14ac:dyDescent="0.25">
      <c r="A107" s="44"/>
      <c r="B107" s="11" t="str">
        <f>CONCATENATE("          ", "4283", " - ", "SALES RETURN TAXABLE-COMPUTER")</f>
        <v xml:space="preserve">          4283 - SALES RETURN TAXABLE-COMPUTER</v>
      </c>
      <c r="C107" s="11"/>
      <c r="D107" s="2">
        <f>-135.96</f>
        <v>-135.96</v>
      </c>
      <c r="E107" s="2"/>
      <c r="F107" s="19"/>
      <c r="G107" s="2"/>
      <c r="H107" s="2">
        <f>-655.38</f>
        <v>-655.38</v>
      </c>
      <c r="I107" s="2"/>
      <c r="J107" s="19"/>
      <c r="K107" s="2"/>
      <c r="L107" s="2">
        <f t="shared" si="0"/>
        <v>519.41999999999996</v>
      </c>
      <c r="M107" s="2"/>
      <c r="N107" s="19">
        <f t="shared" si="1"/>
        <v>-0.79254783484390734</v>
      </c>
      <c r="O107" s="11"/>
      <c r="P107" s="2">
        <f>-6589.02</f>
        <v>-6589.02</v>
      </c>
      <c r="Q107" s="2"/>
      <c r="R107" s="19"/>
      <c r="S107" s="2"/>
      <c r="T107" s="2">
        <f>-7315.76</f>
        <v>-7315.76</v>
      </c>
      <c r="U107" s="2"/>
      <c r="V107" s="19"/>
      <c r="W107" s="2"/>
      <c r="X107" s="2">
        <f t="shared" si="2"/>
        <v>726.73999999999978</v>
      </c>
      <c r="Y107" s="2"/>
      <c r="Z107" s="19">
        <f t="shared" si="3"/>
        <v>-9.9338961365599707E-2</v>
      </c>
    </row>
    <row r="108" spans="1:26" s="24" customFormat="1" hidden="1" outlineLevel="1" x14ac:dyDescent="0.25">
      <c r="A108" s="44"/>
      <c r="B108" s="11" t="str">
        <f>CONCATENATE("          ", "4284", " - ", "SALES RETURN TAXABLE-SOFTWARE")</f>
        <v xml:space="preserve">          4284 - SALES RETURN TAXABLE-SOFTWARE</v>
      </c>
      <c r="C108" s="11"/>
      <c r="D108" s="2">
        <f t="shared" ref="D108:D113" si="17">0</f>
        <v>0</v>
      </c>
      <c r="E108" s="2"/>
      <c r="F108" s="19"/>
      <c r="G108" s="2"/>
      <c r="H108" s="2">
        <f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-129</f>
        <v>-129</v>
      </c>
      <c r="Q108" s="2"/>
      <c r="R108" s="19"/>
      <c r="S108" s="2"/>
      <c r="T108" s="2">
        <f>0</f>
        <v>0</v>
      </c>
      <c r="U108" s="2"/>
      <c r="V108" s="19"/>
      <c r="W108" s="2"/>
      <c r="X108" s="2">
        <f t="shared" si="2"/>
        <v>-129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"4285", " - ", "SALES RETURN TAXABLE-SOFTWARE")</f>
        <v xml:space="preserve">          4285 - SALES RETURN TAXABLE-SOFTWARE</v>
      </c>
      <c r="C109" s="11"/>
      <c r="D109" s="2">
        <f t="shared" si="17"/>
        <v>0</v>
      </c>
      <c r="E109" s="2"/>
      <c r="F109" s="19"/>
      <c r="G109" s="2"/>
      <c r="H109" s="2">
        <f>-599.96</f>
        <v>-599.96</v>
      </c>
      <c r="I109" s="2"/>
      <c r="J109" s="19"/>
      <c r="K109" s="2"/>
      <c r="L109" s="2">
        <f t="shared" si="0"/>
        <v>599.96</v>
      </c>
      <c r="M109" s="2"/>
      <c r="N109" s="19">
        <f t="shared" si="1"/>
        <v>-1</v>
      </c>
      <c r="O109" s="11"/>
      <c r="P109" s="2">
        <f>-805.97</f>
        <v>-805.97</v>
      </c>
      <c r="Q109" s="2"/>
      <c r="R109" s="19"/>
      <c r="S109" s="2"/>
      <c r="T109" s="2">
        <f>-725.94</f>
        <v>-725.94</v>
      </c>
      <c r="U109" s="2"/>
      <c r="V109" s="19"/>
      <c r="W109" s="2"/>
      <c r="X109" s="2">
        <f t="shared" si="2"/>
        <v>-80.029999999999973</v>
      </c>
      <c r="Y109" s="2"/>
      <c r="Z109" s="19">
        <f t="shared" si="3"/>
        <v>0.11024327079372946</v>
      </c>
    </row>
    <row r="110" spans="1:26" s="24" customFormat="1" hidden="1" outlineLevel="1" x14ac:dyDescent="0.25">
      <c r="A110" s="44"/>
      <c r="B110" s="11" t="str">
        <f>CONCATENATE("          ", "4286", " - ", "SALES RETURN TAXABLE-COMPUTER")</f>
        <v xml:space="preserve">          4286 - SALES RETURN TAXABLE-COMPUTER</v>
      </c>
      <c r="C110" s="11"/>
      <c r="D110" s="2">
        <f t="shared" si="17"/>
        <v>0</v>
      </c>
      <c r="E110" s="2"/>
      <c r="F110" s="19"/>
      <c r="G110" s="2"/>
      <c r="H110" s="2">
        <f>-232.62</f>
        <v>-232.62</v>
      </c>
      <c r="I110" s="2"/>
      <c r="J110" s="19"/>
      <c r="K110" s="2"/>
      <c r="L110" s="2">
        <f t="shared" si="0"/>
        <v>232.62</v>
      </c>
      <c r="M110" s="2"/>
      <c r="N110" s="19">
        <f t="shared" si="1"/>
        <v>-1</v>
      </c>
      <c r="O110" s="11"/>
      <c r="P110" s="2">
        <f>-3660.86</f>
        <v>-3660.86</v>
      </c>
      <c r="Q110" s="2"/>
      <c r="R110" s="19"/>
      <c r="S110" s="2"/>
      <c r="T110" s="2">
        <f>-4791.23</f>
        <v>-4791.2299999999996</v>
      </c>
      <c r="U110" s="2"/>
      <c r="V110" s="19"/>
      <c r="W110" s="2"/>
      <c r="X110" s="2">
        <f t="shared" si="2"/>
        <v>1130.3699999999994</v>
      </c>
      <c r="Y110" s="2"/>
      <c r="Z110" s="19">
        <f t="shared" si="3"/>
        <v>-0.23592480427781584</v>
      </c>
    </row>
    <row r="111" spans="1:26" s="24" customFormat="1" hidden="1" outlineLevel="1" x14ac:dyDescent="0.25">
      <c r="A111" s="44"/>
      <c r="B111" s="11" t="str">
        <f>CONCATENATE("          ", "4288", " - ", "TAXABLE SALES RETURN-MUSIC")</f>
        <v xml:space="preserve">          4288 - TAXABLE SALES RETURN-MUSIC</v>
      </c>
      <c r="C111" s="11"/>
      <c r="D111" s="2">
        <f t="shared" si="17"/>
        <v>0</v>
      </c>
      <c r="E111" s="2"/>
      <c r="F111" s="19"/>
      <c r="G111" s="2"/>
      <c r="H111" s="2">
        <f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-3.99</f>
        <v>-3.99</v>
      </c>
      <c r="Q111" s="2"/>
      <c r="R111" s="19"/>
      <c r="S111" s="2"/>
      <c r="T111" s="2">
        <f>-16.99</f>
        <v>-16.989999999999998</v>
      </c>
      <c r="U111" s="2"/>
      <c r="V111" s="19"/>
      <c r="W111" s="2"/>
      <c r="X111" s="2">
        <f t="shared" si="2"/>
        <v>12.999999999999998</v>
      </c>
      <c r="Y111" s="2"/>
      <c r="Z111" s="19">
        <f t="shared" si="3"/>
        <v>-0.76515597410241321</v>
      </c>
    </row>
    <row r="112" spans="1:26" s="24" customFormat="1" hidden="1" outlineLevel="1" x14ac:dyDescent="0.25">
      <c r="A112" s="44"/>
      <c r="B112" s="11" t="str">
        <f>CONCATENATE("          ", "4292", " - ", "SALES RETURN TAXABLE-GRAD MERC")</f>
        <v xml:space="preserve">          4292 - SALES RETURN TAXABLE-GRAD MERC</v>
      </c>
      <c r="C112" s="11"/>
      <c r="D112" s="2">
        <f t="shared" si="17"/>
        <v>0</v>
      </c>
      <c r="E112" s="2"/>
      <c r="F112" s="19"/>
      <c r="G112" s="2"/>
      <c r="H112" s="2">
        <f>-1283.46</f>
        <v>-1283.46</v>
      </c>
      <c r="I112" s="2"/>
      <c r="J112" s="19"/>
      <c r="K112" s="2"/>
      <c r="L112" s="2">
        <f t="shared" si="0"/>
        <v>1283.46</v>
      </c>
      <c r="M112" s="2"/>
      <c r="N112" s="19">
        <f t="shared" si="1"/>
        <v>-1</v>
      </c>
      <c r="O112" s="11"/>
      <c r="P112" s="2">
        <f>-513.95</f>
        <v>-513.95000000000005</v>
      </c>
      <c r="Q112" s="2"/>
      <c r="R112" s="19"/>
      <c r="S112" s="2"/>
      <c r="T112" s="2">
        <f>-3962.96</f>
        <v>-3962.96</v>
      </c>
      <c r="U112" s="2"/>
      <c r="V112" s="19"/>
      <c r="W112" s="2"/>
      <c r="X112" s="2">
        <f t="shared" si="2"/>
        <v>3449.01</v>
      </c>
      <c r="Y112" s="2"/>
      <c r="Z112" s="19">
        <f t="shared" si="3"/>
        <v>-0.87031158527968999</v>
      </c>
    </row>
    <row r="113" spans="1:26" s="24" customFormat="1" hidden="1" outlineLevel="1" x14ac:dyDescent="0.25">
      <c r="A113" s="44"/>
      <c r="B113" s="11" t="str">
        <f>CONCATENATE("          ", "4295", " - ", "SALES RETURN TAXABLE-CUSTOMER")</f>
        <v xml:space="preserve">          4295 - SALES RETURN TAXABLE-CUSTOMER</v>
      </c>
      <c r="C113" s="11"/>
      <c r="D113" s="2">
        <f t="shared" si="17"/>
        <v>0</v>
      </c>
      <c r="E113" s="2"/>
      <c r="F113" s="19"/>
      <c r="G113" s="2"/>
      <c r="H113" s="2">
        <f>0</f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--0.99</f>
        <v>0.99</v>
      </c>
      <c r="Q113" s="2"/>
      <c r="R113" s="19"/>
      <c r="S113" s="2"/>
      <c r="T113" s="2">
        <f>-126.72</f>
        <v>-126.72</v>
      </c>
      <c r="U113" s="2"/>
      <c r="V113" s="19"/>
      <c r="W113" s="2"/>
      <c r="X113" s="2">
        <f t="shared" si="2"/>
        <v>127.71</v>
      </c>
      <c r="Y113" s="2"/>
      <c r="Z113" s="19">
        <f t="shared" si="3"/>
        <v>-1.0078125</v>
      </c>
    </row>
    <row r="114" spans="1:26" s="24" customFormat="1" hidden="1" outlineLevel="1" x14ac:dyDescent="0.25">
      <c r="A114" s="44"/>
      <c r="B114" s="11" t="str">
        <f>CONCATENATE("          ", "4301", " - ", "SALES RETURN NON TAXABLE-NEW T")</f>
        <v xml:space="preserve">          4301 - SALES RETURN NON TAXABLE-NEW T</v>
      </c>
      <c r="C114" s="11"/>
      <c r="D114" s="2">
        <f>-357.81</f>
        <v>-357.81</v>
      </c>
      <c r="E114" s="2"/>
      <c r="F114" s="19"/>
      <c r="G114" s="2"/>
      <c r="H114" s="2">
        <f>-367.54</f>
        <v>-367.54</v>
      </c>
      <c r="I114" s="2"/>
      <c r="J114" s="19"/>
      <c r="K114" s="2"/>
      <c r="L114" s="2">
        <f t="shared" si="0"/>
        <v>9.7300000000000182</v>
      </c>
      <c r="M114" s="2"/>
      <c r="N114" s="19">
        <f t="shared" si="1"/>
        <v>-2.6473309027588883E-2</v>
      </c>
      <c r="O114" s="11"/>
      <c r="P114" s="2">
        <f>-15579.43</f>
        <v>-15579.43</v>
      </c>
      <c r="Q114" s="2"/>
      <c r="R114" s="19"/>
      <c r="S114" s="2"/>
      <c r="T114" s="2">
        <f>-49571.09</f>
        <v>-49571.09</v>
      </c>
      <c r="U114" s="2"/>
      <c r="V114" s="19"/>
      <c r="W114" s="2"/>
      <c r="X114" s="2">
        <f t="shared" si="2"/>
        <v>33991.659999999996</v>
      </c>
      <c r="Y114" s="2"/>
      <c r="Z114" s="19">
        <f t="shared" si="3"/>
        <v>-0.68571540387754226</v>
      </c>
    </row>
    <row r="115" spans="1:26" s="24" customFormat="1" hidden="1" outlineLevel="1" x14ac:dyDescent="0.25">
      <c r="A115" s="44"/>
      <c r="B115" s="11" t="str">
        <f>CONCATENATE("          ", "4302", " - ", "SALES RETURN NON TAXABLE-TEXT")</f>
        <v xml:space="preserve">          4302 - SALES RETURN NON TAXABLE-TEXT</v>
      </c>
      <c r="C115" s="11"/>
      <c r="D115" s="2">
        <f t="shared" ref="D115:D117" si="18">0</f>
        <v>0</v>
      </c>
      <c r="E115" s="2"/>
      <c r="F115" s="19"/>
      <c r="G115" s="2"/>
      <c r="H115" s="2">
        <f>-285.45</f>
        <v>-285.45</v>
      </c>
      <c r="I115" s="2"/>
      <c r="J115" s="19"/>
      <c r="K115" s="2"/>
      <c r="L115" s="2">
        <f t="shared" si="0"/>
        <v>285.45</v>
      </c>
      <c r="M115" s="2"/>
      <c r="N115" s="19">
        <f t="shared" si="1"/>
        <v>-1</v>
      </c>
      <c r="O115" s="11"/>
      <c r="P115" s="2">
        <f>-1312.37</f>
        <v>-1312.37</v>
      </c>
      <c r="Q115" s="2"/>
      <c r="R115" s="19"/>
      <c r="S115" s="2"/>
      <c r="T115" s="2">
        <f>-4788.7</f>
        <v>-4788.7</v>
      </c>
      <c r="U115" s="2"/>
      <c r="V115" s="19"/>
      <c r="W115" s="2"/>
      <c r="X115" s="2">
        <f t="shared" si="2"/>
        <v>3476.33</v>
      </c>
      <c r="Y115" s="2"/>
      <c r="Z115" s="19">
        <f t="shared" si="3"/>
        <v>-0.72594441080042604</v>
      </c>
    </row>
    <row r="116" spans="1:26" s="24" customFormat="1" hidden="1" outlineLevel="1" x14ac:dyDescent="0.25">
      <c r="A116" s="44"/>
      <c r="B116" s="11" t="str">
        <f>CONCATENATE("          ", "4303", " - ", "SALES RETURN NON-TAXABLE-RENTA")</f>
        <v xml:space="preserve">          4303 - SALES RETURN NON-TAXABLE-RENTA</v>
      </c>
      <c r="C116" s="11"/>
      <c r="D116" s="2">
        <f t="shared" si="18"/>
        <v>0</v>
      </c>
      <c r="E116" s="2"/>
      <c r="F116" s="19"/>
      <c r="G116" s="2"/>
      <c r="H116" s="2">
        <f t="shared" ref="H116:H117" si="19"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-184.99</f>
        <v>-184.99</v>
      </c>
      <c r="Q116" s="2"/>
      <c r="R116" s="19"/>
      <c r="S116" s="2"/>
      <c r="T116" s="2">
        <f>-509.85</f>
        <v>-509.85</v>
      </c>
      <c r="U116" s="2"/>
      <c r="V116" s="19"/>
      <c r="W116" s="2"/>
      <c r="X116" s="2">
        <f t="shared" si="2"/>
        <v>324.86</v>
      </c>
      <c r="Y116" s="2"/>
      <c r="Z116" s="19">
        <f t="shared" si="3"/>
        <v>-0.63716779444934779</v>
      </c>
    </row>
    <row r="117" spans="1:26" s="24" customFormat="1" hidden="1" outlineLevel="1" x14ac:dyDescent="0.25">
      <c r="A117" s="44"/>
      <c r="B117" s="11" t="str">
        <f>CONCATENATE("          ", "4304", " - ", "SALES RETURN NON TAXABLE-DIGIT")</f>
        <v xml:space="preserve">          4304 - SALES RETURN NON TAXABLE-DIGIT</v>
      </c>
      <c r="C117" s="11"/>
      <c r="D117" s="2">
        <f t="shared" si="18"/>
        <v>0</v>
      </c>
      <c r="E117" s="2"/>
      <c r="F117" s="19"/>
      <c r="G117" s="2"/>
      <c r="H117" s="2">
        <f t="shared" si="19"/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-19036.13</f>
        <v>-19036.13</v>
      </c>
      <c r="Q117" s="2"/>
      <c r="R117" s="19"/>
      <c r="S117" s="2"/>
      <c r="T117" s="2">
        <f>-5668</f>
        <v>-5668</v>
      </c>
      <c r="U117" s="2"/>
      <c r="V117" s="19"/>
      <c r="W117" s="2"/>
      <c r="X117" s="2">
        <f t="shared" si="2"/>
        <v>-13368.130000000001</v>
      </c>
      <c r="Y117" s="2"/>
      <c r="Z117" s="19">
        <f t="shared" si="3"/>
        <v>2.3585268172194778</v>
      </c>
    </row>
    <row r="118" spans="1:26" s="24" customFormat="1" hidden="1" outlineLevel="1" x14ac:dyDescent="0.25">
      <c r="A118" s="44"/>
      <c r="B118" s="11" t="str">
        <f>CONCATENATE("          ", "4311", " - ", "SALES RETURN NON TAXABLE-NO VA")</f>
        <v xml:space="preserve">          4311 - SALES RETURN NON TAXABLE-NO VA</v>
      </c>
      <c r="C118" s="11"/>
      <c r="D118" s="2">
        <f>-88.62</f>
        <v>-88.62</v>
      </c>
      <c r="E118" s="2"/>
      <c r="F118" s="19"/>
      <c r="G118" s="2"/>
      <c r="H118" s="2">
        <f>-244.08</f>
        <v>-244.08</v>
      </c>
      <c r="I118" s="2"/>
      <c r="J118" s="19"/>
      <c r="K118" s="2"/>
      <c r="L118" s="2">
        <f t="shared" si="0"/>
        <v>155.46</v>
      </c>
      <c r="M118" s="2"/>
      <c r="N118" s="19">
        <f t="shared" si="1"/>
        <v>-0.63692232055063913</v>
      </c>
      <c r="O118" s="11"/>
      <c r="P118" s="2">
        <f>-941.28</f>
        <v>-941.28</v>
      </c>
      <c r="Q118" s="2"/>
      <c r="R118" s="19"/>
      <c r="S118" s="2"/>
      <c r="T118" s="2">
        <f>-1748.83</f>
        <v>-1748.83</v>
      </c>
      <c r="U118" s="2"/>
      <c r="V118" s="19"/>
      <c r="W118" s="2"/>
      <c r="X118" s="2">
        <f t="shared" si="2"/>
        <v>807.55</v>
      </c>
      <c r="Y118" s="2"/>
      <c r="Z118" s="19">
        <f t="shared" si="3"/>
        <v>-0.4617658663220553</v>
      </c>
    </row>
    <row r="119" spans="1:26" s="24" customFormat="1" hidden="1" outlineLevel="1" x14ac:dyDescent="0.25">
      <c r="A119" s="44"/>
      <c r="B119" s="11" t="str">
        <f>CONCATENATE("          ", "4313", " - ", "SALES RETURN NON TAXABLE-TRADE")</f>
        <v xml:space="preserve">          4313 - SALES RETURN NON TAXABLE-TRADE</v>
      </c>
      <c r="C119" s="11"/>
      <c r="D119" s="2">
        <f>-2481.44</f>
        <v>-2481.44</v>
      </c>
      <c r="E119" s="2"/>
      <c r="F119" s="19"/>
      <c r="G119" s="2"/>
      <c r="H119" s="2">
        <f t="shared" ref="H119:H120" si="20">0</f>
        <v>0</v>
      </c>
      <c r="I119" s="2"/>
      <c r="J119" s="19"/>
      <c r="K119" s="2"/>
      <c r="L119" s="2">
        <f t="shared" si="0"/>
        <v>-2481.44</v>
      </c>
      <c r="M119" s="2"/>
      <c r="N119" s="19">
        <f t="shared" si="1"/>
        <v>0</v>
      </c>
      <c r="O119" s="11"/>
      <c r="P119" s="2">
        <f>-2481.44</f>
        <v>-2481.44</v>
      </c>
      <c r="Q119" s="2"/>
      <c r="R119" s="19"/>
      <c r="S119" s="2"/>
      <c r="T119" s="2">
        <f>0</f>
        <v>0</v>
      </c>
      <c r="U119" s="2"/>
      <c r="V119" s="19"/>
      <c r="W119" s="2"/>
      <c r="X119" s="2">
        <f t="shared" si="2"/>
        <v>-2481.44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"4318", " - ", "SALES RETURN NON TAXABLE-STUDY")</f>
        <v xml:space="preserve">          4318 - SALES RETURN NON TAXABLE-STUDY</v>
      </c>
      <c r="C120" s="11"/>
      <c r="D120" s="2">
        <f t="shared" ref="D120:D124" si="21">0</f>
        <v>0</v>
      </c>
      <c r="E120" s="2"/>
      <c r="F120" s="19"/>
      <c r="G120" s="2"/>
      <c r="H120" s="2">
        <f t="shared" si="20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 t="shared" ref="P120:P121" si="22">0</f>
        <v>0</v>
      </c>
      <c r="Q120" s="2"/>
      <c r="R120" s="19"/>
      <c r="S120" s="2"/>
      <c r="T120" s="2">
        <f>-5.04</f>
        <v>-5.04</v>
      </c>
      <c r="U120" s="2"/>
      <c r="V120" s="19"/>
      <c r="W120" s="2"/>
      <c r="X120" s="2">
        <f t="shared" si="2"/>
        <v>5.04</v>
      </c>
      <c r="Y120" s="2"/>
      <c r="Z120" s="19">
        <f t="shared" si="3"/>
        <v>-1</v>
      </c>
    </row>
    <row r="121" spans="1:26" s="24" customFormat="1" hidden="1" outlineLevel="1" x14ac:dyDescent="0.25">
      <c r="A121" s="44"/>
      <c r="B121" s="11" t="str">
        <f>CONCATENATE("          ", "4326", " - ", "SALES RETURN NON TAXABLE-WRITI")</f>
        <v xml:space="preserve">          4326 - SALES RETURN NON TAXABLE-WRITI</v>
      </c>
      <c r="C121" s="11"/>
      <c r="D121" s="2">
        <f t="shared" si="21"/>
        <v>0</v>
      </c>
      <c r="E121" s="2"/>
      <c r="F121" s="19"/>
      <c r="G121" s="2"/>
      <c r="H121" s="2">
        <f>-2.29</f>
        <v>-2.29</v>
      </c>
      <c r="I121" s="2"/>
      <c r="J121" s="19"/>
      <c r="K121" s="2"/>
      <c r="L121" s="2">
        <f t="shared" si="0"/>
        <v>2.29</v>
      </c>
      <c r="M121" s="2"/>
      <c r="N121" s="19">
        <f t="shared" si="1"/>
        <v>-1</v>
      </c>
      <c r="O121" s="11"/>
      <c r="P121" s="2">
        <f t="shared" si="22"/>
        <v>0</v>
      </c>
      <c r="Q121" s="2"/>
      <c r="R121" s="19"/>
      <c r="S121" s="2"/>
      <c r="T121" s="2">
        <f>-18.55</f>
        <v>-18.55</v>
      </c>
      <c r="U121" s="2"/>
      <c r="V121" s="19"/>
      <c r="W121" s="2"/>
      <c r="X121" s="2">
        <f t="shared" si="2"/>
        <v>18.55</v>
      </c>
      <c r="Y121" s="2"/>
      <c r="Z121" s="19">
        <f t="shared" si="3"/>
        <v>-1</v>
      </c>
    </row>
    <row r="122" spans="1:26" s="24" customFormat="1" hidden="1" outlineLevel="1" x14ac:dyDescent="0.25">
      <c r="A122" s="44"/>
      <c r="B122" s="11" t="str">
        <f>CONCATENATE("          ", "4327", " - ", "SALES RETURN NON TAXABLE-SCHOO")</f>
        <v xml:space="preserve">          4327 - SALES RETURN NON TAXABLE-SCHOO</v>
      </c>
      <c r="C122" s="11"/>
      <c r="D122" s="2">
        <f t="shared" si="21"/>
        <v>0</v>
      </c>
      <c r="E122" s="2"/>
      <c r="F122" s="19"/>
      <c r="G122" s="2"/>
      <c r="H122" s="2">
        <f>-4.99</f>
        <v>-4.99</v>
      </c>
      <c r="I122" s="2"/>
      <c r="J122" s="19"/>
      <c r="K122" s="2"/>
      <c r="L122" s="2">
        <f t="shared" si="0"/>
        <v>4.99</v>
      </c>
      <c r="M122" s="2"/>
      <c r="N122" s="19">
        <f t="shared" si="1"/>
        <v>-1</v>
      </c>
      <c r="O122" s="11"/>
      <c r="P122" s="2">
        <f>-21.87</f>
        <v>-21.87</v>
      </c>
      <c r="Q122" s="2"/>
      <c r="R122" s="19"/>
      <c r="S122" s="2"/>
      <c r="T122" s="2">
        <f>-4.99</f>
        <v>-4.99</v>
      </c>
      <c r="U122" s="2"/>
      <c r="V122" s="19"/>
      <c r="W122" s="2"/>
      <c r="X122" s="2">
        <f t="shared" si="2"/>
        <v>-16.880000000000003</v>
      </c>
      <c r="Y122" s="2"/>
      <c r="Z122" s="19">
        <f t="shared" si="3"/>
        <v>3.3827655310621245</v>
      </c>
    </row>
    <row r="123" spans="1:26" s="24" customFormat="1" hidden="1" outlineLevel="1" x14ac:dyDescent="0.25">
      <c r="A123" s="44"/>
      <c r="B123" s="11" t="str">
        <f>CONCATENATE("          ", "4331", " - ", "SALES RETURN NON TAXABLE-FOOD")</f>
        <v xml:space="preserve">          4331 - SALES RETURN NON TAXABLE-FOOD</v>
      </c>
      <c r="C123" s="11"/>
      <c r="D123" s="2">
        <f t="shared" si="21"/>
        <v>0</v>
      </c>
      <c r="E123" s="2"/>
      <c r="F123" s="19"/>
      <c r="G123" s="2"/>
      <c r="H123" s="2">
        <f t="shared" ref="H123:H124" si="23">0</f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-12.57</f>
        <v>-12.57</v>
      </c>
      <c r="Q123" s="2"/>
      <c r="R123" s="19"/>
      <c r="S123" s="2"/>
      <c r="T123" s="2">
        <f t="shared" ref="T123:T124" si="24">0</f>
        <v>0</v>
      </c>
      <c r="U123" s="2"/>
      <c r="V123" s="19"/>
      <c r="W123" s="2"/>
      <c r="X123" s="2">
        <f t="shared" si="2"/>
        <v>-12.57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"4332", " - ", "SALES RETURN NON TAXABLE-JUICE")</f>
        <v xml:space="preserve">          4332 - SALES RETURN NON TAXABLE-JUICE</v>
      </c>
      <c r="C124" s="11"/>
      <c r="D124" s="2">
        <f t="shared" si="21"/>
        <v>0</v>
      </c>
      <c r="E124" s="2"/>
      <c r="F124" s="19"/>
      <c r="G124" s="2"/>
      <c r="H124" s="2">
        <f t="shared" si="23"/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-2.79</f>
        <v>-2.79</v>
      </c>
      <c r="Q124" s="2"/>
      <c r="R124" s="19"/>
      <c r="S124" s="2"/>
      <c r="T124" s="2">
        <f t="shared" si="24"/>
        <v>0</v>
      </c>
      <c r="U124" s="2"/>
      <c r="V124" s="19"/>
      <c r="W124" s="2"/>
      <c r="X124" s="2">
        <f t="shared" si="2"/>
        <v>-2.79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"4340", " - ", "SALES RETURN NON TAXABLE-LOGO")</f>
        <v xml:space="preserve">          4340 - SALES RETURN NON TAXABLE-LOGO</v>
      </c>
      <c r="C125" s="11"/>
      <c r="D125" s="2">
        <f>-24.95</f>
        <v>-24.95</v>
      </c>
      <c r="E125" s="2"/>
      <c r="F125" s="19"/>
      <c r="G125" s="2"/>
      <c r="H125" s="2">
        <f>-123.75</f>
        <v>-123.75</v>
      </c>
      <c r="I125" s="2"/>
      <c r="J125" s="19"/>
      <c r="K125" s="2"/>
      <c r="L125" s="2">
        <f t="shared" si="0"/>
        <v>98.8</v>
      </c>
      <c r="M125" s="2"/>
      <c r="N125" s="19">
        <f t="shared" si="1"/>
        <v>-0.79838383838383831</v>
      </c>
      <c r="O125" s="11"/>
      <c r="P125" s="2">
        <f>-1020.4</f>
        <v>-1020.4</v>
      </c>
      <c r="Q125" s="2"/>
      <c r="R125" s="19"/>
      <c r="S125" s="2"/>
      <c r="T125" s="2">
        <f>-939.02</f>
        <v>-939.02</v>
      </c>
      <c r="U125" s="2"/>
      <c r="V125" s="19"/>
      <c r="W125" s="2"/>
      <c r="X125" s="2">
        <f t="shared" si="2"/>
        <v>-81.38</v>
      </c>
      <c r="Y125" s="2"/>
      <c r="Z125" s="19">
        <f t="shared" si="3"/>
        <v>8.6664820770590609E-2</v>
      </c>
    </row>
    <row r="126" spans="1:26" s="24" customFormat="1" hidden="1" outlineLevel="1" x14ac:dyDescent="0.25">
      <c r="A126" s="44"/>
      <c r="B126" s="11" t="str">
        <f>CONCATENATE("          ", "4341", " - ", "SALES RETURN NON TAXABLE-LOGO")</f>
        <v xml:space="preserve">          4341 - SALES RETURN NON TAXABLE-LOGO</v>
      </c>
      <c r="C126" s="11"/>
      <c r="D126" s="2">
        <f t="shared" ref="D126:D132" si="25">0</f>
        <v>0</v>
      </c>
      <c r="E126" s="2"/>
      <c r="F126" s="19"/>
      <c r="G126" s="2"/>
      <c r="H126" s="2">
        <f>-6.95</f>
        <v>-6.95</v>
      </c>
      <c r="I126" s="2"/>
      <c r="J126" s="19"/>
      <c r="K126" s="2"/>
      <c r="L126" s="2">
        <f t="shared" si="0"/>
        <v>6.95</v>
      </c>
      <c r="M126" s="2"/>
      <c r="N126" s="19">
        <f t="shared" si="1"/>
        <v>-1</v>
      </c>
      <c r="O126" s="11"/>
      <c r="P126" s="2">
        <f>-245.5</f>
        <v>-245.5</v>
      </c>
      <c r="Q126" s="2"/>
      <c r="R126" s="19"/>
      <c r="S126" s="2"/>
      <c r="T126" s="2">
        <f>-257.95</f>
        <v>-257.95</v>
      </c>
      <c r="U126" s="2"/>
      <c r="V126" s="19"/>
      <c r="W126" s="2"/>
      <c r="X126" s="2">
        <f t="shared" si="2"/>
        <v>12.449999999999989</v>
      </c>
      <c r="Y126" s="2"/>
      <c r="Z126" s="19">
        <f t="shared" si="3"/>
        <v>-4.8265167668152698E-2</v>
      </c>
    </row>
    <row r="127" spans="1:26" s="24" customFormat="1" hidden="1" outlineLevel="1" x14ac:dyDescent="0.25">
      <c r="A127" s="44"/>
      <c r="B127" s="11" t="str">
        <f>CONCATENATE("          ", "4342", " - ", "SALES RETURN NON TAXABLE-EVERY")</f>
        <v xml:space="preserve">          4342 - SALES RETURN NON TAXABLE-EVERY</v>
      </c>
      <c r="C127" s="11"/>
      <c r="D127" s="2">
        <f t="shared" si="25"/>
        <v>0</v>
      </c>
      <c r="E127" s="2"/>
      <c r="F127" s="19"/>
      <c r="G127" s="2"/>
      <c r="H127" s="2">
        <f>-19.9</f>
        <v>-19.899999999999999</v>
      </c>
      <c r="I127" s="2"/>
      <c r="J127" s="19"/>
      <c r="K127" s="2"/>
      <c r="L127" s="2">
        <f t="shared" si="0"/>
        <v>19.899999999999999</v>
      </c>
      <c r="M127" s="2"/>
      <c r="N127" s="19">
        <f t="shared" si="1"/>
        <v>-1</v>
      </c>
      <c r="O127" s="11"/>
      <c r="P127" s="2">
        <f>-149.22</f>
        <v>-149.22</v>
      </c>
      <c r="Q127" s="2"/>
      <c r="R127" s="19"/>
      <c r="S127" s="2"/>
      <c r="T127" s="2">
        <f>-103.6</f>
        <v>-103.6</v>
      </c>
      <c r="U127" s="2"/>
      <c r="V127" s="19"/>
      <c r="W127" s="2"/>
      <c r="X127" s="2">
        <f t="shared" si="2"/>
        <v>-45.620000000000005</v>
      </c>
      <c r="Y127" s="2"/>
      <c r="Z127" s="19">
        <f t="shared" si="3"/>
        <v>0.44034749034749043</v>
      </c>
    </row>
    <row r="128" spans="1:26" s="24" customFormat="1" hidden="1" outlineLevel="1" x14ac:dyDescent="0.25">
      <c r="A128" s="44"/>
      <c r="B128" s="11" t="str">
        <f>CONCATENATE("          ", "4346", " - ", "SALES RETURN NON TAXABLE-COIN-")</f>
        <v xml:space="preserve">          4346 - SALES RETURN NON TAXABLE-COIN-</v>
      </c>
      <c r="C128" s="11"/>
      <c r="D128" s="2">
        <f t="shared" si="25"/>
        <v>0</v>
      </c>
      <c r="E128" s="2"/>
      <c r="F128" s="19"/>
      <c r="G128" s="2"/>
      <c r="H128" s="2">
        <f t="shared" ref="H128:H129" si="26">0</f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-8.15</f>
        <v>-8.15</v>
      </c>
      <c r="Q128" s="2"/>
      <c r="R128" s="19"/>
      <c r="S128" s="2"/>
      <c r="T128" s="2">
        <f t="shared" ref="T128:T129" si="27">0</f>
        <v>0</v>
      </c>
      <c r="U128" s="2"/>
      <c r="V128" s="19"/>
      <c r="W128" s="2"/>
      <c r="X128" s="2">
        <f t="shared" si="2"/>
        <v>-8.15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"4347", " - ", "SALES RETURN NON TAXABLE-MISC")</f>
        <v xml:space="preserve">          4347 - SALES RETURN NON TAXABLE-MISC</v>
      </c>
      <c r="C129" s="11"/>
      <c r="D129" s="2">
        <f t="shared" si="25"/>
        <v>0</v>
      </c>
      <c r="E129" s="2"/>
      <c r="F129" s="19"/>
      <c r="G129" s="2"/>
      <c r="H129" s="2">
        <f t="shared" si="26"/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-84</f>
        <v>-84</v>
      </c>
      <c r="Q129" s="2"/>
      <c r="R129" s="19"/>
      <c r="S129" s="2"/>
      <c r="T129" s="2">
        <f t="shared" si="27"/>
        <v>0</v>
      </c>
      <c r="U129" s="2"/>
      <c r="V129" s="19"/>
      <c r="W129" s="2"/>
      <c r="X129" s="2">
        <f t="shared" si="2"/>
        <v>-84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"4381", " - ", "SALES RETURN NON TAXABLE-ELECT")</f>
        <v xml:space="preserve">          4381 - SALES RETURN NON TAXABLE-ELECT</v>
      </c>
      <c r="C130" s="11"/>
      <c r="D130" s="2">
        <f t="shared" si="25"/>
        <v>0</v>
      </c>
      <c r="E130" s="2"/>
      <c r="F130" s="19"/>
      <c r="G130" s="2"/>
      <c r="H130" s="2">
        <f>-59.98</f>
        <v>-59.98</v>
      </c>
      <c r="I130" s="2"/>
      <c r="J130" s="19"/>
      <c r="K130" s="2"/>
      <c r="L130" s="2">
        <f t="shared" si="0"/>
        <v>59.98</v>
      </c>
      <c r="M130" s="2"/>
      <c r="N130" s="19">
        <f t="shared" si="1"/>
        <v>-1</v>
      </c>
      <c r="O130" s="11"/>
      <c r="P130" s="2">
        <f>-1279.84</f>
        <v>-1279.8399999999999</v>
      </c>
      <c r="Q130" s="2"/>
      <c r="R130" s="19"/>
      <c r="S130" s="2"/>
      <c r="T130" s="2">
        <f>-217.85</f>
        <v>-217.85</v>
      </c>
      <c r="U130" s="2"/>
      <c r="V130" s="19"/>
      <c r="W130" s="2"/>
      <c r="X130" s="2">
        <f t="shared" si="2"/>
        <v>-1061.99</v>
      </c>
      <c r="Y130" s="2"/>
      <c r="Z130" s="19">
        <f t="shared" si="3"/>
        <v>4.8748680284599493</v>
      </c>
    </row>
    <row r="131" spans="1:26" s="24" customFormat="1" hidden="1" outlineLevel="1" x14ac:dyDescent="0.25">
      <c r="A131" s="44"/>
      <c r="B131" s="11" t="str">
        <f>CONCATENATE("          ", "4383", " - ", "SALES RETURN NON TAXABLE-COMPU")</f>
        <v xml:space="preserve">          4383 - SALES RETURN NON TAXABLE-COMPU</v>
      </c>
      <c r="C131" s="11"/>
      <c r="D131" s="2">
        <f t="shared" si="25"/>
        <v>0</v>
      </c>
      <c r="E131" s="2"/>
      <c r="F131" s="19"/>
      <c r="G131" s="2"/>
      <c r="H131" s="2">
        <f>-34.98</f>
        <v>-34.979999999999997</v>
      </c>
      <c r="I131" s="2"/>
      <c r="J131" s="19"/>
      <c r="K131" s="2"/>
      <c r="L131" s="2">
        <f t="shared" si="0"/>
        <v>34.979999999999997</v>
      </c>
      <c r="M131" s="2"/>
      <c r="N131" s="19">
        <f t="shared" si="1"/>
        <v>-1</v>
      </c>
      <c r="O131" s="11"/>
      <c r="P131" s="2">
        <f>-49.98</f>
        <v>-49.98</v>
      </c>
      <c r="Q131" s="2"/>
      <c r="R131" s="19"/>
      <c r="S131" s="2"/>
      <c r="T131" s="2">
        <f>-153.92</f>
        <v>-153.91999999999999</v>
      </c>
      <c r="U131" s="2"/>
      <c r="V131" s="19"/>
      <c r="W131" s="2"/>
      <c r="X131" s="2">
        <f t="shared" si="2"/>
        <v>103.94</v>
      </c>
      <c r="Y131" s="2"/>
      <c r="Z131" s="19">
        <f t="shared" si="3"/>
        <v>-0.67528586278586278</v>
      </c>
    </row>
    <row r="132" spans="1:26" s="24" customFormat="1" hidden="1" outlineLevel="1" x14ac:dyDescent="0.25">
      <c r="A132" s="44"/>
      <c r="B132" s="11" t="str">
        <f>CONCATENATE("          ", "4386", " - ", "SALES RETURN NON TAXABLE-COMPU")</f>
        <v xml:space="preserve">          4386 - SALES RETURN NON TAXABLE-COMPU</v>
      </c>
      <c r="C132" s="11"/>
      <c r="D132" s="2">
        <f t="shared" si="25"/>
        <v>0</v>
      </c>
      <c r="E132" s="2"/>
      <c r="F132" s="19"/>
      <c r="G132" s="2"/>
      <c r="H132" s="2">
        <f>0</f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-104.96</f>
        <v>-104.96</v>
      </c>
      <c r="Q132" s="2"/>
      <c r="R132" s="19"/>
      <c r="S132" s="2"/>
      <c r="T132" s="2">
        <f>-209.95</f>
        <v>-209.95</v>
      </c>
      <c r="U132" s="2"/>
      <c r="V132" s="19"/>
      <c r="W132" s="2"/>
      <c r="X132" s="2">
        <f t="shared" si="2"/>
        <v>104.99</v>
      </c>
      <c r="Y132" s="2"/>
      <c r="Z132" s="19">
        <f t="shared" si="3"/>
        <v>-0.50007144558228145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collapsed="1" x14ac:dyDescent="0.25">
      <c r="A134" s="10"/>
      <c r="B134" s="29" t="s">
        <v>8</v>
      </c>
      <c r="C134" s="10"/>
      <c r="D134" s="4">
        <f>SUM(OSRRefD16x_0)</f>
        <v>336529.33999999997</v>
      </c>
      <c r="E134" s="4"/>
      <c r="F134" s="12">
        <f t="shared" ref="F134:F192" si="28">IF(D$12=0,0,D134/D$12)</f>
        <v>0.71842609533295798</v>
      </c>
      <c r="G134" s="4"/>
      <c r="H134" s="4">
        <f>SUM(OSRRefH16x_0)</f>
        <v>419739.10999999993</v>
      </c>
      <c r="I134" s="4"/>
      <c r="J134" s="12">
        <f t="shared" ref="J134:J192" si="29">IF(H$12=0,0,H134/H$12)</f>
        <v>0.50556528296292558</v>
      </c>
      <c r="K134" s="4"/>
      <c r="L134" s="4">
        <f t="shared" ref="L134:L192" si="30">+D134-H134</f>
        <v>-83209.76999999996</v>
      </c>
      <c r="M134" s="4"/>
      <c r="N134" s="12">
        <f t="shared" ref="N134:N192" si="31">IF(H134=0,0,L134/H134)</f>
        <v>-0.19824164109939618</v>
      </c>
      <c r="O134" s="10"/>
      <c r="P134" s="4">
        <f>SUM(OSRRefP16x_0)</f>
        <v>7124648.160000002</v>
      </c>
      <c r="Q134" s="4"/>
      <c r="R134" s="12">
        <f t="shared" ref="R134:R192" si="32">IF(P$12=0,0,P134/P$12)</f>
        <v>0.6415684075488729</v>
      </c>
      <c r="S134" s="4"/>
      <c r="T134" s="4">
        <f>SUM(OSRRefT16x_0)</f>
        <v>8083976.5300000003</v>
      </c>
      <c r="U134" s="4"/>
      <c r="V134" s="12">
        <f t="shared" ref="V134:V192" si="33">IF(T$12=0,0,T134/T$12)</f>
        <v>0.63159445473584552</v>
      </c>
      <c r="W134" s="4"/>
      <c r="X134" s="4">
        <f t="shared" ref="X134:X192" si="34">+P134-T134</f>
        <v>-959328.36999999825</v>
      </c>
      <c r="Y134" s="4"/>
      <c r="Z134" s="12">
        <f t="shared" ref="Z134:Z192" si="35">IF(T134=0,0,X134/T134)</f>
        <v>-0.11867035566467661</v>
      </c>
    </row>
    <row r="135" spans="1:26" s="24" customFormat="1" hidden="1" outlineLevel="1" x14ac:dyDescent="0.25">
      <c r="A135" s="44"/>
      <c r="B135" s="11" t="str">
        <f>CONCATENATE("          ", "5000", " - ", "PURCHASES @ COST")</f>
        <v xml:space="preserve">          5000 - PURCHASES @ COST</v>
      </c>
      <c r="C135" s="11"/>
      <c r="D135" s="2"/>
      <c r="E135" s="2"/>
      <c r="F135" s="19">
        <f t="shared" si="28"/>
        <v>0</v>
      </c>
      <c r="G135" s="2"/>
      <c r="H135" s="2">
        <v>1020</v>
      </c>
      <c r="I135" s="2"/>
      <c r="J135" s="19">
        <f t="shared" si="29"/>
        <v>1.2285645448244845E-3</v>
      </c>
      <c r="K135" s="2"/>
      <c r="L135" s="2">
        <f t="shared" si="30"/>
        <v>-1020</v>
      </c>
      <c r="M135" s="2"/>
      <c r="N135" s="19">
        <f t="shared" si="31"/>
        <v>-1</v>
      </c>
      <c r="O135" s="11"/>
      <c r="P135" s="2"/>
      <c r="Q135" s="2"/>
      <c r="R135" s="19">
        <f t="shared" si="32"/>
        <v>0</v>
      </c>
      <c r="S135" s="2"/>
      <c r="T135" s="2">
        <v>1020</v>
      </c>
      <c r="U135" s="2"/>
      <c r="V135" s="19">
        <f t="shared" si="33"/>
        <v>7.9691763260297636E-5</v>
      </c>
      <c r="W135" s="2"/>
      <c r="X135" s="2">
        <f t="shared" si="34"/>
        <v>-1020</v>
      </c>
      <c r="Y135" s="2"/>
      <c r="Z135" s="19">
        <f t="shared" si="35"/>
        <v>-1</v>
      </c>
    </row>
    <row r="136" spans="1:26" s="24" customFormat="1" hidden="1" outlineLevel="1" x14ac:dyDescent="0.25">
      <c r="A136" s="44"/>
      <c r="B136" s="11" t="str">
        <f>CONCATENATE("          ", "5001", " - ", "PURCHASES @ COST-NEW TEXT")</f>
        <v xml:space="preserve">          5001 - PURCHASES @ COST-NEW TEXT</v>
      </c>
      <c r="C136" s="11"/>
      <c r="D136" s="2">
        <v>-24912.870000000003</v>
      </c>
      <c r="E136" s="2"/>
      <c r="F136" s="19">
        <f t="shared" si="28"/>
        <v>-5.3184236232233395E-2</v>
      </c>
      <c r="G136" s="2"/>
      <c r="H136" s="2">
        <v>-221136.5</v>
      </c>
      <c r="I136" s="2"/>
      <c r="J136" s="19">
        <f t="shared" si="29"/>
        <v>-0.26635339555547022</v>
      </c>
      <c r="K136" s="2"/>
      <c r="L136" s="2">
        <f t="shared" si="30"/>
        <v>196223.63</v>
      </c>
      <c r="M136" s="2"/>
      <c r="N136" s="19">
        <f t="shared" si="31"/>
        <v>-0.88734166453751417</v>
      </c>
      <c r="O136" s="11"/>
      <c r="P136" s="2">
        <v>1569752.25</v>
      </c>
      <c r="Q136" s="2"/>
      <c r="R136" s="19">
        <f t="shared" si="32"/>
        <v>0.14135483306150515</v>
      </c>
      <c r="S136" s="2"/>
      <c r="T136" s="2">
        <v>2325728.42</v>
      </c>
      <c r="U136" s="2"/>
      <c r="V136" s="19">
        <f t="shared" si="33"/>
        <v>0.18170725358273146</v>
      </c>
      <c r="W136" s="2"/>
      <c r="X136" s="2">
        <f t="shared" si="34"/>
        <v>-755976.16999999993</v>
      </c>
      <c r="Y136" s="2"/>
      <c r="Z136" s="19">
        <f t="shared" si="35"/>
        <v>-0.32504920329433817</v>
      </c>
    </row>
    <row r="137" spans="1:26" s="24" customFormat="1" hidden="1" outlineLevel="1" x14ac:dyDescent="0.25">
      <c r="A137" s="44"/>
      <c r="B137" s="11" t="str">
        <f>CONCATENATE("          ", "5002", " - ", "PURCHASES @ COST-USED TEXT")</f>
        <v xml:space="preserve">          5002 - PURCHASES @ COST-USED TEXT</v>
      </c>
      <c r="C137" s="11"/>
      <c r="D137" s="2">
        <v>-3117.33</v>
      </c>
      <c r="E137" s="2"/>
      <c r="F137" s="19">
        <f t="shared" si="28"/>
        <v>-6.6549062847366886E-3</v>
      </c>
      <c r="G137" s="2"/>
      <c r="H137" s="2">
        <v>-70912.89</v>
      </c>
      <c r="I137" s="2"/>
      <c r="J137" s="19">
        <f t="shared" si="29"/>
        <v>-8.5412806299057578E-2</v>
      </c>
      <c r="K137" s="2"/>
      <c r="L137" s="2">
        <f t="shared" si="30"/>
        <v>67795.56</v>
      </c>
      <c r="M137" s="2"/>
      <c r="N137" s="19">
        <f t="shared" si="31"/>
        <v>-0.95604000908720543</v>
      </c>
      <c r="O137" s="11"/>
      <c r="P137" s="2">
        <v>595582.78</v>
      </c>
      <c r="Q137" s="2"/>
      <c r="R137" s="19">
        <f t="shared" si="32"/>
        <v>5.3631714457620404E-2</v>
      </c>
      <c r="S137" s="2"/>
      <c r="T137" s="2">
        <v>408043.55</v>
      </c>
      <c r="U137" s="2"/>
      <c r="V137" s="19">
        <f t="shared" si="33"/>
        <v>3.1880107829893554E-2</v>
      </c>
      <c r="W137" s="2"/>
      <c r="X137" s="2">
        <f t="shared" si="34"/>
        <v>187539.23000000004</v>
      </c>
      <c r="Y137" s="2"/>
      <c r="Z137" s="19">
        <f t="shared" si="35"/>
        <v>0.45960591706448994</v>
      </c>
    </row>
    <row r="138" spans="1:26" s="24" customFormat="1" hidden="1" outlineLevel="1" x14ac:dyDescent="0.25">
      <c r="A138" s="44"/>
      <c r="B138" s="11" t="str">
        <f>CONCATENATE("          ", "5003", " - ", "PURCHASES @ COST-RENTAL TEXT")</f>
        <v xml:space="preserve">          5003 - PURCHASES @ COST-RENTAL TEXT</v>
      </c>
      <c r="C138" s="11"/>
      <c r="D138" s="2"/>
      <c r="E138" s="2"/>
      <c r="F138" s="19">
        <f t="shared" si="28"/>
        <v>0</v>
      </c>
      <c r="G138" s="2"/>
      <c r="H138" s="2">
        <v>811.08</v>
      </c>
      <c r="I138" s="2"/>
      <c r="J138" s="19">
        <f t="shared" si="29"/>
        <v>9.7692561864337548E-4</v>
      </c>
      <c r="K138" s="2"/>
      <c r="L138" s="2">
        <f t="shared" si="30"/>
        <v>-811.08</v>
      </c>
      <c r="M138" s="2"/>
      <c r="N138" s="19">
        <f t="shared" si="31"/>
        <v>-1</v>
      </c>
      <c r="O138" s="11"/>
      <c r="P138" s="2">
        <v>-78.400000000000006</v>
      </c>
      <c r="Q138" s="2"/>
      <c r="R138" s="19">
        <f t="shared" si="32"/>
        <v>-7.0598522231912744E-6</v>
      </c>
      <c r="S138" s="2"/>
      <c r="T138" s="2">
        <v>15629.58</v>
      </c>
      <c r="U138" s="2"/>
      <c r="V138" s="19">
        <f t="shared" si="33"/>
        <v>1.2211262639391007E-3</v>
      </c>
      <c r="W138" s="2"/>
      <c r="X138" s="2">
        <f t="shared" si="34"/>
        <v>-15707.98</v>
      </c>
      <c r="Y138" s="2"/>
      <c r="Z138" s="19">
        <f t="shared" si="35"/>
        <v>-1.0050161296720705</v>
      </c>
    </row>
    <row r="139" spans="1:26" s="24" customFormat="1" hidden="1" outlineLevel="1" x14ac:dyDescent="0.25">
      <c r="A139" s="44"/>
      <c r="B139" s="11" t="str">
        <f>CONCATENATE("          ", "5004", " - ", "PURCHASES @ COST-DIGITAL TEXT")</f>
        <v xml:space="preserve">          5004 - PURCHASES @ COST-DIGITAL TEXT</v>
      </c>
      <c r="C139" s="11"/>
      <c r="D139" s="2">
        <v>54465.03</v>
      </c>
      <c r="E139" s="2"/>
      <c r="F139" s="19">
        <f t="shared" si="28"/>
        <v>0.11627247370197326</v>
      </c>
      <c r="G139" s="2"/>
      <c r="H139" s="2">
        <v>-10175.74</v>
      </c>
      <c r="I139" s="2"/>
      <c r="J139" s="19">
        <f t="shared" si="29"/>
        <v>-1.2256424883678724E-2</v>
      </c>
      <c r="K139" s="2"/>
      <c r="L139" s="2">
        <f t="shared" si="30"/>
        <v>64640.77</v>
      </c>
      <c r="M139" s="2"/>
      <c r="N139" s="19">
        <f t="shared" si="31"/>
        <v>-6.352439232920652</v>
      </c>
      <c r="O139" s="11"/>
      <c r="P139" s="2">
        <v>492787.91</v>
      </c>
      <c r="Q139" s="2"/>
      <c r="R139" s="19">
        <f t="shared" si="32"/>
        <v>4.4375125280296954E-2</v>
      </c>
      <c r="S139" s="2"/>
      <c r="T139" s="2">
        <v>483690.86000000004</v>
      </c>
      <c r="U139" s="2"/>
      <c r="V139" s="19">
        <f t="shared" si="33"/>
        <v>3.7790370104205662E-2</v>
      </c>
      <c r="W139" s="2"/>
      <c r="X139" s="2">
        <f t="shared" si="34"/>
        <v>9097.0499999999302</v>
      </c>
      <c r="Y139" s="2"/>
      <c r="Z139" s="19">
        <f t="shared" si="35"/>
        <v>1.8807570604083626E-2</v>
      </c>
    </row>
    <row r="140" spans="1:26" s="24" customFormat="1" hidden="1" outlineLevel="1" x14ac:dyDescent="0.25">
      <c r="A140" s="44"/>
      <c r="B140" s="11" t="str">
        <f>CONCATENATE("          ", "5011", " - ", "PURCHASES @ COST-NO VALUE TEXT")</f>
        <v xml:space="preserve">          5011 - PURCHASES @ COST-NO VALUE TEXT</v>
      </c>
      <c r="C140" s="11"/>
      <c r="D140" s="2">
        <v>42</v>
      </c>
      <c r="E140" s="2"/>
      <c r="F140" s="19">
        <f t="shared" si="28"/>
        <v>8.9662006896588088E-5</v>
      </c>
      <c r="G140" s="2"/>
      <c r="H140" s="2">
        <v>339</v>
      </c>
      <c r="I140" s="2"/>
      <c r="J140" s="19">
        <f t="shared" si="29"/>
        <v>4.0831703989754924E-4</v>
      </c>
      <c r="K140" s="2"/>
      <c r="L140" s="2">
        <f t="shared" si="30"/>
        <v>-297</v>
      </c>
      <c r="M140" s="2"/>
      <c r="N140" s="19">
        <f t="shared" si="31"/>
        <v>-0.87610619469026552</v>
      </c>
      <c r="O140" s="11"/>
      <c r="P140" s="2">
        <v>6363</v>
      </c>
      <c r="Q140" s="2"/>
      <c r="R140" s="19">
        <f t="shared" si="32"/>
        <v>5.729826491857918E-4</v>
      </c>
      <c r="S140" s="2"/>
      <c r="T140" s="2">
        <v>3507</v>
      </c>
      <c r="U140" s="2"/>
      <c r="V140" s="19">
        <f t="shared" si="33"/>
        <v>2.7399903309202335E-4</v>
      </c>
      <c r="W140" s="2"/>
      <c r="X140" s="2">
        <f t="shared" si="34"/>
        <v>2856</v>
      </c>
      <c r="Y140" s="2"/>
      <c r="Z140" s="19">
        <f t="shared" si="35"/>
        <v>0.81437125748502992</v>
      </c>
    </row>
    <row r="141" spans="1:26" s="24" customFormat="1" hidden="1" outlineLevel="1" x14ac:dyDescent="0.25">
      <c r="A141" s="44"/>
      <c r="B141" s="11" t="str">
        <f>CONCATENATE("          ", "5013", " - ", "PURCHASES @ COST-TRADE BOOKS")</f>
        <v xml:space="preserve">          5013 - PURCHASES @ COST-TRADE BOOKS</v>
      </c>
      <c r="C141" s="11"/>
      <c r="D141" s="2">
        <v>-3150.69</v>
      </c>
      <c r="E141" s="2"/>
      <c r="F141" s="19">
        <f t="shared" si="28"/>
        <v>-6.7261235359288365E-3</v>
      </c>
      <c r="G141" s="2"/>
      <c r="H141" s="2">
        <v>501.57</v>
      </c>
      <c r="I141" s="2"/>
      <c r="J141" s="19">
        <f t="shared" si="29"/>
        <v>6.0412854779178101E-4</v>
      </c>
      <c r="K141" s="2"/>
      <c r="L141" s="2">
        <f t="shared" si="30"/>
        <v>-3652.26</v>
      </c>
      <c r="M141" s="2"/>
      <c r="N141" s="19">
        <f t="shared" si="31"/>
        <v>-7.2816556014115683</v>
      </c>
      <c r="O141" s="11"/>
      <c r="P141" s="2">
        <v>3197.85</v>
      </c>
      <c r="Q141" s="2"/>
      <c r="R141" s="19">
        <f t="shared" si="32"/>
        <v>2.8796362795831905E-4</v>
      </c>
      <c r="S141" s="2"/>
      <c r="T141" s="2">
        <v>6141.67</v>
      </c>
      <c r="U141" s="2"/>
      <c r="V141" s="19">
        <f t="shared" si="33"/>
        <v>4.7984363888516887E-4</v>
      </c>
      <c r="W141" s="2"/>
      <c r="X141" s="2">
        <f t="shared" si="34"/>
        <v>-2943.82</v>
      </c>
      <c r="Y141" s="2"/>
      <c r="Z141" s="19">
        <f t="shared" si="35"/>
        <v>-0.47931914283899985</v>
      </c>
    </row>
    <row r="142" spans="1:26" s="24" customFormat="1" hidden="1" outlineLevel="1" x14ac:dyDescent="0.25">
      <c r="A142" s="44"/>
      <c r="B142" s="11" t="str">
        <f>CONCATENATE("          ", "5014", " - ", "PURCHASES @ COST-REMAINDERS")</f>
        <v xml:space="preserve">          5014 - PURCHASES @ COST-REMAINDERS</v>
      </c>
      <c r="C142" s="11"/>
      <c r="D142" s="2"/>
      <c r="E142" s="2"/>
      <c r="F142" s="19">
        <f t="shared" si="28"/>
        <v>0</v>
      </c>
      <c r="G142" s="2"/>
      <c r="H142" s="2">
        <v>64.849999999999994</v>
      </c>
      <c r="I142" s="2"/>
      <c r="J142" s="19">
        <f t="shared" si="29"/>
        <v>7.81102065998704E-5</v>
      </c>
      <c r="K142" s="2"/>
      <c r="L142" s="2">
        <f t="shared" si="30"/>
        <v>-64.849999999999994</v>
      </c>
      <c r="M142" s="2"/>
      <c r="N142" s="19">
        <f t="shared" si="31"/>
        <v>-1</v>
      </c>
      <c r="O142" s="11"/>
      <c r="P142" s="2">
        <v>615.07000000000005</v>
      </c>
      <c r="Q142" s="2"/>
      <c r="R142" s="19">
        <f t="shared" si="32"/>
        <v>5.5386521771916541E-5</v>
      </c>
      <c r="S142" s="2"/>
      <c r="T142" s="2">
        <v>1122.1600000000001</v>
      </c>
      <c r="U142" s="2"/>
      <c r="V142" s="19">
        <f t="shared" si="33"/>
        <v>8.7673440255074122E-5</v>
      </c>
      <c r="W142" s="2"/>
      <c r="X142" s="2">
        <f t="shared" si="34"/>
        <v>-507.09000000000003</v>
      </c>
      <c r="Y142" s="2"/>
      <c r="Z142" s="19">
        <f t="shared" si="35"/>
        <v>-0.45188743138233406</v>
      </c>
    </row>
    <row r="143" spans="1:26" s="24" customFormat="1" hidden="1" outlineLevel="1" x14ac:dyDescent="0.25">
      <c r="A143" s="44"/>
      <c r="B143" s="11" t="str">
        <f>CONCATENATE("          ", "5017", " - ", "PURCHASES @ COST-DORM/HOUSEWAR")</f>
        <v xml:space="preserve">          5017 - PURCHASES @ COST-DORM/HOUSEWAR</v>
      </c>
      <c r="C143" s="11"/>
      <c r="D143" s="2"/>
      <c r="E143" s="2"/>
      <c r="F143" s="19">
        <f t="shared" si="28"/>
        <v>0</v>
      </c>
      <c r="G143" s="2"/>
      <c r="H143" s="2"/>
      <c r="I143" s="2"/>
      <c r="J143" s="19">
        <f t="shared" si="29"/>
        <v>0</v>
      </c>
      <c r="K143" s="2"/>
      <c r="L143" s="2">
        <f t="shared" si="30"/>
        <v>0</v>
      </c>
      <c r="M143" s="2"/>
      <c r="N143" s="19">
        <f t="shared" si="31"/>
        <v>0</v>
      </c>
      <c r="O143" s="11"/>
      <c r="P143" s="2">
        <v>14.46</v>
      </c>
      <c r="Q143" s="2"/>
      <c r="R143" s="19">
        <f t="shared" si="32"/>
        <v>1.3021104993283905E-6</v>
      </c>
      <c r="S143" s="2"/>
      <c r="T143" s="2">
        <v>239.9</v>
      </c>
      <c r="U143" s="2"/>
      <c r="V143" s="19">
        <f t="shared" si="33"/>
        <v>1.8743190202103338E-5</v>
      </c>
      <c r="W143" s="2"/>
      <c r="X143" s="2">
        <f t="shared" si="34"/>
        <v>-225.44</v>
      </c>
      <c r="Y143" s="2"/>
      <c r="Z143" s="19">
        <f t="shared" si="35"/>
        <v>-0.93972488536890364</v>
      </c>
    </row>
    <row r="144" spans="1:26" s="24" customFormat="1" hidden="1" outlineLevel="1" x14ac:dyDescent="0.25">
      <c r="A144" s="44"/>
      <c r="B144" s="11" t="str">
        <f>CONCATENATE("          ", "5018", " - ", "PURCHASES @ COST-STUDY GUIDES")</f>
        <v xml:space="preserve">          5018 - PURCHASES @ COST-STUDY GUIDES</v>
      </c>
      <c r="C144" s="11"/>
      <c r="D144" s="2">
        <v>-2582.4699999999998</v>
      </c>
      <c r="E144" s="2"/>
      <c r="F144" s="19">
        <f t="shared" si="28"/>
        <v>-5.5130819750055194E-3</v>
      </c>
      <c r="G144" s="2"/>
      <c r="H144" s="2"/>
      <c r="I144" s="2"/>
      <c r="J144" s="19">
        <f t="shared" si="29"/>
        <v>0</v>
      </c>
      <c r="K144" s="2"/>
      <c r="L144" s="2">
        <f t="shared" si="30"/>
        <v>-2582.4699999999998</v>
      </c>
      <c r="M144" s="2"/>
      <c r="N144" s="19">
        <f t="shared" si="31"/>
        <v>0</v>
      </c>
      <c r="O144" s="11"/>
      <c r="P144" s="2">
        <v>-205.14</v>
      </c>
      <c r="Q144" s="2"/>
      <c r="R144" s="19">
        <f t="shared" si="32"/>
        <v>-1.8472679656447166E-5</v>
      </c>
      <c r="S144" s="2"/>
      <c r="T144" s="2">
        <v>2393.92</v>
      </c>
      <c r="U144" s="2"/>
      <c r="V144" s="19">
        <f t="shared" si="33"/>
        <v>1.8703500578832522E-4</v>
      </c>
      <c r="W144" s="2"/>
      <c r="X144" s="2">
        <f t="shared" si="34"/>
        <v>-2599.06</v>
      </c>
      <c r="Y144" s="2"/>
      <c r="Z144" s="19">
        <f t="shared" si="35"/>
        <v>-1.0856920866194359</v>
      </c>
    </row>
    <row r="145" spans="1:26" s="24" customFormat="1" hidden="1" outlineLevel="1" x14ac:dyDescent="0.25">
      <c r="A145" s="44"/>
      <c r="B145" s="11" t="str">
        <f>CONCATENATE("          ", "5025", " - ", "PURCHASES @ COST-TEST FORMS")</f>
        <v xml:space="preserve">          5025 - PURCHASES @ COST-TEST FORMS</v>
      </c>
      <c r="C145" s="11"/>
      <c r="D145" s="2"/>
      <c r="E145" s="2"/>
      <c r="F145" s="19">
        <f t="shared" si="28"/>
        <v>0</v>
      </c>
      <c r="G145" s="2"/>
      <c r="H145" s="2">
        <v>3255</v>
      </c>
      <c r="I145" s="2"/>
      <c r="J145" s="19">
        <f t="shared" si="29"/>
        <v>3.92056626804284E-3</v>
      </c>
      <c r="K145" s="2"/>
      <c r="L145" s="2">
        <f t="shared" si="30"/>
        <v>-3255</v>
      </c>
      <c r="M145" s="2"/>
      <c r="N145" s="19">
        <f t="shared" si="31"/>
        <v>-1</v>
      </c>
      <c r="O145" s="11"/>
      <c r="P145" s="2">
        <v>26400.390000000003</v>
      </c>
      <c r="Q145" s="2"/>
      <c r="R145" s="19">
        <f t="shared" si="32"/>
        <v>2.3773322963599069E-3</v>
      </c>
      <c r="S145" s="2"/>
      <c r="T145" s="2">
        <v>19570.849999999999</v>
      </c>
      <c r="U145" s="2"/>
      <c r="V145" s="19">
        <f t="shared" si="33"/>
        <v>1.5290544558850942E-3</v>
      </c>
      <c r="W145" s="2"/>
      <c r="X145" s="2">
        <f t="shared" si="34"/>
        <v>6829.5400000000045</v>
      </c>
      <c r="Y145" s="2"/>
      <c r="Z145" s="19">
        <f t="shared" si="35"/>
        <v>0.34896491465623647</v>
      </c>
    </row>
    <row r="146" spans="1:26" s="24" customFormat="1" hidden="1" outlineLevel="1" x14ac:dyDescent="0.25">
      <c r="A146" s="44"/>
      <c r="B146" s="11" t="str">
        <f>CONCATENATE("          ", "5026", " - ", "PURCHASES @ COST-WRITING INSTR")</f>
        <v xml:space="preserve">          5026 - PURCHASES @ COST-WRITING INSTR</v>
      </c>
      <c r="C146" s="11"/>
      <c r="D146" s="2">
        <v>2463.3000000000002</v>
      </c>
      <c r="E146" s="2"/>
      <c r="F146" s="19">
        <f t="shared" si="28"/>
        <v>5.2586767044848918E-3</v>
      </c>
      <c r="G146" s="2"/>
      <c r="H146" s="2">
        <v>-394.84</v>
      </c>
      <c r="I146" s="2"/>
      <c r="J146" s="19">
        <f t="shared" si="29"/>
        <v>-4.7557492635147002E-4</v>
      </c>
      <c r="K146" s="2"/>
      <c r="L146" s="2">
        <f t="shared" si="30"/>
        <v>2858.1400000000003</v>
      </c>
      <c r="M146" s="2"/>
      <c r="N146" s="19">
        <f t="shared" si="31"/>
        <v>-7.2387296119947333</v>
      </c>
      <c r="O146" s="11"/>
      <c r="P146" s="2">
        <v>51434.57</v>
      </c>
      <c r="Q146" s="2"/>
      <c r="R146" s="19">
        <f t="shared" si="32"/>
        <v>4.6316385633085096E-3</v>
      </c>
      <c r="S146" s="2"/>
      <c r="T146" s="2">
        <v>49629.61</v>
      </c>
      <c r="U146" s="2"/>
      <c r="V146" s="19">
        <f t="shared" si="33"/>
        <v>3.8775207164910789E-3</v>
      </c>
      <c r="W146" s="2"/>
      <c r="X146" s="2">
        <f t="shared" si="34"/>
        <v>1804.9599999999991</v>
      </c>
      <c r="Y146" s="2"/>
      <c r="Z146" s="19">
        <f t="shared" si="35"/>
        <v>3.6368611399525387E-2</v>
      </c>
    </row>
    <row r="147" spans="1:26" s="24" customFormat="1" hidden="1" outlineLevel="1" x14ac:dyDescent="0.25">
      <c r="A147" s="44"/>
      <c r="B147" s="11" t="str">
        <f>CONCATENATE("          ", "5027", " - ", "PURCHASES @ COST-SCHOOL SUPPLI")</f>
        <v xml:space="preserve">          5027 - PURCHASES @ COST-SCHOOL SUPPLI</v>
      </c>
      <c r="C147" s="11"/>
      <c r="D147" s="2">
        <v>6003.13</v>
      </c>
      <c r="E147" s="2"/>
      <c r="F147" s="19">
        <f t="shared" si="28"/>
        <v>1.2815540082407496E-2</v>
      </c>
      <c r="G147" s="2"/>
      <c r="H147" s="2">
        <v>5943.8</v>
      </c>
      <c r="I147" s="2"/>
      <c r="J147" s="19">
        <f t="shared" si="29"/>
        <v>7.1591587662036965E-3</v>
      </c>
      <c r="K147" s="2"/>
      <c r="L147" s="2">
        <f t="shared" si="30"/>
        <v>59.329999999999927</v>
      </c>
      <c r="M147" s="2"/>
      <c r="N147" s="19">
        <f t="shared" si="31"/>
        <v>9.9818298058480977E-3</v>
      </c>
      <c r="O147" s="11"/>
      <c r="P147" s="2">
        <v>143608.17000000001</v>
      </c>
      <c r="Q147" s="2"/>
      <c r="R147" s="19">
        <f t="shared" si="32"/>
        <v>1.2931791559221051E-2</v>
      </c>
      <c r="S147" s="2"/>
      <c r="T147" s="2">
        <v>143366.32</v>
      </c>
      <c r="U147" s="2"/>
      <c r="V147" s="19">
        <f t="shared" si="33"/>
        <v>1.1201092973470663E-2</v>
      </c>
      <c r="W147" s="2"/>
      <c r="X147" s="2">
        <f t="shared" si="34"/>
        <v>241.85000000000582</v>
      </c>
      <c r="Y147" s="2"/>
      <c r="Z147" s="19">
        <f t="shared" si="35"/>
        <v>1.6869373504181861E-3</v>
      </c>
    </row>
    <row r="148" spans="1:26" s="24" customFormat="1" hidden="1" outlineLevel="1" x14ac:dyDescent="0.25">
      <c r="A148" s="44"/>
      <c r="B148" s="11" t="str">
        <f>CONCATENATE("          ", "5028", " - ", "PURCHASES @ COST-ART/TECH")</f>
        <v xml:space="preserve">          5028 - PURCHASES @ COST-ART/TECH</v>
      </c>
      <c r="C148" s="11"/>
      <c r="D148" s="2">
        <v>8617.84</v>
      </c>
      <c r="E148" s="2"/>
      <c r="F148" s="19">
        <f t="shared" si="28"/>
        <v>1.8397448321754589E-2</v>
      </c>
      <c r="G148" s="2"/>
      <c r="H148" s="2">
        <v>11220.15</v>
      </c>
      <c r="I148" s="2"/>
      <c r="J148" s="19">
        <f t="shared" si="29"/>
        <v>1.351439066432592E-2</v>
      </c>
      <c r="K148" s="2"/>
      <c r="L148" s="2">
        <f t="shared" si="30"/>
        <v>-2602.3099999999995</v>
      </c>
      <c r="M148" s="2"/>
      <c r="N148" s="19">
        <f t="shared" si="31"/>
        <v>-0.23193183691840122</v>
      </c>
      <c r="O148" s="11"/>
      <c r="P148" s="2">
        <v>159687.99</v>
      </c>
      <c r="Q148" s="2"/>
      <c r="R148" s="19">
        <f t="shared" si="32"/>
        <v>1.4379765449214869E-2</v>
      </c>
      <c r="S148" s="2"/>
      <c r="T148" s="2">
        <v>175997.88</v>
      </c>
      <c r="U148" s="2"/>
      <c r="V148" s="19">
        <f t="shared" si="33"/>
        <v>1.3750569987523798E-2</v>
      </c>
      <c r="W148" s="2"/>
      <c r="X148" s="2">
        <f t="shared" si="34"/>
        <v>-16309.890000000014</v>
      </c>
      <c r="Y148" s="2"/>
      <c r="Z148" s="19">
        <f t="shared" si="35"/>
        <v>-9.2670945809120053E-2</v>
      </c>
    </row>
    <row r="149" spans="1:26" s="24" customFormat="1" hidden="1" outlineLevel="1" x14ac:dyDescent="0.25">
      <c r="A149" s="44"/>
      <c r="B149" s="11" t="str">
        <f>CONCATENATE("          ", "5031", " - ", "PURCHASES @ COST-FOOD")</f>
        <v xml:space="preserve">          5031 - PURCHASES @ COST-FOOD</v>
      </c>
      <c r="C149" s="11"/>
      <c r="D149" s="2"/>
      <c r="E149" s="2"/>
      <c r="F149" s="19">
        <f t="shared" si="28"/>
        <v>0</v>
      </c>
      <c r="G149" s="2"/>
      <c r="H149" s="2">
        <v>4301.16</v>
      </c>
      <c r="I149" s="2"/>
      <c r="J149" s="19">
        <f t="shared" si="29"/>
        <v>5.1806398800169403E-3</v>
      </c>
      <c r="K149" s="2"/>
      <c r="L149" s="2">
        <f t="shared" si="30"/>
        <v>-4301.16</v>
      </c>
      <c r="M149" s="2"/>
      <c r="N149" s="19">
        <f t="shared" si="31"/>
        <v>-1</v>
      </c>
      <c r="O149" s="11"/>
      <c r="P149" s="2">
        <v>33239.879999999997</v>
      </c>
      <c r="Q149" s="2"/>
      <c r="R149" s="19">
        <f t="shared" si="32"/>
        <v>2.99322245812004E-3</v>
      </c>
      <c r="S149" s="2"/>
      <c r="T149" s="2">
        <v>37829.29</v>
      </c>
      <c r="U149" s="2"/>
      <c r="V149" s="19">
        <f t="shared" si="33"/>
        <v>2.9555713950834756E-3</v>
      </c>
      <c r="W149" s="2"/>
      <c r="X149" s="2">
        <f t="shared" si="34"/>
        <v>-4589.4100000000035</v>
      </c>
      <c r="Y149" s="2"/>
      <c r="Z149" s="19">
        <f t="shared" si="35"/>
        <v>-0.12131895681890946</v>
      </c>
    </row>
    <row r="150" spans="1:26" s="24" customFormat="1" hidden="1" outlineLevel="1" x14ac:dyDescent="0.25">
      <c r="A150" s="44"/>
      <c r="B150" s="11" t="str">
        <f>CONCATENATE("          ", "5032", " - ", "PURCHASES @ COST-JUICE")</f>
        <v xml:space="preserve">          5032 - PURCHASES @ COST-JUICE</v>
      </c>
      <c r="C150" s="11"/>
      <c r="D150" s="2"/>
      <c r="E150" s="2"/>
      <c r="F150" s="19">
        <f t="shared" si="28"/>
        <v>0</v>
      </c>
      <c r="G150" s="2"/>
      <c r="H150" s="2">
        <v>1104.8800000000001</v>
      </c>
      <c r="I150" s="2"/>
      <c r="J150" s="19">
        <f t="shared" si="29"/>
        <v>1.3308003865545848E-3</v>
      </c>
      <c r="K150" s="2"/>
      <c r="L150" s="2">
        <f t="shared" si="30"/>
        <v>-1104.8800000000001</v>
      </c>
      <c r="M150" s="2"/>
      <c r="N150" s="19">
        <f t="shared" si="31"/>
        <v>-1</v>
      </c>
      <c r="O150" s="11"/>
      <c r="P150" s="2">
        <v>7802.45</v>
      </c>
      <c r="Q150" s="2"/>
      <c r="R150" s="19">
        <f t="shared" si="32"/>
        <v>7.0260387728110648E-4</v>
      </c>
      <c r="S150" s="2"/>
      <c r="T150" s="2">
        <v>9365.76</v>
      </c>
      <c r="U150" s="2"/>
      <c r="V150" s="19">
        <f t="shared" si="33"/>
        <v>7.3173914575761303E-4</v>
      </c>
      <c r="W150" s="2"/>
      <c r="X150" s="2">
        <f t="shared" si="34"/>
        <v>-1563.3100000000004</v>
      </c>
      <c r="Y150" s="2"/>
      <c r="Z150" s="19">
        <f t="shared" si="35"/>
        <v>-0.16691758063413972</v>
      </c>
    </row>
    <row r="151" spans="1:26" s="24" customFormat="1" hidden="1" outlineLevel="1" x14ac:dyDescent="0.25">
      <c r="A151" s="44"/>
      <c r="B151" s="11" t="str">
        <f>CONCATENATE("          ", "5033", " - ", "PURCHASES @ COST-CANDY")</f>
        <v xml:space="preserve">          5033 - PURCHASES @ COST-CANDY</v>
      </c>
      <c r="C151" s="11"/>
      <c r="D151" s="2">
        <v>-25.2</v>
      </c>
      <c r="E151" s="2"/>
      <c r="F151" s="19">
        <f t="shared" si="28"/>
        <v>-5.3797204137952853E-5</v>
      </c>
      <c r="G151" s="2"/>
      <c r="H151" s="2">
        <v>1244.29</v>
      </c>
      <c r="I151" s="2"/>
      <c r="J151" s="19">
        <f t="shared" si="29"/>
        <v>1.498716252431037E-3</v>
      </c>
      <c r="K151" s="2"/>
      <c r="L151" s="2">
        <f t="shared" si="30"/>
        <v>-1269.49</v>
      </c>
      <c r="M151" s="2"/>
      <c r="N151" s="19">
        <f t="shared" si="31"/>
        <v>-1.0202525134815839</v>
      </c>
      <c r="O151" s="11"/>
      <c r="P151" s="2">
        <v>9998.41</v>
      </c>
      <c r="Q151" s="2"/>
      <c r="R151" s="19">
        <f t="shared" si="32"/>
        <v>9.0034817687344214E-4</v>
      </c>
      <c r="S151" s="2"/>
      <c r="T151" s="2">
        <v>9175.83</v>
      </c>
      <c r="U151" s="2"/>
      <c r="V151" s="19">
        <f t="shared" si="33"/>
        <v>7.1690007066346751E-4</v>
      </c>
      <c r="W151" s="2"/>
      <c r="X151" s="2">
        <f t="shared" si="34"/>
        <v>822.57999999999993</v>
      </c>
      <c r="Y151" s="2"/>
      <c r="Z151" s="19">
        <f t="shared" si="35"/>
        <v>8.9646386212473408E-2</v>
      </c>
    </row>
    <row r="152" spans="1:26" s="24" customFormat="1" hidden="1" outlineLevel="1" x14ac:dyDescent="0.25">
      <c r="A152" s="44"/>
      <c r="B152" s="11" t="str">
        <f>CONCATENATE("          ", "5034", " - ", "PURCHASES @ COST-SODA")</f>
        <v xml:space="preserve">          5034 - PURCHASES @ COST-SODA</v>
      </c>
      <c r="C152" s="11"/>
      <c r="D152" s="2"/>
      <c r="E152" s="2"/>
      <c r="F152" s="19">
        <f t="shared" si="28"/>
        <v>0</v>
      </c>
      <c r="G152" s="2"/>
      <c r="H152" s="2">
        <v>367.08</v>
      </c>
      <c r="I152" s="2"/>
      <c r="J152" s="19">
        <f t="shared" si="29"/>
        <v>4.4213869913154092E-4</v>
      </c>
      <c r="K152" s="2"/>
      <c r="L152" s="2">
        <f t="shared" si="30"/>
        <v>-367.08</v>
      </c>
      <c r="M152" s="2"/>
      <c r="N152" s="19">
        <f t="shared" si="31"/>
        <v>-1</v>
      </c>
      <c r="O152" s="11"/>
      <c r="P152" s="2">
        <v>4033.88</v>
      </c>
      <c r="Q152" s="2"/>
      <c r="R152" s="19">
        <f t="shared" si="32"/>
        <v>3.6324740671029102E-4</v>
      </c>
      <c r="S152" s="2"/>
      <c r="T152" s="2">
        <v>3799.26</v>
      </c>
      <c r="U152" s="2"/>
      <c r="V152" s="19">
        <f t="shared" si="33"/>
        <v>2.9683306714148864E-4</v>
      </c>
      <c r="W152" s="2"/>
      <c r="X152" s="2">
        <f t="shared" si="34"/>
        <v>234.61999999999989</v>
      </c>
      <c r="Y152" s="2"/>
      <c r="Z152" s="19">
        <f t="shared" si="35"/>
        <v>6.1754131067628927E-2</v>
      </c>
    </row>
    <row r="153" spans="1:26" s="24" customFormat="1" hidden="1" outlineLevel="1" x14ac:dyDescent="0.25">
      <c r="A153" s="44"/>
      <c r="B153" s="11" t="str">
        <f>CONCATENATE("          ", "5035", " - ", "PURCHASES @ COST-HEALTH &amp; BEAU")</f>
        <v xml:space="preserve">          5035 - PURCHASES @ COST-HEALTH &amp; BEAU</v>
      </c>
      <c r="C153" s="11"/>
      <c r="D153" s="2"/>
      <c r="E153" s="2"/>
      <c r="F153" s="19">
        <f t="shared" si="28"/>
        <v>0</v>
      </c>
      <c r="G153" s="2"/>
      <c r="H153" s="2">
        <v>117.8</v>
      </c>
      <c r="I153" s="2"/>
      <c r="J153" s="19">
        <f t="shared" si="29"/>
        <v>1.4188716017678849E-4</v>
      </c>
      <c r="K153" s="2"/>
      <c r="L153" s="2">
        <f t="shared" si="30"/>
        <v>-117.8</v>
      </c>
      <c r="M153" s="2"/>
      <c r="N153" s="19">
        <f t="shared" si="31"/>
        <v>-1</v>
      </c>
      <c r="O153" s="11"/>
      <c r="P153" s="2">
        <v>1117.6500000000001</v>
      </c>
      <c r="Q153" s="2"/>
      <c r="R153" s="19">
        <f t="shared" si="32"/>
        <v>1.006434162914506E-4</v>
      </c>
      <c r="S153" s="2"/>
      <c r="T153" s="2">
        <v>1197.8499999999999</v>
      </c>
      <c r="U153" s="2"/>
      <c r="V153" s="19">
        <f t="shared" si="33"/>
        <v>9.3587037864066195E-5</v>
      </c>
      <c r="W153" s="2"/>
      <c r="X153" s="2">
        <f t="shared" si="34"/>
        <v>-80.199999999999818</v>
      </c>
      <c r="Y153" s="2"/>
      <c r="Z153" s="19">
        <f t="shared" si="35"/>
        <v>-6.6953291313603391E-2</v>
      </c>
    </row>
    <row r="154" spans="1:26" s="24" customFormat="1" hidden="1" outlineLevel="1" x14ac:dyDescent="0.25">
      <c r="A154" s="44"/>
      <c r="B154" s="11" t="str">
        <f>CONCATENATE("          ", "5037", " - ", "PURCHASES @ COST-WATER")</f>
        <v xml:space="preserve">          5037 - PURCHASES @ COST-WATER</v>
      </c>
      <c r="C154" s="11"/>
      <c r="D154" s="2"/>
      <c r="E154" s="2"/>
      <c r="F154" s="19">
        <f t="shared" si="28"/>
        <v>0</v>
      </c>
      <c r="G154" s="2"/>
      <c r="H154" s="2">
        <v>460.25</v>
      </c>
      <c r="I154" s="2"/>
      <c r="J154" s="19">
        <f t="shared" si="29"/>
        <v>5.5435963897594999E-4</v>
      </c>
      <c r="K154" s="2"/>
      <c r="L154" s="2">
        <f t="shared" si="30"/>
        <v>-460.25</v>
      </c>
      <c r="M154" s="2"/>
      <c r="N154" s="19">
        <f t="shared" si="31"/>
        <v>-1</v>
      </c>
      <c r="O154" s="11"/>
      <c r="P154" s="2">
        <v>5693.57</v>
      </c>
      <c r="Q154" s="2"/>
      <c r="R154" s="19">
        <f t="shared" si="32"/>
        <v>5.1270105640810124E-4</v>
      </c>
      <c r="S154" s="2"/>
      <c r="T154" s="2">
        <v>5848.83</v>
      </c>
      <c r="U154" s="2"/>
      <c r="V154" s="19">
        <f t="shared" si="33"/>
        <v>4.5696428991149669E-4</v>
      </c>
      <c r="W154" s="2"/>
      <c r="X154" s="2">
        <f t="shared" si="34"/>
        <v>-155.26000000000022</v>
      </c>
      <c r="Y154" s="2"/>
      <c r="Z154" s="19">
        <f t="shared" si="35"/>
        <v>-2.6545480036178213E-2</v>
      </c>
    </row>
    <row r="155" spans="1:26" s="24" customFormat="1" hidden="1" outlineLevel="1" x14ac:dyDescent="0.25">
      <c r="A155" s="44"/>
      <c r="B155" s="11" t="str">
        <f>CONCATENATE("          ", "5040", " - ", "PURCHASES @ COST-LOGO CLOTHING")</f>
        <v xml:space="preserve">          5040 - PURCHASES @ COST-LOGO CLOTHING</v>
      </c>
      <c r="C155" s="11"/>
      <c r="D155" s="2">
        <v>8012.9</v>
      </c>
      <c r="E155" s="2"/>
      <c r="F155" s="19">
        <f t="shared" si="28"/>
        <v>1.7106016549087395E-2</v>
      </c>
      <c r="G155" s="2"/>
      <c r="H155" s="2">
        <v>64538.15</v>
      </c>
      <c r="I155" s="2"/>
      <c r="J155" s="19">
        <f t="shared" si="29"/>
        <v>7.773459105741598E-2</v>
      </c>
      <c r="K155" s="2"/>
      <c r="L155" s="2">
        <f t="shared" si="30"/>
        <v>-56525.25</v>
      </c>
      <c r="M155" s="2"/>
      <c r="N155" s="19">
        <f t="shared" si="31"/>
        <v>-0.87584242808323443</v>
      </c>
      <c r="O155" s="11"/>
      <c r="P155" s="2">
        <v>974911.44</v>
      </c>
      <c r="Q155" s="2"/>
      <c r="R155" s="19">
        <f t="shared" si="32"/>
        <v>8.7789932360951603E-2</v>
      </c>
      <c r="S155" s="2"/>
      <c r="T155" s="2">
        <v>1004849.15</v>
      </c>
      <c r="U155" s="2"/>
      <c r="V155" s="19">
        <f t="shared" si="33"/>
        <v>7.8508039778540512E-2</v>
      </c>
      <c r="W155" s="2"/>
      <c r="X155" s="2">
        <f t="shared" si="34"/>
        <v>-29937.710000000079</v>
      </c>
      <c r="Y155" s="2"/>
      <c r="Z155" s="19">
        <f t="shared" si="35"/>
        <v>-2.9793238119373518E-2</v>
      </c>
    </row>
    <row r="156" spans="1:26" s="24" customFormat="1" hidden="1" outlineLevel="1" x14ac:dyDescent="0.25">
      <c r="A156" s="44"/>
      <c r="B156" s="11" t="str">
        <f>CONCATENATE("          ", "5041", " - ", "PURCHASES @ COST-LOGO GIFTS")</f>
        <v xml:space="preserve">          5041 - PURCHASES @ COST-LOGO GIFTS</v>
      </c>
      <c r="C156" s="11"/>
      <c r="D156" s="2">
        <v>-4050.7</v>
      </c>
      <c r="E156" s="2"/>
      <c r="F156" s="19">
        <f t="shared" si="28"/>
        <v>-8.6474736032383179E-3</v>
      </c>
      <c r="G156" s="2"/>
      <c r="H156" s="2">
        <v>29207.06</v>
      </c>
      <c r="I156" s="2"/>
      <c r="J156" s="19">
        <f t="shared" si="29"/>
        <v>3.5179174877020991E-2</v>
      </c>
      <c r="K156" s="2"/>
      <c r="L156" s="2">
        <f t="shared" si="30"/>
        <v>-33257.760000000002</v>
      </c>
      <c r="M156" s="2"/>
      <c r="N156" s="19">
        <f t="shared" si="31"/>
        <v>-1.1386890703822981</v>
      </c>
      <c r="O156" s="11"/>
      <c r="P156" s="2">
        <v>145460.03</v>
      </c>
      <c r="Q156" s="2"/>
      <c r="R156" s="19">
        <f t="shared" si="32"/>
        <v>1.3098549951287874E-2</v>
      </c>
      <c r="S156" s="2"/>
      <c r="T156" s="2">
        <v>245362.05000000002</v>
      </c>
      <c r="U156" s="2"/>
      <c r="V156" s="19">
        <f t="shared" si="33"/>
        <v>1.9169935687903251E-2</v>
      </c>
      <c r="W156" s="2"/>
      <c r="X156" s="2">
        <f t="shared" si="34"/>
        <v>-99902.020000000019</v>
      </c>
      <c r="Y156" s="2"/>
      <c r="Z156" s="19">
        <f t="shared" si="35"/>
        <v>-0.40716166171581958</v>
      </c>
    </row>
    <row r="157" spans="1:26" s="24" customFormat="1" hidden="1" outlineLevel="1" x14ac:dyDescent="0.25">
      <c r="A157" s="44"/>
      <c r="B157" s="11" t="str">
        <f>CONCATENATE("          ", "5042", " - ", "PURCHASES @ COST-EVERYDAY GIFT")</f>
        <v xml:space="preserve">          5042 - PURCHASES @ COST-EVERYDAY GIFT</v>
      </c>
      <c r="C157" s="11"/>
      <c r="D157" s="2">
        <v>521.79999999999995</v>
      </c>
      <c r="E157" s="2"/>
      <c r="F157" s="19">
        <f t="shared" si="28"/>
        <v>1.1139436952057062E-3</v>
      </c>
      <c r="G157" s="2"/>
      <c r="H157" s="2">
        <v>11596.65</v>
      </c>
      <c r="I157" s="2"/>
      <c r="J157" s="19">
        <f t="shared" si="29"/>
        <v>1.3967875518371429E-2</v>
      </c>
      <c r="K157" s="2"/>
      <c r="L157" s="2">
        <f t="shared" si="30"/>
        <v>-11074.85</v>
      </c>
      <c r="M157" s="2"/>
      <c r="N157" s="19">
        <f t="shared" si="31"/>
        <v>-0.95500424691613528</v>
      </c>
      <c r="O157" s="11"/>
      <c r="P157" s="2">
        <v>115885.04</v>
      </c>
      <c r="Q157" s="2"/>
      <c r="R157" s="19">
        <f t="shared" si="32"/>
        <v>1.0435347669370021E-2</v>
      </c>
      <c r="S157" s="2"/>
      <c r="T157" s="2">
        <v>130164.17000000001</v>
      </c>
      <c r="U157" s="2"/>
      <c r="V157" s="19">
        <f t="shared" si="33"/>
        <v>1.0169619824130527E-2</v>
      </c>
      <c r="W157" s="2"/>
      <c r="X157" s="2">
        <f t="shared" si="34"/>
        <v>-14279.130000000019</v>
      </c>
      <c r="Y157" s="2"/>
      <c r="Z157" s="19">
        <f t="shared" si="35"/>
        <v>-0.10970092614580508</v>
      </c>
    </row>
    <row r="158" spans="1:26" s="24" customFormat="1" hidden="1" outlineLevel="1" x14ac:dyDescent="0.25">
      <c r="A158" s="44"/>
      <c r="B158" s="11" t="str">
        <f>CONCATENATE("          ", "5043", " - ", "PURCHASES @ COST-CARDS")</f>
        <v xml:space="preserve">          5043 - PURCHASES @ COST-CARDS</v>
      </c>
      <c r="C158" s="11"/>
      <c r="D158" s="2">
        <v>6137.75</v>
      </c>
      <c r="E158" s="2"/>
      <c r="F158" s="19">
        <f t="shared" si="28"/>
        <v>1.3102928162607941E-2</v>
      </c>
      <c r="G158" s="2"/>
      <c r="H158" s="2">
        <v>978.5</v>
      </c>
      <c r="I158" s="2"/>
      <c r="J158" s="19">
        <f t="shared" si="29"/>
        <v>1.1785788305007433E-3</v>
      </c>
      <c r="K158" s="2"/>
      <c r="L158" s="2">
        <f t="shared" si="30"/>
        <v>5159.25</v>
      </c>
      <c r="M158" s="2"/>
      <c r="N158" s="19">
        <f t="shared" si="31"/>
        <v>5.2726111394992339</v>
      </c>
      <c r="O158" s="11"/>
      <c r="P158" s="2">
        <v>30914.659999999996</v>
      </c>
      <c r="Q158" s="2"/>
      <c r="R158" s="19">
        <f t="shared" si="32"/>
        <v>2.7838384072729886E-3</v>
      </c>
      <c r="S158" s="2"/>
      <c r="T158" s="2">
        <v>4361.58</v>
      </c>
      <c r="U158" s="2"/>
      <c r="V158" s="19">
        <f t="shared" si="33"/>
        <v>3.4076666745181273E-4</v>
      </c>
      <c r="W158" s="2"/>
      <c r="X158" s="2">
        <f t="shared" si="34"/>
        <v>26553.079999999994</v>
      </c>
      <c r="Y158" s="2"/>
      <c r="Z158" s="19">
        <f t="shared" si="35"/>
        <v>6.0879497796670003</v>
      </c>
    </row>
    <row r="159" spans="1:26" s="24" customFormat="1" hidden="1" outlineLevel="1" x14ac:dyDescent="0.25">
      <c r="A159" s="44"/>
      <c r="B159" s="11" t="str">
        <f>CONCATENATE("          ", "5044", " - ", "PURCHASES @ COST-ACCESSORIES")</f>
        <v xml:space="preserve">          5044 - PURCHASES @ COST-ACCESSORIES</v>
      </c>
      <c r="C159" s="11"/>
      <c r="D159" s="2">
        <v>4380</v>
      </c>
      <c r="E159" s="2"/>
      <c r="F159" s="19">
        <f t="shared" si="28"/>
        <v>9.3504664335013286E-3</v>
      </c>
      <c r="G159" s="2"/>
      <c r="H159" s="2">
        <v>1248</v>
      </c>
      <c r="I159" s="2"/>
      <c r="J159" s="19">
        <f t="shared" si="29"/>
        <v>1.5031848548440752E-3</v>
      </c>
      <c r="K159" s="2"/>
      <c r="L159" s="2">
        <f t="shared" si="30"/>
        <v>3132</v>
      </c>
      <c r="M159" s="2"/>
      <c r="N159" s="19">
        <f t="shared" si="31"/>
        <v>2.5096153846153846</v>
      </c>
      <c r="O159" s="11"/>
      <c r="P159" s="2">
        <v>36474.03</v>
      </c>
      <c r="Q159" s="2"/>
      <c r="R159" s="19">
        <f t="shared" si="32"/>
        <v>3.284454869697005E-3</v>
      </c>
      <c r="S159" s="2"/>
      <c r="T159" s="2">
        <v>34227.11</v>
      </c>
      <c r="U159" s="2"/>
      <c r="V159" s="19">
        <f t="shared" si="33"/>
        <v>2.6741360266707508E-3</v>
      </c>
      <c r="W159" s="2"/>
      <c r="X159" s="2">
        <f t="shared" si="34"/>
        <v>2246.9199999999983</v>
      </c>
      <c r="Y159" s="2"/>
      <c r="Z159" s="19">
        <f t="shared" si="35"/>
        <v>6.5647377181421343E-2</v>
      </c>
    </row>
    <row r="160" spans="1:26" s="24" customFormat="1" hidden="1" outlineLevel="1" x14ac:dyDescent="0.25">
      <c r="A160" s="44"/>
      <c r="B160" s="11" t="str">
        <f>CONCATENATE("          ", "5045", " - ", "PURCHASES @ COST-SPECIAL ORDER")</f>
        <v xml:space="preserve">          5045 - PURCHASES @ COST-SPECIAL ORDER</v>
      </c>
      <c r="C160" s="11"/>
      <c r="D160" s="2">
        <v>4221.8999999999996</v>
      </c>
      <c r="E160" s="2"/>
      <c r="F160" s="19">
        <f t="shared" si="28"/>
        <v>9.012953021826314E-3</v>
      </c>
      <c r="G160" s="2"/>
      <c r="H160" s="2">
        <v>30972.289999999997</v>
      </c>
      <c r="I160" s="2"/>
      <c r="J160" s="19">
        <f t="shared" si="29"/>
        <v>3.7305350358845024E-2</v>
      </c>
      <c r="K160" s="2"/>
      <c r="L160" s="2">
        <f t="shared" si="30"/>
        <v>-26750.39</v>
      </c>
      <c r="M160" s="2"/>
      <c r="N160" s="19">
        <f t="shared" si="31"/>
        <v>-0.86368783192976695</v>
      </c>
      <c r="O160" s="11"/>
      <c r="P160" s="2">
        <v>61923.149999999994</v>
      </c>
      <c r="Q160" s="2"/>
      <c r="R160" s="19">
        <f t="shared" si="32"/>
        <v>5.5761261249299317E-3</v>
      </c>
      <c r="S160" s="2"/>
      <c r="T160" s="2">
        <v>99636.95</v>
      </c>
      <c r="U160" s="2"/>
      <c r="V160" s="19">
        <f t="shared" si="33"/>
        <v>7.7845531680177573E-3</v>
      </c>
      <c r="W160" s="2"/>
      <c r="X160" s="2">
        <f t="shared" si="34"/>
        <v>-37713.800000000003</v>
      </c>
      <c r="Y160" s="2"/>
      <c r="Z160" s="19">
        <f t="shared" si="35"/>
        <v>-0.37851218850035057</v>
      </c>
    </row>
    <row r="161" spans="1:26" s="24" customFormat="1" hidden="1" outlineLevel="1" x14ac:dyDescent="0.25">
      <c r="A161" s="44"/>
      <c r="B161" s="11" t="str">
        <f>CONCATENATE("          ", "5081", " - ", "PURCHASES @ COST-ELECTRONICS")</f>
        <v xml:space="preserve">          5081 - PURCHASES @ COST-ELECTRONICS</v>
      </c>
      <c r="C161" s="11"/>
      <c r="D161" s="2">
        <v>-6200.47</v>
      </c>
      <c r="E161" s="2"/>
      <c r="F161" s="19">
        <f t="shared" si="28"/>
        <v>-1.323682342624018E-2</v>
      </c>
      <c r="G161" s="2"/>
      <c r="H161" s="2">
        <v>5419.24</v>
      </c>
      <c r="I161" s="2"/>
      <c r="J161" s="19">
        <f t="shared" si="29"/>
        <v>6.527339337151607E-3</v>
      </c>
      <c r="K161" s="2"/>
      <c r="L161" s="2">
        <f t="shared" si="30"/>
        <v>-11619.71</v>
      </c>
      <c r="M161" s="2"/>
      <c r="N161" s="19">
        <f t="shared" si="31"/>
        <v>-2.1441585905034652</v>
      </c>
      <c r="O161" s="11"/>
      <c r="P161" s="2">
        <v>258832.17</v>
      </c>
      <c r="Q161" s="2"/>
      <c r="R161" s="19">
        <f t="shared" si="32"/>
        <v>2.3307613148060225E-2</v>
      </c>
      <c r="S161" s="2"/>
      <c r="T161" s="2">
        <v>195637.62</v>
      </c>
      <c r="U161" s="2"/>
      <c r="V161" s="19">
        <f t="shared" si="33"/>
        <v>1.5285006762596148E-2</v>
      </c>
      <c r="W161" s="2"/>
      <c r="X161" s="2">
        <f t="shared" si="34"/>
        <v>63194.550000000017</v>
      </c>
      <c r="Y161" s="2"/>
      <c r="Z161" s="19">
        <f t="shared" si="35"/>
        <v>0.3230183949283375</v>
      </c>
    </row>
    <row r="162" spans="1:26" s="24" customFormat="1" hidden="1" outlineLevel="1" x14ac:dyDescent="0.25">
      <c r="A162" s="44"/>
      <c r="B162" s="11" t="str">
        <f>CONCATENATE("          ", "5082", " - ", "PURCHASES @ COST-COMPUTER HARD")</f>
        <v xml:space="preserve">          5082 - PURCHASES @ COST-COMPUTER HARD</v>
      </c>
      <c r="C162" s="11"/>
      <c r="D162" s="2">
        <v>119657.48</v>
      </c>
      <c r="E162" s="2"/>
      <c r="F162" s="19">
        <f t="shared" si="28"/>
        <v>0.25544594754734168</v>
      </c>
      <c r="G162" s="2"/>
      <c r="H162" s="2">
        <v>272016.14</v>
      </c>
      <c r="I162" s="2"/>
      <c r="J162" s="19">
        <f t="shared" si="29"/>
        <v>0.32763665218040516</v>
      </c>
      <c r="K162" s="2"/>
      <c r="L162" s="2">
        <f t="shared" si="30"/>
        <v>-152358.66000000003</v>
      </c>
      <c r="M162" s="2"/>
      <c r="N162" s="19">
        <f t="shared" si="31"/>
        <v>-0.56010889647945161</v>
      </c>
      <c r="O162" s="11"/>
      <c r="P162" s="2">
        <v>1500831.8699999999</v>
      </c>
      <c r="Q162" s="2"/>
      <c r="R162" s="19">
        <f t="shared" si="32"/>
        <v>0.13514861242418133</v>
      </c>
      <c r="S162" s="2"/>
      <c r="T162" s="2">
        <v>1608969.85</v>
      </c>
      <c r="U162" s="2"/>
      <c r="V162" s="19">
        <f t="shared" si="33"/>
        <v>0.12570749448936924</v>
      </c>
      <c r="W162" s="2"/>
      <c r="X162" s="2">
        <f t="shared" si="34"/>
        <v>-108137.98000000021</v>
      </c>
      <c r="Y162" s="2"/>
      <c r="Z162" s="19">
        <f t="shared" si="35"/>
        <v>-6.7209450817241986E-2</v>
      </c>
    </row>
    <row r="163" spans="1:26" s="24" customFormat="1" hidden="1" outlineLevel="1" x14ac:dyDescent="0.25">
      <c r="A163" s="44"/>
      <c r="B163" s="11" t="str">
        <f>CONCATENATE("          ", "5083", " - ", "PURCHASES @ COST-COMPUTER EQUI")</f>
        <v xml:space="preserve">          5083 - PURCHASES @ COST-COMPUTER EQUI</v>
      </c>
      <c r="C163" s="11"/>
      <c r="D163" s="2">
        <v>2539.54</v>
      </c>
      <c r="E163" s="2"/>
      <c r="F163" s="19">
        <f t="shared" si="28"/>
        <v>5.4214345950990787E-3</v>
      </c>
      <c r="G163" s="2"/>
      <c r="H163" s="2">
        <v>6608.01</v>
      </c>
      <c r="I163" s="2"/>
      <c r="J163" s="19">
        <f t="shared" si="29"/>
        <v>7.9591831351427857E-3</v>
      </c>
      <c r="K163" s="2"/>
      <c r="L163" s="2">
        <f t="shared" si="30"/>
        <v>-4068.4700000000003</v>
      </c>
      <c r="M163" s="2"/>
      <c r="N163" s="19">
        <f t="shared" si="31"/>
        <v>-0.61568762759136264</v>
      </c>
      <c r="O163" s="11"/>
      <c r="P163" s="2">
        <v>80412.33</v>
      </c>
      <c r="Q163" s="2"/>
      <c r="R163" s="19">
        <f t="shared" si="32"/>
        <v>7.2410608000317645E-3</v>
      </c>
      <c r="S163" s="2"/>
      <c r="T163" s="2">
        <v>101902.11</v>
      </c>
      <c r="U163" s="2"/>
      <c r="V163" s="19">
        <f t="shared" si="33"/>
        <v>7.9615282606321659E-3</v>
      </c>
      <c r="W163" s="2"/>
      <c r="X163" s="2">
        <f t="shared" si="34"/>
        <v>-21489.78</v>
      </c>
      <c r="Y163" s="2"/>
      <c r="Z163" s="19">
        <f t="shared" si="35"/>
        <v>-0.21088650666801698</v>
      </c>
    </row>
    <row r="164" spans="1:26" s="24" customFormat="1" hidden="1" outlineLevel="1" x14ac:dyDescent="0.25">
      <c r="A164" s="44"/>
      <c r="B164" s="11" t="str">
        <f>CONCATENATE("          ", "5084", " - ", "PURCHASES @ COST-SOFTWARE LICE")</f>
        <v xml:space="preserve">          5084 - PURCHASES @ COST-SOFTWARE LICE</v>
      </c>
      <c r="C164" s="11"/>
      <c r="D164" s="2"/>
      <c r="E164" s="2"/>
      <c r="F164" s="19">
        <f t="shared" si="28"/>
        <v>0</v>
      </c>
      <c r="G164" s="2"/>
      <c r="H164" s="2">
        <v>79</v>
      </c>
      <c r="I164" s="2"/>
      <c r="J164" s="19">
        <f t="shared" si="29"/>
        <v>9.5153528471700268E-5</v>
      </c>
      <c r="K164" s="2"/>
      <c r="L164" s="2">
        <f t="shared" si="30"/>
        <v>-79</v>
      </c>
      <c r="M164" s="2"/>
      <c r="N164" s="19">
        <f t="shared" si="31"/>
        <v>-1</v>
      </c>
      <c r="O164" s="11"/>
      <c r="P164" s="2">
        <v>2728</v>
      </c>
      <c r="Q164" s="2"/>
      <c r="R164" s="19">
        <f t="shared" si="32"/>
        <v>2.4565404164369635E-4</v>
      </c>
      <c r="S164" s="2"/>
      <c r="T164" s="2">
        <v>5183</v>
      </c>
      <c r="U164" s="2"/>
      <c r="V164" s="19">
        <f t="shared" si="33"/>
        <v>4.0494353821384578E-4</v>
      </c>
      <c r="W164" s="2"/>
      <c r="X164" s="2">
        <f t="shared" si="34"/>
        <v>-2455</v>
      </c>
      <c r="Y164" s="2"/>
      <c r="Z164" s="19">
        <f t="shared" si="35"/>
        <v>-0.47366390121551227</v>
      </c>
    </row>
    <row r="165" spans="1:26" s="24" customFormat="1" hidden="1" outlineLevel="1" x14ac:dyDescent="0.25">
      <c r="A165" s="44"/>
      <c r="B165" s="11" t="str">
        <f>CONCATENATE("          ", "5085", " - ", "PURCHASES @ COST-SOFTWARE")</f>
        <v xml:space="preserve">          5085 - PURCHASES @ COST-SOFTWARE</v>
      </c>
      <c r="C165" s="11"/>
      <c r="D165" s="2">
        <v>2504.11</v>
      </c>
      <c r="E165" s="2"/>
      <c r="F165" s="19">
        <f t="shared" si="28"/>
        <v>5.3457982878527431E-3</v>
      </c>
      <c r="G165" s="2"/>
      <c r="H165" s="2">
        <v>580.01</v>
      </c>
      <c r="I165" s="2"/>
      <c r="J165" s="19">
        <f t="shared" si="29"/>
        <v>6.9860757023887182E-4</v>
      </c>
      <c r="K165" s="2"/>
      <c r="L165" s="2">
        <f t="shared" si="30"/>
        <v>1924.1000000000001</v>
      </c>
      <c r="M165" s="2"/>
      <c r="N165" s="19">
        <f t="shared" si="31"/>
        <v>3.3173565973000469</v>
      </c>
      <c r="O165" s="11"/>
      <c r="P165" s="2">
        <v>11666.5</v>
      </c>
      <c r="Q165" s="2"/>
      <c r="R165" s="19">
        <f t="shared" si="32"/>
        <v>1.0505582393094514E-3</v>
      </c>
      <c r="S165" s="2"/>
      <c r="T165" s="2">
        <v>10860.37</v>
      </c>
      <c r="U165" s="2"/>
      <c r="V165" s="19">
        <f t="shared" si="33"/>
        <v>8.4851179897964583E-4</v>
      </c>
      <c r="W165" s="2"/>
      <c r="X165" s="2">
        <f t="shared" si="34"/>
        <v>806.1299999999992</v>
      </c>
      <c r="Y165" s="2"/>
      <c r="Z165" s="19">
        <f t="shared" si="35"/>
        <v>7.4226752863852621E-2</v>
      </c>
    </row>
    <row r="166" spans="1:26" s="24" customFormat="1" hidden="1" outlineLevel="1" x14ac:dyDescent="0.25">
      <c r="A166" s="44"/>
      <c r="B166" s="11" t="str">
        <f>CONCATENATE("          ", "5086", " - ", "PURCHASES @ COST-COMPUTER SUPP")</f>
        <v xml:space="preserve">          5086 - PURCHASES @ COST-COMPUTER SUPP</v>
      </c>
      <c r="C166" s="11"/>
      <c r="D166" s="2"/>
      <c r="E166" s="2"/>
      <c r="F166" s="19">
        <f t="shared" si="28"/>
        <v>0</v>
      </c>
      <c r="G166" s="2"/>
      <c r="H166" s="2">
        <v>7719.73</v>
      </c>
      <c r="I166" s="2"/>
      <c r="J166" s="19">
        <f t="shared" si="29"/>
        <v>9.2982221309979574E-3</v>
      </c>
      <c r="K166" s="2"/>
      <c r="L166" s="2">
        <f t="shared" si="30"/>
        <v>-7719.73</v>
      </c>
      <c r="M166" s="2"/>
      <c r="N166" s="19">
        <f t="shared" si="31"/>
        <v>-1</v>
      </c>
      <c r="O166" s="11"/>
      <c r="P166" s="2">
        <v>30376.769999999997</v>
      </c>
      <c r="Q166" s="2"/>
      <c r="R166" s="19">
        <f t="shared" si="32"/>
        <v>2.7354018777789534E-3</v>
      </c>
      <c r="S166" s="2"/>
      <c r="T166" s="2">
        <v>56383.44</v>
      </c>
      <c r="U166" s="2"/>
      <c r="V166" s="19">
        <f t="shared" si="33"/>
        <v>4.4051919140011735E-3</v>
      </c>
      <c r="W166" s="2"/>
      <c r="X166" s="2">
        <f t="shared" si="34"/>
        <v>-26006.670000000006</v>
      </c>
      <c r="Y166" s="2"/>
      <c r="Z166" s="19">
        <f t="shared" si="35"/>
        <v>-0.46124660006555124</v>
      </c>
    </row>
    <row r="167" spans="1:26" s="24" customFormat="1" hidden="1" outlineLevel="1" x14ac:dyDescent="0.25">
      <c r="A167" s="44"/>
      <c r="B167" s="11" t="str">
        <f>CONCATENATE("          ", "5088", " - ", "PURCHASES @ COST-MUSIC")</f>
        <v xml:space="preserve">          5088 - PURCHASES @ COST-MUSIC</v>
      </c>
      <c r="C167" s="11"/>
      <c r="D167" s="2"/>
      <c r="E167" s="2"/>
      <c r="F167" s="19">
        <f t="shared" si="28"/>
        <v>0</v>
      </c>
      <c r="G167" s="2"/>
      <c r="H167" s="2"/>
      <c r="I167" s="2"/>
      <c r="J167" s="19">
        <f t="shared" si="29"/>
        <v>0</v>
      </c>
      <c r="K167" s="2"/>
      <c r="L167" s="2">
        <f t="shared" si="30"/>
        <v>0</v>
      </c>
      <c r="M167" s="2"/>
      <c r="N167" s="19">
        <f t="shared" si="31"/>
        <v>0</v>
      </c>
      <c r="O167" s="11"/>
      <c r="P167" s="2">
        <v>95.65</v>
      </c>
      <c r="Q167" s="2"/>
      <c r="R167" s="19">
        <f t="shared" si="32"/>
        <v>8.6131998105643534E-6</v>
      </c>
      <c r="S167" s="2"/>
      <c r="T167" s="2">
        <v>0</v>
      </c>
      <c r="U167" s="2"/>
      <c r="V167" s="19">
        <f t="shared" si="33"/>
        <v>0</v>
      </c>
      <c r="W167" s="2"/>
      <c r="X167" s="2">
        <f t="shared" si="34"/>
        <v>95.65</v>
      </c>
      <c r="Y167" s="2"/>
      <c r="Z167" s="19">
        <f t="shared" si="35"/>
        <v>0</v>
      </c>
    </row>
    <row r="168" spans="1:26" s="24" customFormat="1" hidden="1" outlineLevel="1" x14ac:dyDescent="0.25">
      <c r="A168" s="44"/>
      <c r="B168" s="11" t="str">
        <f>CONCATENATE("          ", "5092", " - ", "PURCHASES @ COST-GRAD MERCH")</f>
        <v xml:space="preserve">          5092 - PURCHASES @ COST-GRAD MERCH</v>
      </c>
      <c r="C168" s="11"/>
      <c r="D168" s="2">
        <v>5539.35</v>
      </c>
      <c r="E168" s="2"/>
      <c r="F168" s="19">
        <f t="shared" si="28"/>
        <v>1.1825458045300363E-2</v>
      </c>
      <c r="G168" s="2"/>
      <c r="H168" s="2">
        <v>27387.5</v>
      </c>
      <c r="I168" s="2"/>
      <c r="J168" s="19">
        <f t="shared" si="29"/>
        <v>3.2987560266059382E-2</v>
      </c>
      <c r="K168" s="2"/>
      <c r="L168" s="2">
        <f t="shared" si="30"/>
        <v>-21848.15</v>
      </c>
      <c r="M168" s="2"/>
      <c r="N168" s="19">
        <f t="shared" si="31"/>
        <v>-0.79774167047010502</v>
      </c>
      <c r="O168" s="11"/>
      <c r="P168" s="2">
        <v>8485.48</v>
      </c>
      <c r="Q168" s="2"/>
      <c r="R168" s="19">
        <f t="shared" si="32"/>
        <v>7.6411013830159546E-4</v>
      </c>
      <c r="S168" s="2"/>
      <c r="T168" s="2">
        <v>35607.46</v>
      </c>
      <c r="U168" s="2"/>
      <c r="V168" s="19">
        <f t="shared" si="33"/>
        <v>2.7819816398240368E-3</v>
      </c>
      <c r="W168" s="2"/>
      <c r="X168" s="2">
        <f t="shared" si="34"/>
        <v>-27121.98</v>
      </c>
      <c r="Y168" s="2"/>
      <c r="Z168" s="19">
        <f t="shared" si="35"/>
        <v>-0.76169375743172918</v>
      </c>
    </row>
    <row r="169" spans="1:26" s="24" customFormat="1" hidden="1" outlineLevel="1" x14ac:dyDescent="0.25">
      <c r="A169" s="44"/>
      <c r="B169" s="11" t="str">
        <f>CONCATENATE("          ", "5095", " - ", "PURCHASES @ COST-CUSTOMER SERV")</f>
        <v xml:space="preserve">          5095 - PURCHASES @ COST-CUSTOMER SERV</v>
      </c>
      <c r="C169" s="11"/>
      <c r="D169" s="2"/>
      <c r="E169" s="2"/>
      <c r="F169" s="19">
        <f t="shared" si="28"/>
        <v>0</v>
      </c>
      <c r="G169" s="2"/>
      <c r="H169" s="2">
        <v>0</v>
      </c>
      <c r="I169" s="2"/>
      <c r="J169" s="19">
        <f t="shared" si="29"/>
        <v>0</v>
      </c>
      <c r="K169" s="2"/>
      <c r="L169" s="2">
        <f t="shared" si="30"/>
        <v>0</v>
      </c>
      <c r="M169" s="2"/>
      <c r="N169" s="19">
        <f t="shared" si="31"/>
        <v>0</v>
      </c>
      <c r="O169" s="11"/>
      <c r="P169" s="2">
        <v>0</v>
      </c>
      <c r="Q169" s="2"/>
      <c r="R169" s="19">
        <f t="shared" si="32"/>
        <v>0</v>
      </c>
      <c r="S169" s="2"/>
      <c r="T169" s="2">
        <v>0</v>
      </c>
      <c r="U169" s="2"/>
      <c r="V169" s="19">
        <f t="shared" si="33"/>
        <v>0</v>
      </c>
      <c r="W169" s="2"/>
      <c r="X169" s="2">
        <f t="shared" si="34"/>
        <v>0</v>
      </c>
      <c r="Y169" s="2"/>
      <c r="Z169" s="19">
        <f t="shared" si="35"/>
        <v>0</v>
      </c>
    </row>
    <row r="170" spans="1:26" s="24" customFormat="1" hidden="1" outlineLevel="1" x14ac:dyDescent="0.25">
      <c r="A170" s="44"/>
      <c r="B170" s="11" t="str">
        <f>CONCATENATE("          ", "5200", " - ", "PURCHASES OFFSET")</f>
        <v xml:space="preserve">          5200 - PURCHASES OFFSET</v>
      </c>
      <c r="C170" s="11"/>
      <c r="D170" s="2">
        <v>-169098</v>
      </c>
      <c r="E170" s="2"/>
      <c r="F170" s="19">
        <f t="shared" si="28"/>
        <v>-0.36099204862379169</v>
      </c>
      <c r="G170" s="2"/>
      <c r="H170" s="2">
        <v>-227451</v>
      </c>
      <c r="I170" s="2"/>
      <c r="J170" s="19">
        <f t="shared" si="29"/>
        <v>-0.27395905322046454</v>
      </c>
      <c r="K170" s="2"/>
      <c r="L170" s="2">
        <f t="shared" si="30"/>
        <v>58353</v>
      </c>
      <c r="M170" s="2"/>
      <c r="N170" s="19">
        <f t="shared" si="31"/>
        <v>-0.25655196064207236</v>
      </c>
      <c r="O170" s="11"/>
      <c r="P170" s="2">
        <v>-5300591</v>
      </c>
      <c r="Q170" s="2"/>
      <c r="R170" s="19">
        <f t="shared" si="32"/>
        <v>-0.47731363718849051</v>
      </c>
      <c r="S170" s="2"/>
      <c r="T170" s="2">
        <v>-5877060</v>
      </c>
      <c r="U170" s="2"/>
      <c r="V170" s="19">
        <f t="shared" si="33"/>
        <v>-0.45916987665349496</v>
      </c>
      <c r="W170" s="2"/>
      <c r="X170" s="2">
        <f t="shared" si="34"/>
        <v>576469</v>
      </c>
      <c r="Y170" s="2"/>
      <c r="Z170" s="19">
        <f t="shared" si="35"/>
        <v>-9.80879895730178E-2</v>
      </c>
    </row>
    <row r="171" spans="1:26" s="24" customFormat="1" hidden="1" outlineLevel="1" x14ac:dyDescent="0.25">
      <c r="A171" s="44"/>
      <c r="B171" s="11" t="str">
        <f>CONCATENATE("          ", "5300", " - ", "COG$ OFFSET")</f>
        <v xml:space="preserve">          5300 - COG$ OFFSET</v>
      </c>
      <c r="C171" s="11"/>
      <c r="D171" s="2">
        <v>320186</v>
      </c>
      <c r="E171" s="2"/>
      <c r="F171" s="19">
        <f t="shared" si="28"/>
        <v>0.68353617476645123</v>
      </c>
      <c r="G171" s="2"/>
      <c r="H171" s="2">
        <v>453421</v>
      </c>
      <c r="I171" s="2"/>
      <c r="J171" s="19">
        <f t="shared" si="29"/>
        <v>0.54613427890084565</v>
      </c>
      <c r="K171" s="2"/>
      <c r="L171" s="2">
        <f t="shared" si="30"/>
        <v>-133235</v>
      </c>
      <c r="M171" s="2"/>
      <c r="N171" s="19">
        <f t="shared" si="31"/>
        <v>-0.29384391106719804</v>
      </c>
      <c r="O171" s="11"/>
      <c r="P171" s="2">
        <v>5919893.4700000007</v>
      </c>
      <c r="Q171" s="2"/>
      <c r="R171" s="19">
        <f t="shared" si="32"/>
        <v>0.53308128922493636</v>
      </c>
      <c r="S171" s="2"/>
      <c r="T171" s="2">
        <v>6594796</v>
      </c>
      <c r="U171" s="2"/>
      <c r="V171" s="19">
        <f t="shared" si="33"/>
        <v>0.51524600155093903</v>
      </c>
      <c r="W171" s="2"/>
      <c r="X171" s="2">
        <f t="shared" si="34"/>
        <v>-674902.52999999933</v>
      </c>
      <c r="Y171" s="2"/>
      <c r="Z171" s="19">
        <f t="shared" si="35"/>
        <v>-0.10233865156708401</v>
      </c>
    </row>
    <row r="172" spans="1:26" s="24" customFormat="1" hidden="1" outlineLevel="1" x14ac:dyDescent="0.25">
      <c r="A172" s="44"/>
      <c r="B172" s="11" t="str">
        <f>CONCATENATE("          ", "5500", " - ", "FREIGHT-IN")</f>
        <v xml:space="preserve">          5500 - FREIGHT-IN</v>
      </c>
      <c r="C172" s="11"/>
      <c r="D172" s="2"/>
      <c r="E172" s="2"/>
      <c r="F172" s="19">
        <f t="shared" si="28"/>
        <v>0</v>
      </c>
      <c r="G172" s="2"/>
      <c r="H172" s="2"/>
      <c r="I172" s="2"/>
      <c r="J172" s="19">
        <f t="shared" si="29"/>
        <v>0</v>
      </c>
      <c r="K172" s="2"/>
      <c r="L172" s="2">
        <f t="shared" si="30"/>
        <v>0</v>
      </c>
      <c r="M172" s="2"/>
      <c r="N172" s="19">
        <f t="shared" si="31"/>
        <v>0</v>
      </c>
      <c r="O172" s="11"/>
      <c r="P172" s="2">
        <v>156.47999999999999</v>
      </c>
      <c r="Q172" s="2"/>
      <c r="R172" s="19">
        <f t="shared" si="32"/>
        <v>1.4090888723022582E-5</v>
      </c>
      <c r="S172" s="2"/>
      <c r="T172" s="2">
        <v>188.91</v>
      </c>
      <c r="U172" s="2"/>
      <c r="V172" s="19">
        <f t="shared" si="33"/>
        <v>1.4759383330885125E-5</v>
      </c>
      <c r="W172" s="2"/>
      <c r="X172" s="2">
        <f t="shared" si="34"/>
        <v>-32.430000000000007</v>
      </c>
      <c r="Y172" s="2"/>
      <c r="Z172" s="19">
        <f t="shared" si="35"/>
        <v>-0.17166904875337466</v>
      </c>
    </row>
    <row r="173" spans="1:26" s="24" customFormat="1" hidden="1" outlineLevel="1" x14ac:dyDescent="0.25">
      <c r="A173" s="44"/>
      <c r="B173" s="11" t="str">
        <f>CONCATENATE("          ", "5501", " - ", "FREIGHT-IN-NEW TEXT")</f>
        <v xml:space="preserve">          5501 - FREIGHT-IN-NEW TEXT</v>
      </c>
      <c r="C173" s="11"/>
      <c r="D173" s="2">
        <v>2428.4</v>
      </c>
      <c r="E173" s="2"/>
      <c r="F173" s="19">
        <f t="shared" si="28"/>
        <v>5.1841718463732029E-3</v>
      </c>
      <c r="G173" s="2"/>
      <c r="H173" s="2">
        <v>105.61</v>
      </c>
      <c r="I173" s="2"/>
      <c r="J173" s="19">
        <f t="shared" si="29"/>
        <v>1.2720460939109196E-4</v>
      </c>
      <c r="K173" s="2"/>
      <c r="L173" s="2">
        <f t="shared" si="30"/>
        <v>2322.79</v>
      </c>
      <c r="M173" s="2"/>
      <c r="N173" s="19">
        <f t="shared" si="31"/>
        <v>21.994034655809109</v>
      </c>
      <c r="O173" s="11"/>
      <c r="P173" s="2">
        <v>69768.95</v>
      </c>
      <c r="Q173" s="2"/>
      <c r="R173" s="19">
        <f t="shared" si="32"/>
        <v>6.282633632234959E-3</v>
      </c>
      <c r="S173" s="2"/>
      <c r="T173" s="2">
        <v>62766.54</v>
      </c>
      <c r="U173" s="2"/>
      <c r="V173" s="19">
        <f t="shared" si="33"/>
        <v>4.9038982807333353E-3</v>
      </c>
      <c r="W173" s="2"/>
      <c r="X173" s="2">
        <f t="shared" si="34"/>
        <v>7002.4099999999962</v>
      </c>
      <c r="Y173" s="2"/>
      <c r="Z173" s="19">
        <f t="shared" si="35"/>
        <v>0.11156278488506768</v>
      </c>
    </row>
    <row r="174" spans="1:26" s="24" customFormat="1" hidden="1" outlineLevel="1" x14ac:dyDescent="0.25">
      <c r="A174" s="44"/>
      <c r="B174" s="11" t="str">
        <f>CONCATENATE("          ", "5502", " - ", "FREIGHT-IN-USED TEXT")</f>
        <v xml:space="preserve">          5502 - FREIGHT-IN-USED TEXT</v>
      </c>
      <c r="C174" s="11"/>
      <c r="D174" s="2">
        <v>36.700000000000003</v>
      </c>
      <c r="E174" s="2"/>
      <c r="F174" s="19">
        <f t="shared" si="28"/>
        <v>7.8347515550113885E-5</v>
      </c>
      <c r="G174" s="2"/>
      <c r="H174" s="2">
        <v>107.69</v>
      </c>
      <c r="I174" s="2"/>
      <c r="J174" s="19">
        <f t="shared" si="29"/>
        <v>1.2970991748249876E-4</v>
      </c>
      <c r="K174" s="2"/>
      <c r="L174" s="2">
        <f t="shared" si="30"/>
        <v>-70.989999999999995</v>
      </c>
      <c r="M174" s="2"/>
      <c r="N174" s="19">
        <f t="shared" si="31"/>
        <v>-0.65920698300677871</v>
      </c>
      <c r="O174" s="11"/>
      <c r="P174" s="2">
        <v>15301.34</v>
      </c>
      <c r="Q174" s="2"/>
      <c r="R174" s="19">
        <f t="shared" si="32"/>
        <v>1.3778724389898668E-3</v>
      </c>
      <c r="S174" s="2"/>
      <c r="T174" s="2">
        <v>13737.1</v>
      </c>
      <c r="U174" s="2"/>
      <c r="V174" s="19">
        <f t="shared" si="33"/>
        <v>1.0732683540029752E-3</v>
      </c>
      <c r="W174" s="2"/>
      <c r="X174" s="2">
        <f t="shared" si="34"/>
        <v>1564.2399999999998</v>
      </c>
      <c r="Y174" s="2"/>
      <c r="Z174" s="19">
        <f t="shared" si="35"/>
        <v>0.11386973961025251</v>
      </c>
    </row>
    <row r="175" spans="1:26" s="24" customFormat="1" hidden="1" outlineLevel="1" x14ac:dyDescent="0.25">
      <c r="A175" s="44"/>
      <c r="B175" s="11" t="str">
        <f>CONCATENATE("          ", "5504", " - ", "FREIGHT-IN-DIGITAL TEXT")</f>
        <v xml:space="preserve">          5504 - FREIGHT-IN-DIGITAL TEXT</v>
      </c>
      <c r="C175" s="11"/>
      <c r="D175" s="2"/>
      <c r="E175" s="2"/>
      <c r="F175" s="19">
        <f t="shared" si="28"/>
        <v>0</v>
      </c>
      <c r="G175" s="2"/>
      <c r="H175" s="2"/>
      <c r="I175" s="2"/>
      <c r="J175" s="19">
        <f t="shared" si="29"/>
        <v>0</v>
      </c>
      <c r="K175" s="2"/>
      <c r="L175" s="2">
        <f t="shared" si="30"/>
        <v>0</v>
      </c>
      <c r="M175" s="2"/>
      <c r="N175" s="19">
        <f t="shared" si="31"/>
        <v>0</v>
      </c>
      <c r="O175" s="11"/>
      <c r="P175" s="2">
        <v>118.75</v>
      </c>
      <c r="Q175" s="2"/>
      <c r="R175" s="19">
        <f t="shared" si="32"/>
        <v>1.0693334840611783E-5</v>
      </c>
      <c r="S175" s="2"/>
      <c r="T175" s="2">
        <v>243.53</v>
      </c>
      <c r="U175" s="2"/>
      <c r="V175" s="19">
        <f t="shared" si="33"/>
        <v>1.9026799124294397E-5</v>
      </c>
      <c r="W175" s="2"/>
      <c r="X175" s="2">
        <f t="shared" si="34"/>
        <v>-124.78</v>
      </c>
      <c r="Y175" s="2"/>
      <c r="Z175" s="19">
        <f t="shared" si="35"/>
        <v>-0.5123804048782491</v>
      </c>
    </row>
    <row r="176" spans="1:26" s="24" customFormat="1" hidden="1" outlineLevel="1" x14ac:dyDescent="0.25">
      <c r="A176" s="44"/>
      <c r="B176" s="11" t="str">
        <f>CONCATENATE("          ", "5513", " - ", "FREIGHT-IN-TRADE BOOKS")</f>
        <v xml:space="preserve">          5513 - FREIGHT-IN-TRADE BOOKS</v>
      </c>
      <c r="C176" s="11"/>
      <c r="D176" s="2"/>
      <c r="E176" s="2"/>
      <c r="F176" s="19">
        <f t="shared" si="28"/>
        <v>0</v>
      </c>
      <c r="G176" s="2"/>
      <c r="H176" s="2">
        <v>40.18</v>
      </c>
      <c r="I176" s="2"/>
      <c r="J176" s="19">
        <f t="shared" si="29"/>
        <v>4.8395807265733122E-5</v>
      </c>
      <c r="K176" s="2"/>
      <c r="L176" s="2">
        <f t="shared" si="30"/>
        <v>-40.18</v>
      </c>
      <c r="M176" s="2"/>
      <c r="N176" s="19">
        <f t="shared" si="31"/>
        <v>-1</v>
      </c>
      <c r="O176" s="11"/>
      <c r="P176" s="2">
        <v>30.24</v>
      </c>
      <c r="Q176" s="2"/>
      <c r="R176" s="19">
        <f t="shared" si="32"/>
        <v>2.7230858575166338E-6</v>
      </c>
      <c r="S176" s="2"/>
      <c r="T176" s="2">
        <v>54.9</v>
      </c>
      <c r="U176" s="2"/>
      <c r="V176" s="19">
        <f t="shared" si="33"/>
        <v>4.2892919637160202E-6</v>
      </c>
      <c r="W176" s="2"/>
      <c r="X176" s="2">
        <f t="shared" si="34"/>
        <v>-24.66</v>
      </c>
      <c r="Y176" s="2"/>
      <c r="Z176" s="19">
        <f t="shared" si="35"/>
        <v>-0.44918032786885248</v>
      </c>
    </row>
    <row r="177" spans="1:26" s="24" customFormat="1" hidden="1" outlineLevel="1" x14ac:dyDescent="0.25">
      <c r="A177" s="44"/>
      <c r="B177" s="11" t="str">
        <f>CONCATENATE("          ", "5518", " - ", "FREIGHT-IN-STUDY GUIDES")</f>
        <v xml:space="preserve">          5518 - FREIGHT-IN-STUDY GUIDES</v>
      </c>
      <c r="C177" s="11"/>
      <c r="D177" s="2"/>
      <c r="E177" s="2"/>
      <c r="F177" s="19">
        <f t="shared" si="28"/>
        <v>0</v>
      </c>
      <c r="G177" s="2"/>
      <c r="H177" s="2"/>
      <c r="I177" s="2"/>
      <c r="J177" s="19">
        <f t="shared" si="29"/>
        <v>0</v>
      </c>
      <c r="K177" s="2"/>
      <c r="L177" s="2">
        <f t="shared" si="30"/>
        <v>0</v>
      </c>
      <c r="M177" s="2"/>
      <c r="N177" s="19">
        <f t="shared" si="31"/>
        <v>0</v>
      </c>
      <c r="O177" s="11"/>
      <c r="P177" s="2">
        <v>21.13</v>
      </c>
      <c r="Q177" s="2"/>
      <c r="R177" s="19">
        <f t="shared" si="32"/>
        <v>1.9027382331126481E-6</v>
      </c>
      <c r="S177" s="2"/>
      <c r="T177" s="2"/>
      <c r="U177" s="2"/>
      <c r="V177" s="19">
        <f t="shared" si="33"/>
        <v>0</v>
      </c>
      <c r="W177" s="2"/>
      <c r="X177" s="2">
        <f t="shared" si="34"/>
        <v>21.13</v>
      </c>
      <c r="Y177" s="2"/>
      <c r="Z177" s="19">
        <f t="shared" si="35"/>
        <v>0</v>
      </c>
    </row>
    <row r="178" spans="1:26" s="24" customFormat="1" hidden="1" outlineLevel="1" x14ac:dyDescent="0.25">
      <c r="A178" s="44"/>
      <c r="B178" s="11" t="str">
        <f>CONCATENATE("          ", "5525", " - ", "FREIGHT-IN-TEST FORMS")</f>
        <v xml:space="preserve">          5525 - FREIGHT-IN-TEST FORMS</v>
      </c>
      <c r="C178" s="11"/>
      <c r="D178" s="2"/>
      <c r="E178" s="2"/>
      <c r="F178" s="19">
        <f t="shared" si="28"/>
        <v>0</v>
      </c>
      <c r="G178" s="2"/>
      <c r="H178" s="2">
        <v>32.04</v>
      </c>
      <c r="I178" s="2"/>
      <c r="J178" s="19">
        <f t="shared" si="29"/>
        <v>3.859138040801616E-5</v>
      </c>
      <c r="K178" s="2"/>
      <c r="L178" s="2">
        <f t="shared" si="30"/>
        <v>-32.04</v>
      </c>
      <c r="M178" s="2"/>
      <c r="N178" s="19">
        <f t="shared" si="31"/>
        <v>-1</v>
      </c>
      <c r="O178" s="11"/>
      <c r="P178" s="2">
        <v>1237.22</v>
      </c>
      <c r="Q178" s="2"/>
      <c r="R178" s="19">
        <f t="shared" si="32"/>
        <v>1.114105914231723E-4</v>
      </c>
      <c r="S178" s="2"/>
      <c r="T178" s="2">
        <v>335.25</v>
      </c>
      <c r="U178" s="2"/>
      <c r="V178" s="19">
        <f t="shared" si="33"/>
        <v>2.6192807483347828E-5</v>
      </c>
      <c r="W178" s="2"/>
      <c r="X178" s="2">
        <f t="shared" si="34"/>
        <v>901.97</v>
      </c>
      <c r="Y178" s="2"/>
      <c r="Z178" s="19">
        <f t="shared" si="35"/>
        <v>2.6904399701715138</v>
      </c>
    </row>
    <row r="179" spans="1:26" s="24" customFormat="1" hidden="1" outlineLevel="1" x14ac:dyDescent="0.25">
      <c r="A179" s="44"/>
      <c r="B179" s="11" t="str">
        <f>CONCATENATE("          ", "5526", " - ", "FREIGHT-IN-WRITING INSTRUMENTS")</f>
        <v xml:space="preserve">          5526 - FREIGHT-IN-WRITING INSTRUMENTS</v>
      </c>
      <c r="C179" s="11"/>
      <c r="D179" s="2"/>
      <c r="E179" s="2"/>
      <c r="F179" s="19">
        <f t="shared" si="28"/>
        <v>0</v>
      </c>
      <c r="G179" s="2"/>
      <c r="H179" s="2">
        <v>100.95</v>
      </c>
      <c r="I179" s="2"/>
      <c r="J179" s="19">
        <f t="shared" si="29"/>
        <v>1.215917556863056E-4</v>
      </c>
      <c r="K179" s="2"/>
      <c r="L179" s="2">
        <f t="shared" si="30"/>
        <v>-100.95</v>
      </c>
      <c r="M179" s="2"/>
      <c r="N179" s="19">
        <f t="shared" si="31"/>
        <v>-1</v>
      </c>
      <c r="O179" s="11"/>
      <c r="P179" s="2">
        <v>260.35000000000002</v>
      </c>
      <c r="Q179" s="2"/>
      <c r="R179" s="19">
        <f t="shared" si="32"/>
        <v>2.3444292427396023E-5</v>
      </c>
      <c r="S179" s="2"/>
      <c r="T179" s="2">
        <v>232.11</v>
      </c>
      <c r="U179" s="2"/>
      <c r="V179" s="19">
        <f t="shared" si="33"/>
        <v>1.8134563892497732E-5</v>
      </c>
      <c r="W179" s="2"/>
      <c r="X179" s="2">
        <f t="shared" si="34"/>
        <v>28.240000000000009</v>
      </c>
      <c r="Y179" s="2"/>
      <c r="Z179" s="19">
        <f t="shared" si="35"/>
        <v>0.12166645125156179</v>
      </c>
    </row>
    <row r="180" spans="1:26" s="24" customFormat="1" hidden="1" outlineLevel="1" x14ac:dyDescent="0.25">
      <c r="A180" s="44"/>
      <c r="B180" s="11" t="str">
        <f>CONCATENATE("          ", "5527", " - ", "FREIGHT-IN-SCHOOL SUPPLIES")</f>
        <v xml:space="preserve">          5527 - FREIGHT-IN-SCHOOL SUPPLIES</v>
      </c>
      <c r="C180" s="11"/>
      <c r="D180" s="2"/>
      <c r="E180" s="2"/>
      <c r="F180" s="19">
        <f t="shared" si="28"/>
        <v>0</v>
      </c>
      <c r="G180" s="2"/>
      <c r="H180" s="2">
        <v>336.32</v>
      </c>
      <c r="I180" s="2"/>
      <c r="J180" s="19">
        <f t="shared" si="29"/>
        <v>4.0508904677977512E-4</v>
      </c>
      <c r="K180" s="2"/>
      <c r="L180" s="2">
        <f t="shared" si="30"/>
        <v>-336.32</v>
      </c>
      <c r="M180" s="2"/>
      <c r="N180" s="19">
        <f t="shared" si="31"/>
        <v>-1</v>
      </c>
      <c r="O180" s="11"/>
      <c r="P180" s="2">
        <v>2058.91</v>
      </c>
      <c r="Q180" s="2"/>
      <c r="R180" s="19">
        <f t="shared" si="32"/>
        <v>1.8540306557207582E-4</v>
      </c>
      <c r="S180" s="2"/>
      <c r="T180" s="2">
        <v>1761.28</v>
      </c>
      <c r="U180" s="2"/>
      <c r="V180" s="19">
        <f t="shared" si="33"/>
        <v>1.3760736156382062E-4</v>
      </c>
      <c r="W180" s="2"/>
      <c r="X180" s="2">
        <f t="shared" si="34"/>
        <v>297.62999999999988</v>
      </c>
      <c r="Y180" s="2"/>
      <c r="Z180" s="19">
        <f t="shared" si="35"/>
        <v>0.16898505632267435</v>
      </c>
    </row>
    <row r="181" spans="1:26" s="24" customFormat="1" hidden="1" outlineLevel="1" x14ac:dyDescent="0.25">
      <c r="A181" s="44"/>
      <c r="B181" s="11" t="str">
        <f>CONCATENATE("          ", "5528", " - ", "FREIGHT-IN-ART/TECH")</f>
        <v xml:space="preserve">          5528 - FREIGHT-IN-ART/TECH</v>
      </c>
      <c r="C181" s="11"/>
      <c r="D181" s="2">
        <v>576.6</v>
      </c>
      <c r="E181" s="2"/>
      <c r="F181" s="19">
        <f t="shared" si="28"/>
        <v>1.2309312661088736E-3</v>
      </c>
      <c r="G181" s="2"/>
      <c r="H181" s="2">
        <v>241.6</v>
      </c>
      <c r="I181" s="2"/>
      <c r="J181" s="19">
        <f t="shared" si="29"/>
        <v>2.910011706172504E-4</v>
      </c>
      <c r="K181" s="2"/>
      <c r="L181" s="2">
        <f t="shared" si="30"/>
        <v>335</v>
      </c>
      <c r="M181" s="2"/>
      <c r="N181" s="19">
        <f t="shared" si="31"/>
        <v>1.38658940397351</v>
      </c>
      <c r="O181" s="11"/>
      <c r="P181" s="2">
        <v>2844.12</v>
      </c>
      <c r="Q181" s="2"/>
      <c r="R181" s="19">
        <f t="shared" si="32"/>
        <v>2.5611054725794343E-4</v>
      </c>
      <c r="S181" s="2"/>
      <c r="T181" s="2">
        <v>7493.84</v>
      </c>
      <c r="U181" s="2"/>
      <c r="V181" s="19">
        <f t="shared" si="33"/>
        <v>5.8548757175544007E-4</v>
      </c>
      <c r="W181" s="2"/>
      <c r="X181" s="2">
        <f t="shared" si="34"/>
        <v>-4649.72</v>
      </c>
      <c r="Y181" s="2"/>
      <c r="Z181" s="19">
        <f t="shared" si="35"/>
        <v>-0.62047228123365328</v>
      </c>
    </row>
    <row r="182" spans="1:26" s="24" customFormat="1" hidden="1" outlineLevel="1" x14ac:dyDescent="0.25">
      <c r="A182" s="44"/>
      <c r="B182" s="11" t="str">
        <f>CONCATENATE("          ", "5540", " - ", "FREIGHT-IN-LOGO CLOTHING")</f>
        <v xml:space="preserve">          5540 - FREIGHT-IN-LOGO CLOTHING</v>
      </c>
      <c r="C182" s="11"/>
      <c r="D182" s="2">
        <v>1044.9100000000001</v>
      </c>
      <c r="E182" s="2"/>
      <c r="F182" s="19">
        <f t="shared" si="28"/>
        <v>2.230683991102711E-3</v>
      </c>
      <c r="G182" s="2"/>
      <c r="H182" s="2">
        <v>4017.61</v>
      </c>
      <c r="I182" s="2"/>
      <c r="J182" s="19">
        <f t="shared" si="29"/>
        <v>4.8391109813061732E-3</v>
      </c>
      <c r="K182" s="2"/>
      <c r="L182" s="2">
        <f t="shared" si="30"/>
        <v>-2972.7</v>
      </c>
      <c r="M182" s="2"/>
      <c r="N182" s="19">
        <f t="shared" si="31"/>
        <v>-0.73991751314836429</v>
      </c>
      <c r="O182" s="11"/>
      <c r="P182" s="2">
        <v>31703.299999999996</v>
      </c>
      <c r="Q182" s="2"/>
      <c r="R182" s="19">
        <f t="shared" si="32"/>
        <v>2.8548547574936208E-3</v>
      </c>
      <c r="S182" s="2"/>
      <c r="T182" s="2">
        <v>29023.84</v>
      </c>
      <c r="U182" s="2"/>
      <c r="V182" s="19">
        <f t="shared" si="33"/>
        <v>2.267608809985056E-3</v>
      </c>
      <c r="W182" s="2"/>
      <c r="X182" s="2">
        <f t="shared" si="34"/>
        <v>2679.4599999999955</v>
      </c>
      <c r="Y182" s="2"/>
      <c r="Z182" s="19">
        <f t="shared" si="35"/>
        <v>9.2319279599115608E-2</v>
      </c>
    </row>
    <row r="183" spans="1:26" s="24" customFormat="1" hidden="1" outlineLevel="1" x14ac:dyDescent="0.25">
      <c r="A183" s="44"/>
      <c r="B183" s="11" t="str">
        <f>CONCATENATE("          ", "5541", " - ", "FREIGHT-IN-LOGO GIFTS")</f>
        <v xml:space="preserve">          5541 - FREIGHT-IN-LOGO GIFTS</v>
      </c>
      <c r="C183" s="11"/>
      <c r="D183" s="2">
        <v>186.99</v>
      </c>
      <c r="E183" s="2"/>
      <c r="F183" s="19">
        <f t="shared" si="28"/>
        <v>3.9918806356173826E-4</v>
      </c>
      <c r="G183" s="2"/>
      <c r="H183" s="2">
        <v>769.17</v>
      </c>
      <c r="I183" s="2"/>
      <c r="J183" s="19">
        <f t="shared" si="29"/>
        <v>9.2644606955161635E-4</v>
      </c>
      <c r="K183" s="2"/>
      <c r="L183" s="2">
        <f t="shared" si="30"/>
        <v>-582.17999999999995</v>
      </c>
      <c r="M183" s="2"/>
      <c r="N183" s="19">
        <f t="shared" si="31"/>
        <v>-0.75689379460977413</v>
      </c>
      <c r="O183" s="11"/>
      <c r="P183" s="2">
        <v>4882.9399999999996</v>
      </c>
      <c r="Q183" s="2"/>
      <c r="R183" s="19">
        <f t="shared" si="32"/>
        <v>4.3970452569782649E-4</v>
      </c>
      <c r="S183" s="2"/>
      <c r="T183" s="2">
        <v>7484.78</v>
      </c>
      <c r="U183" s="2"/>
      <c r="V183" s="19">
        <f t="shared" si="33"/>
        <v>5.8477972138765741E-4</v>
      </c>
      <c r="W183" s="2"/>
      <c r="X183" s="2">
        <f t="shared" si="34"/>
        <v>-2601.84</v>
      </c>
      <c r="Y183" s="2"/>
      <c r="Z183" s="19">
        <f t="shared" si="35"/>
        <v>-0.3476174316412774</v>
      </c>
    </row>
    <row r="184" spans="1:26" s="24" customFormat="1" hidden="1" outlineLevel="1" x14ac:dyDescent="0.25">
      <c r="A184" s="44"/>
      <c r="B184" s="11" t="str">
        <f>CONCATENATE("          ", "5542", " - ", "FREIGHT-IN-EVERYDAY GIFTS")</f>
        <v xml:space="preserve">          5542 - FREIGHT-IN-EVERYDAY GIFTS</v>
      </c>
      <c r="C184" s="11"/>
      <c r="D184" s="2">
        <v>45.1</v>
      </c>
      <c r="E184" s="2"/>
      <c r="F184" s="19">
        <f t="shared" si="28"/>
        <v>9.6279916929431503E-5</v>
      </c>
      <c r="G184" s="2"/>
      <c r="H184" s="2">
        <v>86.05</v>
      </c>
      <c r="I184" s="2"/>
      <c r="J184" s="19">
        <f t="shared" si="29"/>
        <v>1.0364507753151655E-4</v>
      </c>
      <c r="K184" s="2"/>
      <c r="L184" s="2">
        <f t="shared" si="30"/>
        <v>-40.949999999999996</v>
      </c>
      <c r="M184" s="2"/>
      <c r="N184" s="19">
        <f t="shared" si="31"/>
        <v>-0.47588611272515974</v>
      </c>
      <c r="O184" s="11"/>
      <c r="P184" s="2">
        <v>1839.04</v>
      </c>
      <c r="Q184" s="2"/>
      <c r="R184" s="19">
        <f t="shared" si="32"/>
        <v>1.6560396214971529E-4</v>
      </c>
      <c r="S184" s="2"/>
      <c r="T184" s="2">
        <v>1592.16</v>
      </c>
      <c r="U184" s="2"/>
      <c r="V184" s="19">
        <f t="shared" si="33"/>
        <v>1.2439415469854461E-4</v>
      </c>
      <c r="W184" s="2"/>
      <c r="X184" s="2">
        <f t="shared" si="34"/>
        <v>246.87999999999988</v>
      </c>
      <c r="Y184" s="2"/>
      <c r="Z184" s="19">
        <f t="shared" si="35"/>
        <v>0.1550597929856295</v>
      </c>
    </row>
    <row r="185" spans="1:26" s="24" customFormat="1" hidden="1" outlineLevel="1" x14ac:dyDescent="0.25">
      <c r="A185" s="44"/>
      <c r="B185" s="11" t="str">
        <f>CONCATENATE("          ", "5543", " - ", "FREIGHT-IN-CARDS")</f>
        <v xml:space="preserve">          5543 - FREIGHT-IN-CARDS</v>
      </c>
      <c r="C185" s="11"/>
      <c r="D185" s="2"/>
      <c r="E185" s="2"/>
      <c r="F185" s="19">
        <f t="shared" si="28"/>
        <v>0</v>
      </c>
      <c r="G185" s="2"/>
      <c r="H185" s="2"/>
      <c r="I185" s="2"/>
      <c r="J185" s="19">
        <f t="shared" si="29"/>
        <v>0</v>
      </c>
      <c r="K185" s="2"/>
      <c r="L185" s="2">
        <f t="shared" si="30"/>
        <v>0</v>
      </c>
      <c r="M185" s="2"/>
      <c r="N185" s="19">
        <f t="shared" si="31"/>
        <v>0</v>
      </c>
      <c r="O185" s="11"/>
      <c r="P185" s="2">
        <v>2926.76</v>
      </c>
      <c r="Q185" s="2"/>
      <c r="R185" s="19">
        <f t="shared" si="32"/>
        <v>2.6355220781565424E-4</v>
      </c>
      <c r="S185" s="2"/>
      <c r="T185" s="2">
        <v>57.18</v>
      </c>
      <c r="U185" s="2"/>
      <c r="V185" s="19">
        <f t="shared" si="33"/>
        <v>4.4674264933566856E-6</v>
      </c>
      <c r="W185" s="2"/>
      <c r="X185" s="2">
        <f t="shared" si="34"/>
        <v>2869.5800000000004</v>
      </c>
      <c r="Y185" s="2"/>
      <c r="Z185" s="19">
        <f t="shared" si="35"/>
        <v>50.185029730675069</v>
      </c>
    </row>
    <row r="186" spans="1:26" s="24" customFormat="1" hidden="1" outlineLevel="1" x14ac:dyDescent="0.25">
      <c r="A186" s="44"/>
      <c r="B186" s="11" t="str">
        <f>CONCATENATE("          ", "5544", " - ", "FREIGHT-IN-ACCESSORIES")</f>
        <v xml:space="preserve">          5544 - FREIGHT-IN-ACCESSORIES</v>
      </c>
      <c r="C186" s="11"/>
      <c r="D186" s="2"/>
      <c r="E186" s="2"/>
      <c r="F186" s="19">
        <f t="shared" si="28"/>
        <v>0</v>
      </c>
      <c r="G186" s="2"/>
      <c r="H186" s="2">
        <v>66.27</v>
      </c>
      <c r="I186" s="2"/>
      <c r="J186" s="19">
        <f t="shared" si="29"/>
        <v>7.9820561162273121E-5</v>
      </c>
      <c r="K186" s="2"/>
      <c r="L186" s="2">
        <f t="shared" si="30"/>
        <v>-66.27</v>
      </c>
      <c r="M186" s="2"/>
      <c r="N186" s="19">
        <f t="shared" si="31"/>
        <v>-1</v>
      </c>
      <c r="O186" s="11"/>
      <c r="P186" s="2">
        <v>483.44</v>
      </c>
      <c r="Q186" s="2"/>
      <c r="R186" s="19">
        <f t="shared" si="32"/>
        <v>4.3533354066066191E-5</v>
      </c>
      <c r="S186" s="2"/>
      <c r="T186" s="2">
        <v>1133.42</v>
      </c>
      <c r="U186" s="2"/>
      <c r="V186" s="19">
        <f t="shared" si="33"/>
        <v>8.8553174818124079E-5</v>
      </c>
      <c r="W186" s="2"/>
      <c r="X186" s="2">
        <f t="shared" si="34"/>
        <v>-649.98</v>
      </c>
      <c r="Y186" s="2"/>
      <c r="Z186" s="19">
        <f t="shared" si="35"/>
        <v>-0.57346791127737284</v>
      </c>
    </row>
    <row r="187" spans="1:26" s="24" customFormat="1" hidden="1" outlineLevel="1" x14ac:dyDescent="0.25">
      <c r="A187" s="44"/>
      <c r="B187" s="11" t="str">
        <f>CONCATENATE("          ", "5545", " - ", "FREIGHT-IN-SPECIAL ORDERS")</f>
        <v xml:space="preserve">          5545 - FREIGHT-IN-SPECIAL ORDERS</v>
      </c>
      <c r="C187" s="11"/>
      <c r="D187" s="2">
        <v>17.190000000000001</v>
      </c>
      <c r="E187" s="2"/>
      <c r="F187" s="19">
        <f t="shared" si="28"/>
        <v>3.6697378536960699E-5</v>
      </c>
      <c r="G187" s="2"/>
      <c r="H187" s="2">
        <v>86.51</v>
      </c>
      <c r="I187" s="2"/>
      <c r="J187" s="19">
        <f t="shared" si="29"/>
        <v>1.0419913605173152E-4</v>
      </c>
      <c r="K187" s="2"/>
      <c r="L187" s="2">
        <f t="shared" si="30"/>
        <v>-69.320000000000007</v>
      </c>
      <c r="M187" s="2"/>
      <c r="N187" s="19">
        <f t="shared" si="31"/>
        <v>-0.80129464801757022</v>
      </c>
      <c r="O187" s="11"/>
      <c r="P187" s="2">
        <v>892.26</v>
      </c>
      <c r="Q187" s="2"/>
      <c r="R187" s="19">
        <f t="shared" si="32"/>
        <v>8.0347241641130684E-5</v>
      </c>
      <c r="S187" s="2"/>
      <c r="T187" s="2">
        <v>1644.18</v>
      </c>
      <c r="U187" s="2"/>
      <c r="V187" s="19">
        <f t="shared" si="33"/>
        <v>1.2845843462481977E-4</v>
      </c>
      <c r="W187" s="2"/>
      <c r="X187" s="2">
        <f t="shared" si="34"/>
        <v>-751.92000000000007</v>
      </c>
      <c r="Y187" s="2"/>
      <c r="Z187" s="19">
        <f t="shared" si="35"/>
        <v>-0.45732219100098531</v>
      </c>
    </row>
    <row r="188" spans="1:26" s="24" customFormat="1" hidden="1" outlineLevel="1" x14ac:dyDescent="0.25">
      <c r="A188" s="44"/>
      <c r="B188" s="11" t="str">
        <f>CONCATENATE("          ", "5581", " - ", "FREIGHT-IN-ELECTRONICS")</f>
        <v xml:space="preserve">          5581 - FREIGHT-IN-ELECTRONICS</v>
      </c>
      <c r="C188" s="11"/>
      <c r="D188" s="2"/>
      <c r="E188" s="2"/>
      <c r="F188" s="19">
        <f t="shared" si="28"/>
        <v>0</v>
      </c>
      <c r="G188" s="2"/>
      <c r="H188" s="2"/>
      <c r="I188" s="2"/>
      <c r="J188" s="19">
        <f t="shared" si="29"/>
        <v>0</v>
      </c>
      <c r="K188" s="2"/>
      <c r="L188" s="2">
        <f t="shared" si="30"/>
        <v>0</v>
      </c>
      <c r="M188" s="2"/>
      <c r="N188" s="19">
        <f t="shared" si="31"/>
        <v>0</v>
      </c>
      <c r="O188" s="11"/>
      <c r="P188" s="2">
        <v>105.75</v>
      </c>
      <c r="Q188" s="2"/>
      <c r="R188" s="19">
        <f t="shared" si="32"/>
        <v>9.5226960791132299E-6</v>
      </c>
      <c r="S188" s="2"/>
      <c r="T188" s="2"/>
      <c r="U188" s="2"/>
      <c r="V188" s="19">
        <f t="shared" si="33"/>
        <v>0</v>
      </c>
      <c r="W188" s="2"/>
      <c r="X188" s="2">
        <f t="shared" si="34"/>
        <v>105.75</v>
      </c>
      <c r="Y188" s="2"/>
      <c r="Z188" s="19">
        <f t="shared" si="35"/>
        <v>0</v>
      </c>
    </row>
    <row r="189" spans="1:26" s="24" customFormat="1" hidden="1" outlineLevel="1" x14ac:dyDescent="0.25">
      <c r="A189" s="44"/>
      <c r="B189" s="11" t="str">
        <f>CONCATENATE("          ", "5582", " - ", "FREIGHT-IN-COMPUTER HARDWARE")</f>
        <v xml:space="preserve">          5582 - FREIGHT-IN-COMPUTER HARDWARE</v>
      </c>
      <c r="C189" s="11"/>
      <c r="D189" s="2"/>
      <c r="E189" s="2"/>
      <c r="F189" s="19">
        <f t="shared" si="28"/>
        <v>0</v>
      </c>
      <c r="G189" s="2"/>
      <c r="H189" s="2"/>
      <c r="I189" s="2"/>
      <c r="J189" s="19">
        <f t="shared" si="29"/>
        <v>0</v>
      </c>
      <c r="K189" s="2"/>
      <c r="L189" s="2">
        <f t="shared" si="30"/>
        <v>0</v>
      </c>
      <c r="M189" s="2"/>
      <c r="N189" s="19">
        <f t="shared" si="31"/>
        <v>0</v>
      </c>
      <c r="O189" s="11"/>
      <c r="P189" s="2">
        <v>154.30000000000001</v>
      </c>
      <c r="Q189" s="2"/>
      <c r="R189" s="19">
        <f t="shared" si="32"/>
        <v>1.3894581607632827E-5</v>
      </c>
      <c r="S189" s="2"/>
      <c r="T189" s="2">
        <v>12</v>
      </c>
      <c r="U189" s="2"/>
      <c r="V189" s="19">
        <f t="shared" si="33"/>
        <v>9.375501560035017E-7</v>
      </c>
      <c r="W189" s="2"/>
      <c r="X189" s="2">
        <f t="shared" si="34"/>
        <v>142.30000000000001</v>
      </c>
      <c r="Y189" s="2"/>
      <c r="Z189" s="19">
        <f t="shared" si="35"/>
        <v>11.858333333333334</v>
      </c>
    </row>
    <row r="190" spans="1:26" s="24" customFormat="1" hidden="1" outlineLevel="1" x14ac:dyDescent="0.25">
      <c r="A190" s="44"/>
      <c r="B190" s="11" t="str">
        <f>CONCATENATE("          ", "5583", " - ", "FREIGHT-IN-COMPUTER EQUIPMENT")</f>
        <v xml:space="preserve">          5583 - FREIGHT-IN-COMPUTER EQUIPMENT</v>
      </c>
      <c r="C190" s="11"/>
      <c r="D190" s="2">
        <v>39.049999999999997</v>
      </c>
      <c r="E190" s="2"/>
      <c r="F190" s="19">
        <f t="shared" si="28"/>
        <v>8.3364318316946773E-5</v>
      </c>
      <c r="G190" s="2"/>
      <c r="H190" s="2"/>
      <c r="I190" s="2"/>
      <c r="J190" s="19">
        <f t="shared" si="29"/>
        <v>0</v>
      </c>
      <c r="K190" s="2"/>
      <c r="L190" s="2">
        <f t="shared" si="30"/>
        <v>39.049999999999997</v>
      </c>
      <c r="M190" s="2"/>
      <c r="N190" s="19">
        <f t="shared" si="31"/>
        <v>0</v>
      </c>
      <c r="O190" s="11"/>
      <c r="P190" s="2">
        <v>96.55</v>
      </c>
      <c r="Q190" s="2"/>
      <c r="R190" s="19">
        <f t="shared" si="32"/>
        <v>8.6942440325142534E-6</v>
      </c>
      <c r="S190" s="2"/>
      <c r="T190" s="2">
        <v>89.38</v>
      </c>
      <c r="U190" s="2"/>
      <c r="V190" s="19">
        <f t="shared" si="33"/>
        <v>6.983186078632748E-6</v>
      </c>
      <c r="W190" s="2"/>
      <c r="X190" s="2">
        <f t="shared" si="34"/>
        <v>7.1700000000000017</v>
      </c>
      <c r="Y190" s="2"/>
      <c r="Z190" s="19">
        <f t="shared" si="35"/>
        <v>8.0219288431416444E-2</v>
      </c>
    </row>
    <row r="191" spans="1:26" s="24" customFormat="1" hidden="1" outlineLevel="1" x14ac:dyDescent="0.25">
      <c r="A191" s="44"/>
      <c r="B191" s="11" t="str">
        <f>CONCATENATE("          ", "5586", " - ", "FREIGHT-IN-COMPUTER SUPPLIES")</f>
        <v xml:space="preserve">          5586 - FREIGHT-IN-COMPUTER SUPPLIES</v>
      </c>
      <c r="C191" s="11"/>
      <c r="D191" s="2"/>
      <c r="E191" s="2"/>
      <c r="F191" s="19">
        <f t="shared" si="28"/>
        <v>0</v>
      </c>
      <c r="G191" s="2"/>
      <c r="H191" s="2">
        <v>31.46</v>
      </c>
      <c r="I191" s="2"/>
      <c r="J191" s="19">
        <f t="shared" si="29"/>
        <v>3.7892784882527728E-5</v>
      </c>
      <c r="K191" s="2"/>
      <c r="L191" s="2">
        <f t="shared" si="30"/>
        <v>-31.46</v>
      </c>
      <c r="M191" s="2"/>
      <c r="N191" s="19">
        <f t="shared" si="31"/>
        <v>-1</v>
      </c>
      <c r="O191" s="11"/>
      <c r="P191" s="2">
        <v>301.27</v>
      </c>
      <c r="Q191" s="2"/>
      <c r="R191" s="19">
        <f t="shared" si="32"/>
        <v>2.7129103052051465E-5</v>
      </c>
      <c r="S191" s="2"/>
      <c r="T191" s="2">
        <v>365.96</v>
      </c>
      <c r="U191" s="2"/>
      <c r="V191" s="19">
        <f t="shared" si="33"/>
        <v>2.8592154590920119E-5</v>
      </c>
      <c r="W191" s="2"/>
      <c r="X191" s="2">
        <f t="shared" si="34"/>
        <v>-64.69</v>
      </c>
      <c r="Y191" s="2"/>
      <c r="Z191" s="19">
        <f t="shared" si="35"/>
        <v>-0.17676795278172477</v>
      </c>
    </row>
    <row r="192" spans="1:26" s="24" customFormat="1" hidden="1" outlineLevel="1" x14ac:dyDescent="0.25">
      <c r="A192" s="44"/>
      <c r="B192" s="11" t="str">
        <f>CONCATENATE("          ", "5592", " - ", "FREIGHT-IN-GRAD MERCH")</f>
        <v xml:space="preserve">          5592 - FREIGHT-IN-GRAD MERCH</v>
      </c>
      <c r="C192" s="11"/>
      <c r="D192" s="2"/>
      <c r="E192" s="2"/>
      <c r="F192" s="19">
        <f t="shared" si="28"/>
        <v>0</v>
      </c>
      <c r="G192" s="2"/>
      <c r="H192" s="2">
        <v>1266.43</v>
      </c>
      <c r="I192" s="2"/>
      <c r="J192" s="19">
        <f t="shared" si="29"/>
        <v>1.5253833299039921E-3</v>
      </c>
      <c r="K192" s="2"/>
      <c r="L192" s="2">
        <f t="shared" si="30"/>
        <v>-1266.43</v>
      </c>
      <c r="M192" s="2"/>
      <c r="N192" s="19">
        <f t="shared" si="31"/>
        <v>-1</v>
      </c>
      <c r="O192" s="11"/>
      <c r="P192" s="2">
        <v>118.73</v>
      </c>
      <c r="Q192" s="2"/>
      <c r="R192" s="19">
        <f t="shared" si="32"/>
        <v>1.0691533857901786E-5</v>
      </c>
      <c r="S192" s="2"/>
      <c r="T192" s="2">
        <v>1580.77</v>
      </c>
      <c r="U192" s="2"/>
      <c r="V192" s="19">
        <f t="shared" si="33"/>
        <v>1.2350426334213795E-4</v>
      </c>
      <c r="W192" s="2"/>
      <c r="X192" s="2">
        <f t="shared" si="34"/>
        <v>-1462.04</v>
      </c>
      <c r="Y192" s="2"/>
      <c r="Z192" s="19">
        <f t="shared" si="35"/>
        <v>-0.92489103411628504</v>
      </c>
    </row>
    <row r="193" spans="1:26" x14ac:dyDescent="0.25">
      <c r="A193" s="9"/>
      <c r="B193" s="10"/>
      <c r="C193" s="10"/>
      <c r="D193" s="3"/>
      <c r="E193" s="3"/>
      <c r="F193" s="8"/>
      <c r="G193" s="3"/>
      <c r="H193" s="3"/>
      <c r="I193" s="3"/>
      <c r="J193" s="8"/>
      <c r="K193" s="3"/>
      <c r="L193" s="3"/>
      <c r="M193" s="3"/>
      <c r="N193" s="8"/>
      <c r="O193" s="10"/>
      <c r="P193" s="3"/>
      <c r="Q193" s="3"/>
      <c r="R193" s="8"/>
      <c r="S193" s="3"/>
      <c r="T193" s="3"/>
      <c r="U193" s="3"/>
      <c r="V193" s="8"/>
      <c r="W193" s="3"/>
      <c r="X193" s="3"/>
      <c r="Y193" s="3"/>
      <c r="Z193" s="8"/>
    </row>
    <row r="194" spans="1:26" s="23" customFormat="1" x14ac:dyDescent="0.25">
      <c r="A194" s="10"/>
      <c r="B194" s="28" t="s">
        <v>6</v>
      </c>
      <c r="C194" s="28"/>
      <c r="D194" s="21">
        <f>D12-D134</f>
        <v>131896.49000000005</v>
      </c>
      <c r="E194" s="14"/>
      <c r="F194" s="20">
        <f>IF(D$12=0,0,D194/D$12)</f>
        <v>0.28157390466704207</v>
      </c>
      <c r="G194" s="14"/>
      <c r="H194" s="21">
        <f>H12-H134</f>
        <v>410498.10000000015</v>
      </c>
      <c r="I194" s="14"/>
      <c r="J194" s="20">
        <f>IF(H$12=0,0,H194/H$12)</f>
        <v>0.49443471703707442</v>
      </c>
      <c r="K194" s="15"/>
      <c r="L194" s="21">
        <f>+D194-H194</f>
        <v>-278601.6100000001</v>
      </c>
      <c r="M194" s="15"/>
      <c r="N194" s="20">
        <f>IF(H194=0,0,L194/H194)</f>
        <v>-0.67869159443125315</v>
      </c>
      <c r="O194" s="29"/>
      <c r="P194" s="21">
        <f>P12-P134</f>
        <v>3980400.1499999985</v>
      </c>
      <c r="Q194" s="14"/>
      <c r="R194" s="20">
        <f>IF(P$12=0,0,P194/P$12)</f>
        <v>0.35843159245112716</v>
      </c>
      <c r="S194" s="14"/>
      <c r="T194" s="21">
        <f>T12-T134</f>
        <v>4715338.7100000037</v>
      </c>
      <c r="U194" s="14"/>
      <c r="V194" s="20">
        <f>IF(T$12=0,0,T194/T$12)</f>
        <v>0.36840554526415448</v>
      </c>
      <c r="W194" s="15"/>
      <c r="X194" s="21">
        <f>+P194-T194</f>
        <v>-734938.56000000518</v>
      </c>
      <c r="Y194" s="15"/>
      <c r="Z194" s="20">
        <f>IF(T194=0,0,X194/T194)</f>
        <v>-0.1558612445891516</v>
      </c>
    </row>
    <row r="195" spans="1:26" x14ac:dyDescent="0.25">
      <c r="A195" s="9"/>
      <c r="B195" s="10"/>
      <c r="C195" s="9"/>
      <c r="D195" s="1"/>
      <c r="E195" s="1"/>
      <c r="F195" s="5"/>
      <c r="G195" s="1"/>
      <c r="H195" s="1"/>
      <c r="I195" s="1"/>
      <c r="J195" s="5"/>
      <c r="K195" s="1"/>
      <c r="L195" s="1"/>
      <c r="M195" s="1"/>
      <c r="N195" s="5"/>
      <c r="O195" s="37"/>
      <c r="P195" s="1"/>
      <c r="Q195" s="1"/>
      <c r="R195" s="5"/>
      <c r="S195" s="1"/>
      <c r="T195" s="1"/>
      <c r="U195" s="1"/>
      <c r="V195" s="5"/>
      <c r="W195" s="1"/>
      <c r="X195" s="1"/>
      <c r="Y195" s="1"/>
      <c r="Z195" s="5"/>
    </row>
    <row r="196" spans="1:26" s="23" customFormat="1" x14ac:dyDescent="0.25">
      <c r="A196" s="10"/>
      <c r="B196" s="29" t="s">
        <v>9</v>
      </c>
      <c r="C196" s="10"/>
      <c r="D196" s="22">
        <f>SUM(OSRRefD22x_0)</f>
        <v>275902.98999999987</v>
      </c>
      <c r="E196" s="22"/>
      <c r="F196" s="35">
        <f t="shared" ref="F196:F206" si="36">IF(D$12=0,0,D196/D$12)</f>
        <v>0.5890003760040301</v>
      </c>
      <c r="G196" s="22"/>
      <c r="H196" s="22">
        <f>SUM(OSRRefH22x_0)</f>
        <v>376285.66</v>
      </c>
      <c r="I196" s="22"/>
      <c r="J196" s="35">
        <f t="shared" ref="J196:J206" si="37">IF(H$12=0,0,H196/H$12)</f>
        <v>0.45322668686458889</v>
      </c>
      <c r="K196" s="4"/>
      <c r="L196" s="22">
        <f t="shared" ref="L196:L206" si="38">+D196-H196</f>
        <v>-100382.6700000001</v>
      </c>
      <c r="M196" s="4"/>
      <c r="N196" s="35">
        <f t="shared" ref="N196:N206" si="39">IF(H196=0,0,L196/H196)</f>
        <v>-0.26677251001273899</v>
      </c>
      <c r="O196" s="10"/>
      <c r="P196" s="22">
        <f>SUM(OSRRefP22x_0)</f>
        <v>3846683.3099999996</v>
      </c>
      <c r="Q196" s="22"/>
      <c r="R196" s="35">
        <f t="shared" ref="R196:R206" si="40">IF(P$12=0,0,P196/P$12)</f>
        <v>0.34639050660735032</v>
      </c>
      <c r="S196" s="22"/>
      <c r="T196" s="22">
        <f>SUM(OSRRefT22x_0)</f>
        <v>4128811.2400000007</v>
      </c>
      <c r="U196" s="22"/>
      <c r="V196" s="35">
        <f t="shared" ref="V196:V206" si="41">IF(T$12=0,0,T196/T$12)</f>
        <v>0.32258063518091767</v>
      </c>
      <c r="W196" s="4"/>
      <c r="X196" s="22">
        <f t="shared" ref="X196:X206" si="42">+P196-T196</f>
        <v>-282127.9300000011</v>
      </c>
      <c r="Y196" s="4"/>
      <c r="Z196" s="35">
        <f t="shared" ref="Z196:Z206" si="43">IF(T196=0,0,X196/T196)</f>
        <v>-6.8331515683434596E-2</v>
      </c>
    </row>
    <row r="197" spans="1:26" s="25" customFormat="1" outlineLevel="1" collapsed="1" x14ac:dyDescent="0.25">
      <c r="A197" s="26"/>
      <c r="B197" s="13" t="str">
        <f>CONCATENATE("     ","*Benefits                                         ")</f>
        <v xml:space="preserve">     *Benefits                                         </v>
      </c>
      <c r="C197" s="13"/>
      <c r="D197" s="1">
        <f>SUM(OSRRefD22_0x_0)</f>
        <v>27096.500000000004</v>
      </c>
      <c r="E197" s="1"/>
      <c r="F197" s="5">
        <f t="shared" si="36"/>
        <v>5.7845870711271417E-2</v>
      </c>
      <c r="G197" s="1"/>
      <c r="H197" s="1">
        <f>SUM(OSRRefH22_0x_0)</f>
        <v>47082.959999999992</v>
      </c>
      <c r="I197" s="1"/>
      <c r="J197" s="5">
        <f t="shared" si="37"/>
        <v>5.6710250315087647E-2</v>
      </c>
      <c r="K197" s="1"/>
      <c r="L197" s="1">
        <f t="shared" si="38"/>
        <v>-19986.459999999988</v>
      </c>
      <c r="M197" s="1"/>
      <c r="N197" s="5">
        <f t="shared" si="39"/>
        <v>-0.42449455174441014</v>
      </c>
      <c r="O197" s="13"/>
      <c r="P197" s="1">
        <f>SUM(OSRRefP22_0x_0)</f>
        <v>475027.01</v>
      </c>
      <c r="Q197" s="1"/>
      <c r="R197" s="5">
        <f t="shared" si="40"/>
        <v>4.277577158959698E-2</v>
      </c>
      <c r="S197" s="1"/>
      <c r="T197" s="1">
        <f>SUM(OSRRefT22_0x_0)</f>
        <v>524454.16</v>
      </c>
      <c r="U197" s="1"/>
      <c r="V197" s="5">
        <f t="shared" si="41"/>
        <v>4.0975173293723785E-2</v>
      </c>
      <c r="W197" s="1"/>
      <c r="X197" s="1">
        <f t="shared" si="42"/>
        <v>-49427.150000000023</v>
      </c>
      <c r="Y197" s="1"/>
      <c r="Z197" s="5">
        <f t="shared" si="43"/>
        <v>-9.4244938394615882E-2</v>
      </c>
    </row>
    <row r="198" spans="1:26" s="24" customFormat="1" hidden="1" outlineLevel="2" x14ac:dyDescent="0.25">
      <c r="A198" s="27"/>
      <c r="B198" s="11" t="str">
        <f>CONCATENATE("          ", "6111", " - ", "F.I.C.A.")</f>
        <v xml:space="preserve">          6111 - F.I.C.A.</v>
      </c>
      <c r="C198" s="11"/>
      <c r="D198" s="6">
        <v>8760.94</v>
      </c>
      <c r="E198" s="2"/>
      <c r="F198" s="7">
        <f t="shared" si="36"/>
        <v>1.8702939588109393E-2</v>
      </c>
      <c r="G198" s="2"/>
      <c r="H198" s="6">
        <v>7217.35</v>
      </c>
      <c r="I198" s="2"/>
      <c r="J198" s="7">
        <f t="shared" si="37"/>
        <v>8.693117958420581E-3</v>
      </c>
      <c r="K198" s="2"/>
      <c r="L198" s="6">
        <f t="shared" si="38"/>
        <v>1543.5900000000001</v>
      </c>
      <c r="M198" s="2"/>
      <c r="N198" s="7">
        <f t="shared" si="39"/>
        <v>0.21387212758145305</v>
      </c>
      <c r="O198" s="11"/>
      <c r="P198" s="6">
        <v>100998.51</v>
      </c>
      <c r="Q198" s="2"/>
      <c r="R198" s="7">
        <f t="shared" si="40"/>
        <v>9.0948285122768625E-3</v>
      </c>
      <c r="S198" s="2"/>
      <c r="T198" s="6">
        <v>95326.450000000012</v>
      </c>
      <c r="U198" s="2"/>
      <c r="V198" s="7">
        <f t="shared" si="41"/>
        <v>7.4477773390633347E-3</v>
      </c>
      <c r="W198" s="2"/>
      <c r="X198" s="6">
        <f t="shared" si="42"/>
        <v>5672.0599999999831</v>
      </c>
      <c r="Y198" s="2"/>
      <c r="Z198" s="7">
        <f t="shared" si="43"/>
        <v>5.9501429036746697E-2</v>
      </c>
    </row>
    <row r="199" spans="1:26" s="24" customFormat="1" hidden="1" outlineLevel="2" x14ac:dyDescent="0.25">
      <c r="A199" s="27"/>
      <c r="B199" s="11" t="str">
        <f>CONCATENATE("          ", "6112", " - ", "COMPENSATION INSURANCE")</f>
        <v xml:space="preserve">          6112 - COMPENSATION INSURANCE</v>
      </c>
      <c r="C199" s="11"/>
      <c r="D199" s="6">
        <v>1265.4000000000001</v>
      </c>
      <c r="E199" s="2"/>
      <c r="F199" s="7">
        <f t="shared" si="36"/>
        <v>2.7013881792129183E-3</v>
      </c>
      <c r="G199" s="2"/>
      <c r="H199" s="6">
        <v>1409.18</v>
      </c>
      <c r="I199" s="2"/>
      <c r="J199" s="7">
        <f t="shared" si="37"/>
        <v>1.6973221424272226E-3</v>
      </c>
      <c r="K199" s="2"/>
      <c r="L199" s="6">
        <f t="shared" si="38"/>
        <v>-143.77999999999997</v>
      </c>
      <c r="M199" s="2"/>
      <c r="N199" s="7">
        <f t="shared" si="39"/>
        <v>-0.1020309683645808</v>
      </c>
      <c r="O199" s="11"/>
      <c r="P199" s="6">
        <v>26291.769999999997</v>
      </c>
      <c r="Q199" s="2"/>
      <c r="R199" s="7">
        <f t="shared" si="40"/>
        <v>2.3675511592619082E-3</v>
      </c>
      <c r="S199" s="2"/>
      <c r="T199" s="6">
        <v>16265.070000000002</v>
      </c>
      <c r="U199" s="2"/>
      <c r="V199" s="7">
        <f t="shared" si="41"/>
        <v>1.2707765763256564E-3</v>
      </c>
      <c r="W199" s="2"/>
      <c r="X199" s="6">
        <f t="shared" si="42"/>
        <v>10026.699999999995</v>
      </c>
      <c r="Y199" s="2"/>
      <c r="Z199" s="7">
        <f t="shared" si="43"/>
        <v>0.61645600049676974</v>
      </c>
    </row>
    <row r="200" spans="1:26" s="24" customFormat="1" hidden="1" outlineLevel="2" x14ac:dyDescent="0.25">
      <c r="A200" s="27"/>
      <c r="B200" s="11" t="str">
        <f>CONCATENATE("          ", "6113", " - ", "GROUP INSURANCE")</f>
        <v xml:space="preserve">          6113 - GROUP INSURANCE</v>
      </c>
      <c r="C200" s="11"/>
      <c r="D200" s="6">
        <v>14448.96</v>
      </c>
      <c r="E200" s="2"/>
      <c r="F200" s="7">
        <f t="shared" si="36"/>
        <v>3.0845779789726795E-2</v>
      </c>
      <c r="G200" s="2"/>
      <c r="H200" s="6">
        <v>21326.959999999999</v>
      </c>
      <c r="I200" s="2"/>
      <c r="J200" s="7">
        <f t="shared" si="37"/>
        <v>2.5687791083225477E-2</v>
      </c>
      <c r="K200" s="2"/>
      <c r="L200" s="6">
        <f t="shared" si="38"/>
        <v>-6878</v>
      </c>
      <c r="M200" s="2"/>
      <c r="N200" s="7">
        <f t="shared" si="39"/>
        <v>-0.32250259765104827</v>
      </c>
      <c r="O200" s="11"/>
      <c r="P200" s="6">
        <v>188171.80000000002</v>
      </c>
      <c r="Q200" s="2"/>
      <c r="R200" s="7">
        <f t="shared" si="40"/>
        <v>1.6944707915457956E-2</v>
      </c>
      <c r="S200" s="2"/>
      <c r="T200" s="6">
        <v>204050.82</v>
      </c>
      <c r="U200" s="2"/>
      <c r="V200" s="7">
        <f t="shared" si="41"/>
        <v>1.5942323176970204E-2</v>
      </c>
      <c r="W200" s="2"/>
      <c r="X200" s="6">
        <f t="shared" si="42"/>
        <v>-15879.01999999999</v>
      </c>
      <c r="Y200" s="2"/>
      <c r="Z200" s="7">
        <f t="shared" si="43"/>
        <v>-7.7818947260295201E-2</v>
      </c>
    </row>
    <row r="201" spans="1:26" s="24" customFormat="1" hidden="1" outlineLevel="2" x14ac:dyDescent="0.25">
      <c r="A201" s="27"/>
      <c r="B201" s="11" t="str">
        <f>CONCATENATE("          ", "6114", " - ", "STATE UNEMPLOYMENT INSURANCE")</f>
        <v xml:space="preserve">          6114 - STATE UNEMPLOYMENT INSURANCE</v>
      </c>
      <c r="C201" s="11"/>
      <c r="D201" s="6">
        <v>235.23</v>
      </c>
      <c r="E201" s="2"/>
      <c r="F201" s="7">
        <f t="shared" si="36"/>
        <v>5.0217128291153365E-4</v>
      </c>
      <c r="G201" s="2"/>
      <c r="H201" s="6">
        <v>400.01</v>
      </c>
      <c r="I201" s="2"/>
      <c r="J201" s="7">
        <f t="shared" si="37"/>
        <v>4.8180206232866863E-4</v>
      </c>
      <c r="K201" s="2"/>
      <c r="L201" s="6">
        <f t="shared" si="38"/>
        <v>-164.78</v>
      </c>
      <c r="M201" s="2"/>
      <c r="N201" s="7">
        <f t="shared" si="39"/>
        <v>-0.41193970150746234</v>
      </c>
      <c r="O201" s="11"/>
      <c r="P201" s="6">
        <v>5068.3</v>
      </c>
      <c r="Q201" s="2"/>
      <c r="R201" s="7">
        <f t="shared" si="40"/>
        <v>4.5639603345408588E-4</v>
      </c>
      <c r="S201" s="2"/>
      <c r="T201" s="6">
        <v>5109.62</v>
      </c>
      <c r="U201" s="2"/>
      <c r="V201" s="7">
        <f t="shared" si="41"/>
        <v>3.9921041900988435E-4</v>
      </c>
      <c r="W201" s="2"/>
      <c r="X201" s="6">
        <f t="shared" si="42"/>
        <v>-41.319999999999709</v>
      </c>
      <c r="Y201" s="2"/>
      <c r="Z201" s="7">
        <f t="shared" si="43"/>
        <v>-8.0867070349653607E-3</v>
      </c>
    </row>
    <row r="202" spans="1:26" s="24" customFormat="1" hidden="1" outlineLevel="2" x14ac:dyDescent="0.25">
      <c r="A202" s="27"/>
      <c r="B202" s="11" t="str">
        <f>CONCATENATE("          ", "6115", " - ", "P.E.R.S.")</f>
        <v xml:space="preserve">          6115 - P.E.R.S.</v>
      </c>
      <c r="C202" s="11"/>
      <c r="D202" s="6">
        <v>4925.18</v>
      </c>
      <c r="E202" s="2"/>
      <c r="F202" s="7">
        <f t="shared" si="36"/>
        <v>1.0514321979212803E-2</v>
      </c>
      <c r="G202" s="2"/>
      <c r="H202" s="6">
        <v>5673.05</v>
      </c>
      <c r="I202" s="2"/>
      <c r="J202" s="7">
        <f t="shared" si="37"/>
        <v>6.8330471480554334E-3</v>
      </c>
      <c r="K202" s="2"/>
      <c r="L202" s="6">
        <f t="shared" si="38"/>
        <v>-747.86999999999989</v>
      </c>
      <c r="M202" s="2"/>
      <c r="N202" s="7">
        <f t="shared" si="39"/>
        <v>-0.13182855783044392</v>
      </c>
      <c r="O202" s="11"/>
      <c r="P202" s="6">
        <v>72285.41</v>
      </c>
      <c r="Q202" s="2"/>
      <c r="R202" s="7">
        <f t="shared" si="40"/>
        <v>6.5092386797550097E-3</v>
      </c>
      <c r="S202" s="2"/>
      <c r="T202" s="6">
        <v>67964.55</v>
      </c>
      <c r="U202" s="2"/>
      <c r="V202" s="7">
        <f t="shared" si="41"/>
        <v>5.310014537933983E-3</v>
      </c>
      <c r="W202" s="2"/>
      <c r="X202" s="6">
        <f t="shared" si="42"/>
        <v>4320.8600000000006</v>
      </c>
      <c r="Y202" s="2"/>
      <c r="Z202" s="7">
        <f t="shared" si="43"/>
        <v>6.3575202072256795E-2</v>
      </c>
    </row>
    <row r="203" spans="1:26" s="24" customFormat="1" hidden="1" outlineLevel="2" x14ac:dyDescent="0.25">
      <c r="A203" s="27"/>
      <c r="B203" s="11" t="str">
        <f>CONCATENATE("          ", "6117", " - ", "RETIREMENT STAFF HOURLY")</f>
        <v xml:space="preserve">          6117 - RETIREMENT STAFF HOURLY</v>
      </c>
      <c r="C203" s="11"/>
      <c r="D203" s="6">
        <v>824.52</v>
      </c>
      <c r="E203" s="2"/>
      <c r="F203" s="7">
        <f t="shared" si="36"/>
        <v>1.7601932839613049E-3</v>
      </c>
      <c r="G203" s="2"/>
      <c r="H203" s="6">
        <v>562.77</v>
      </c>
      <c r="I203" s="2"/>
      <c r="J203" s="7">
        <f t="shared" si="37"/>
        <v>6.7784242048125009E-4</v>
      </c>
      <c r="K203" s="2"/>
      <c r="L203" s="6">
        <f t="shared" si="38"/>
        <v>261.75</v>
      </c>
      <c r="M203" s="2"/>
      <c r="N203" s="7">
        <f t="shared" si="39"/>
        <v>0.46511008049469588</v>
      </c>
      <c r="O203" s="11"/>
      <c r="P203" s="6">
        <v>3390.11</v>
      </c>
      <c r="Q203" s="2"/>
      <c r="R203" s="7">
        <f t="shared" si="40"/>
        <v>3.0527647474952766E-4</v>
      </c>
      <c r="S203" s="2"/>
      <c r="T203" s="6">
        <v>4207.01</v>
      </c>
      <c r="U203" s="2"/>
      <c r="V203" s="7">
        <f t="shared" si="41"/>
        <v>3.2869024015069097E-4</v>
      </c>
      <c r="W203" s="2"/>
      <c r="X203" s="6">
        <f t="shared" si="42"/>
        <v>-816.90000000000009</v>
      </c>
      <c r="Y203" s="2"/>
      <c r="Z203" s="7">
        <f t="shared" si="43"/>
        <v>-0.19417591115780566</v>
      </c>
    </row>
    <row r="204" spans="1:26" s="24" customFormat="1" hidden="1" outlineLevel="2" x14ac:dyDescent="0.25">
      <c r="A204" s="27"/>
      <c r="B204" s="11" t="str">
        <f>CONCATENATE("          ", "6118", " - ", "VACATION")</f>
        <v xml:space="preserve">          6118 - VACATION</v>
      </c>
      <c r="C204" s="11"/>
      <c r="D204" s="6">
        <v>6612.32</v>
      </c>
      <c r="E204" s="2"/>
      <c r="F204" s="7">
        <f t="shared" si="36"/>
        <v>1.4116044796248745E-2</v>
      </c>
      <c r="G204" s="2"/>
      <c r="H204" s="6">
        <v>5050.8999999999996</v>
      </c>
      <c r="I204" s="2"/>
      <c r="J204" s="7">
        <f t="shared" si="37"/>
        <v>6.0836829994646941E-3</v>
      </c>
      <c r="K204" s="2"/>
      <c r="L204" s="6">
        <f t="shared" si="38"/>
        <v>1561.42</v>
      </c>
      <c r="M204" s="2"/>
      <c r="N204" s="7">
        <f t="shared" si="39"/>
        <v>0.30913698548773488</v>
      </c>
      <c r="O204" s="11"/>
      <c r="P204" s="6">
        <v>61006.96</v>
      </c>
      <c r="Q204" s="2"/>
      <c r="R204" s="7">
        <f t="shared" si="40"/>
        <v>5.4936240074762895E-3</v>
      </c>
      <c r="S204" s="2"/>
      <c r="T204" s="6">
        <v>62052.88</v>
      </c>
      <c r="U204" s="2"/>
      <c r="V204" s="7">
        <f t="shared" si="41"/>
        <v>4.8481406103722136E-3</v>
      </c>
      <c r="W204" s="2"/>
      <c r="X204" s="6">
        <f t="shared" si="42"/>
        <v>-1045.9199999999983</v>
      </c>
      <c r="Y204" s="2"/>
      <c r="Z204" s="7">
        <f t="shared" si="43"/>
        <v>-1.6855301478351986E-2</v>
      </c>
    </row>
    <row r="205" spans="1:26" s="24" customFormat="1" hidden="1" outlineLevel="2" x14ac:dyDescent="0.25">
      <c r="A205" s="27"/>
      <c r="B205" s="11" t="str">
        <f>CONCATENATE("          ", "6119", " - ", "SICK LEAVE")</f>
        <v xml:space="preserve">          6119 - SICK LEAVE</v>
      </c>
      <c r="C205" s="11"/>
      <c r="D205" s="6">
        <v>-10520.59</v>
      </c>
      <c r="E205" s="2"/>
      <c r="F205" s="7">
        <f t="shared" si="36"/>
        <v>-2.2459457455623229E-2</v>
      </c>
      <c r="G205" s="2"/>
      <c r="H205" s="6">
        <v>3442.25</v>
      </c>
      <c r="I205" s="2"/>
      <c r="J205" s="7">
        <f t="shared" si="37"/>
        <v>4.1461042200216488E-3</v>
      </c>
      <c r="K205" s="2"/>
      <c r="L205" s="6">
        <f t="shared" si="38"/>
        <v>-13962.84</v>
      </c>
      <c r="M205" s="2"/>
      <c r="N205" s="7">
        <f t="shared" si="39"/>
        <v>-4.0563120052291382</v>
      </c>
      <c r="O205" s="11"/>
      <c r="P205" s="6">
        <v>-2161.0300000000002</v>
      </c>
      <c r="Q205" s="2"/>
      <c r="R205" s="7">
        <f t="shared" si="40"/>
        <v>-1.9459888328932448E-4</v>
      </c>
      <c r="S205" s="2"/>
      <c r="T205" s="6">
        <v>47708.259999999995</v>
      </c>
      <c r="U205" s="2"/>
      <c r="V205" s="7">
        <f t="shared" si="41"/>
        <v>3.7274072171379676E-3</v>
      </c>
      <c r="W205" s="2"/>
      <c r="X205" s="6">
        <f t="shared" si="42"/>
        <v>-49869.289999999994</v>
      </c>
      <c r="Y205" s="2"/>
      <c r="Z205" s="7">
        <f t="shared" si="43"/>
        <v>-1.0452967683164298</v>
      </c>
    </row>
    <row r="206" spans="1:26" s="24" customFormat="1" hidden="1" outlineLevel="2" x14ac:dyDescent="0.25">
      <c r="A206" s="27"/>
      <c r="B206" s="11" t="str">
        <f>CONCATENATE("          ", "6156", " - ", "EMPLOYEE MEALS")</f>
        <v xml:space="preserve">          6156 - EMPLOYEE MEALS</v>
      </c>
      <c r="C206" s="11"/>
      <c r="D206" s="6">
        <v>544.54</v>
      </c>
      <c r="E206" s="2"/>
      <c r="F206" s="7">
        <f t="shared" si="36"/>
        <v>1.1624892675111446E-3</v>
      </c>
      <c r="G206" s="2"/>
      <c r="H206" s="6">
        <v>2000.49</v>
      </c>
      <c r="I206" s="2"/>
      <c r="J206" s="7">
        <f t="shared" si="37"/>
        <v>2.4095402806626792E-3</v>
      </c>
      <c r="K206" s="2"/>
      <c r="L206" s="6">
        <f t="shared" si="38"/>
        <v>-1455.95</v>
      </c>
      <c r="M206" s="2"/>
      <c r="N206" s="7">
        <f t="shared" si="39"/>
        <v>-0.72779668981099632</v>
      </c>
      <c r="O206" s="11"/>
      <c r="P206" s="6">
        <v>19975.18</v>
      </c>
      <c r="Q206" s="2"/>
      <c r="R206" s="7">
        <f t="shared" si="40"/>
        <v>1.7987476904546666E-3</v>
      </c>
      <c r="S206" s="2"/>
      <c r="T206" s="6">
        <v>21769.5</v>
      </c>
      <c r="U206" s="2"/>
      <c r="V206" s="7">
        <f t="shared" si="41"/>
        <v>1.7008331767598525E-3</v>
      </c>
      <c r="W206" s="2"/>
      <c r="X206" s="6">
        <f t="shared" si="42"/>
        <v>-1794.3199999999997</v>
      </c>
      <c r="Y206" s="2"/>
      <c r="Z206" s="7">
        <f t="shared" si="43"/>
        <v>-8.2423574266749344E-2</v>
      </c>
    </row>
    <row r="207" spans="1:26" s="25" customFormat="1" outlineLevel="1" collapsed="1" x14ac:dyDescent="0.25">
      <c r="A207" s="26"/>
      <c r="B207" s="13" t="str">
        <f>CONCATENATE("     ","*Payroll                                          ")</f>
        <v xml:space="preserve">     *Payroll                                          </v>
      </c>
      <c r="C207" s="13"/>
      <c r="D207" s="1">
        <f>SUM(OSRRefD22_1x_0)</f>
        <v>89793.61</v>
      </c>
      <c r="E207" s="1"/>
      <c r="F207" s="5">
        <f t="shared" ref="F207:F214" si="44">IF(D$12=0,0,D207/D$12)</f>
        <v>0.19169226854975097</v>
      </c>
      <c r="G207" s="1"/>
      <c r="H207" s="1">
        <f>SUM(OSRRefH22_1x_0)</f>
        <v>145262.64000000001</v>
      </c>
      <c r="I207" s="1"/>
      <c r="J207" s="5">
        <f t="shared" ref="J207:J214" si="45">IF(H$12=0,0,H207/H$12)</f>
        <v>0.17496522469764997</v>
      </c>
      <c r="K207" s="1"/>
      <c r="L207" s="1">
        <f t="shared" ref="L207:L214" si="46">+D207-H207</f>
        <v>-55469.030000000013</v>
      </c>
      <c r="M207" s="1"/>
      <c r="N207" s="5">
        <f t="shared" ref="N207:N214" si="47">IF(H207=0,0,L207/H207)</f>
        <v>-0.38185337950625164</v>
      </c>
      <c r="O207" s="13"/>
      <c r="P207" s="1">
        <f>SUM(OSRRefP22_1x_0)</f>
        <v>1806667.35</v>
      </c>
      <c r="Q207" s="1"/>
      <c r="R207" s="5">
        <f t="shared" ref="R207:R214" si="48">IF(P$12=0,0,P207/P$12)</f>
        <v>0.16268883300337483</v>
      </c>
      <c r="S207" s="1"/>
      <c r="T207" s="1">
        <f>SUM(OSRRefT22_1x_0)</f>
        <v>1791285.24</v>
      </c>
      <c r="U207" s="1"/>
      <c r="V207" s="5">
        <f t="shared" ref="V207:V214" si="49">IF(T$12=0,0,T207/T$12)</f>
        <v>0.13995164635073082</v>
      </c>
      <c r="W207" s="1"/>
      <c r="X207" s="1">
        <f t="shared" ref="X207:X214" si="50">+P207-T207</f>
        <v>15382.110000000102</v>
      </c>
      <c r="Y207" s="1"/>
      <c r="Z207" s="5">
        <f t="shared" ref="Z207:Z214" si="51">IF(T207=0,0,X207/T207)</f>
        <v>8.5871918422105141E-3</v>
      </c>
    </row>
    <row r="208" spans="1:26" s="24" customFormat="1" hidden="1" outlineLevel="2" x14ac:dyDescent="0.25">
      <c r="A208" s="27"/>
      <c r="B208" s="11" t="str">
        <f>CONCATENATE("          ", "6001", " - ", "ADMINISTRATIVE SALARIES")</f>
        <v xml:space="preserve">          6001 - ADMINISTRATIVE SALARIES</v>
      </c>
      <c r="C208" s="11"/>
      <c r="D208" s="6"/>
      <c r="E208" s="2"/>
      <c r="F208" s="7">
        <f t="shared" si="44"/>
        <v>0</v>
      </c>
      <c r="G208" s="2"/>
      <c r="H208" s="6">
        <v>7803.75</v>
      </c>
      <c r="I208" s="2"/>
      <c r="J208" s="7">
        <f t="shared" si="45"/>
        <v>9.399422124190265E-3</v>
      </c>
      <c r="K208" s="2"/>
      <c r="L208" s="6">
        <f t="shared" si="46"/>
        <v>-7803.75</v>
      </c>
      <c r="M208" s="2"/>
      <c r="N208" s="7">
        <f t="shared" si="47"/>
        <v>-1</v>
      </c>
      <c r="O208" s="11"/>
      <c r="P208" s="6">
        <v>93238.31</v>
      </c>
      <c r="Q208" s="2"/>
      <c r="R208" s="7">
        <f t="shared" si="48"/>
        <v>8.3960292109706274E-3</v>
      </c>
      <c r="S208" s="2"/>
      <c r="T208" s="6">
        <v>106651</v>
      </c>
      <c r="U208" s="2"/>
      <c r="V208" s="7">
        <f t="shared" si="49"/>
        <v>8.3325551406607887E-3</v>
      </c>
      <c r="W208" s="2"/>
      <c r="X208" s="6">
        <f t="shared" si="50"/>
        <v>-13412.690000000002</v>
      </c>
      <c r="Y208" s="2"/>
      <c r="Z208" s="7">
        <f t="shared" si="51"/>
        <v>-0.12576244010839094</v>
      </c>
    </row>
    <row r="209" spans="1:26" s="24" customFormat="1" hidden="1" outlineLevel="2" x14ac:dyDescent="0.25">
      <c r="A209" s="27"/>
      <c r="B209" s="11" t="str">
        <f>CONCATENATE("          ", "6002", " - ", "STAFF SALARIES")</f>
        <v xml:space="preserve">          6002 - STAFF SALARIES</v>
      </c>
      <c r="C209" s="11"/>
      <c r="D209" s="6">
        <v>45623.310000000005</v>
      </c>
      <c r="E209" s="2"/>
      <c r="F209" s="7">
        <f t="shared" si="44"/>
        <v>9.7397084187266114E-2</v>
      </c>
      <c r="G209" s="2"/>
      <c r="H209" s="6">
        <v>47657.14</v>
      </c>
      <c r="I209" s="2"/>
      <c r="J209" s="7">
        <f t="shared" si="45"/>
        <v>5.7401835795820325E-2</v>
      </c>
      <c r="K209" s="2"/>
      <c r="L209" s="6">
        <f t="shared" si="46"/>
        <v>-2033.8299999999945</v>
      </c>
      <c r="M209" s="2"/>
      <c r="N209" s="7">
        <f t="shared" si="47"/>
        <v>-4.2676291527355491E-2</v>
      </c>
      <c r="O209" s="11"/>
      <c r="P209" s="6">
        <v>598145.22</v>
      </c>
      <c r="Q209" s="2"/>
      <c r="R209" s="7">
        <f t="shared" si="48"/>
        <v>5.3862459964390728E-2</v>
      </c>
      <c r="S209" s="2"/>
      <c r="T209" s="6">
        <v>576834.0199999999</v>
      </c>
      <c r="U209" s="2"/>
      <c r="V209" s="7">
        <f t="shared" si="49"/>
        <v>4.506756878659391E-2</v>
      </c>
      <c r="W209" s="2"/>
      <c r="X209" s="6">
        <f t="shared" si="50"/>
        <v>21311.20000000007</v>
      </c>
      <c r="Y209" s="2"/>
      <c r="Z209" s="7">
        <f t="shared" si="51"/>
        <v>3.694511637853827E-2</v>
      </c>
    </row>
    <row r="210" spans="1:26" s="24" customFormat="1" hidden="1" outlineLevel="2" x14ac:dyDescent="0.25">
      <c r="A210" s="27"/>
      <c r="B210" s="11" t="str">
        <f>CONCATENATE("          ", "6004", " - ", "STAFF HOURLY")</f>
        <v xml:space="preserve">          6004 - STAFF HOURLY</v>
      </c>
      <c r="C210" s="11"/>
      <c r="D210" s="6">
        <v>16664.929999999997</v>
      </c>
      <c r="E210" s="2"/>
      <c r="F210" s="7">
        <f t="shared" si="44"/>
        <v>3.5576454014075179E-2</v>
      </c>
      <c r="G210" s="2"/>
      <c r="H210" s="6">
        <v>5731.18</v>
      </c>
      <c r="I210" s="2"/>
      <c r="J210" s="7">
        <f t="shared" si="45"/>
        <v>6.9030632823599896E-3</v>
      </c>
      <c r="K210" s="2"/>
      <c r="L210" s="6">
        <f t="shared" si="46"/>
        <v>10933.749999999996</v>
      </c>
      <c r="M210" s="2"/>
      <c r="N210" s="7">
        <f t="shared" si="47"/>
        <v>1.9077659399983939</v>
      </c>
      <c r="O210" s="11"/>
      <c r="P210" s="6">
        <v>57608.18</v>
      </c>
      <c r="Q210" s="2"/>
      <c r="R210" s="7">
        <f t="shared" si="48"/>
        <v>5.1875668067219776E-3</v>
      </c>
      <c r="S210" s="2"/>
      <c r="T210" s="6">
        <v>58484.380000000005</v>
      </c>
      <c r="U210" s="2"/>
      <c r="V210" s="7">
        <f t="shared" si="49"/>
        <v>4.5693366327306728E-3</v>
      </c>
      <c r="W210" s="2"/>
      <c r="X210" s="6">
        <f t="shared" si="50"/>
        <v>-876.20000000000437</v>
      </c>
      <c r="Y210" s="2"/>
      <c r="Z210" s="7">
        <f t="shared" si="51"/>
        <v>-1.4981778040564067E-2</v>
      </c>
    </row>
    <row r="211" spans="1:26" s="24" customFormat="1" hidden="1" outlineLevel="2" x14ac:dyDescent="0.25">
      <c r="A211" s="27"/>
      <c r="B211" s="11" t="str">
        <f>CONCATENATE("          ", "6005", " - ", "TEMPORARY WAGES-HOURLY")</f>
        <v xml:space="preserve">          6005 - TEMPORARY WAGES-HOURLY</v>
      </c>
      <c r="C211" s="11"/>
      <c r="D211" s="6">
        <v>13759.87</v>
      </c>
      <c r="E211" s="2"/>
      <c r="F211" s="7">
        <f t="shared" si="44"/>
        <v>2.9374703781813227E-2</v>
      </c>
      <c r="G211" s="2"/>
      <c r="H211" s="6">
        <v>17920.18</v>
      </c>
      <c r="I211" s="2"/>
      <c r="J211" s="7">
        <f t="shared" si="45"/>
        <v>2.1584409593012579E-2</v>
      </c>
      <c r="K211" s="2"/>
      <c r="L211" s="6">
        <f t="shared" si="46"/>
        <v>-4160.3099999999995</v>
      </c>
      <c r="M211" s="2"/>
      <c r="N211" s="7">
        <f t="shared" si="47"/>
        <v>-0.23215782430756832</v>
      </c>
      <c r="O211" s="11"/>
      <c r="P211" s="6">
        <v>210256.47</v>
      </c>
      <c r="Q211" s="2"/>
      <c r="R211" s="7">
        <f t="shared" si="48"/>
        <v>1.8933413356758282E-2</v>
      </c>
      <c r="S211" s="2"/>
      <c r="T211" s="6">
        <v>210673.92000000001</v>
      </c>
      <c r="U211" s="2"/>
      <c r="V211" s="7">
        <f t="shared" si="49"/>
        <v>1.6459780546822438E-2</v>
      </c>
      <c r="W211" s="2"/>
      <c r="X211" s="6">
        <f t="shared" si="50"/>
        <v>-417.45000000001164</v>
      </c>
      <c r="Y211" s="2"/>
      <c r="Z211" s="7">
        <f t="shared" si="51"/>
        <v>-1.9814982319596637E-3</v>
      </c>
    </row>
    <row r="212" spans="1:26" s="24" customFormat="1" hidden="1" outlineLevel="2" x14ac:dyDescent="0.25">
      <c r="A212" s="27"/>
      <c r="B212" s="11" t="str">
        <f>CONCATENATE("          ", "6006", " - ", "TEMPORARY PART TIME")</f>
        <v xml:space="preserve">          6006 - TEMPORARY PART TIME</v>
      </c>
      <c r="C212" s="11"/>
      <c r="D212" s="6">
        <v>3309.56</v>
      </c>
      <c r="E212" s="2"/>
      <c r="F212" s="7">
        <f t="shared" si="44"/>
        <v>7.0652807510636203E-3</v>
      </c>
      <c r="G212" s="2"/>
      <c r="H212" s="6">
        <v>3595.32</v>
      </c>
      <c r="I212" s="2"/>
      <c r="J212" s="7">
        <f t="shared" si="45"/>
        <v>4.330473214998398E-3</v>
      </c>
      <c r="K212" s="2"/>
      <c r="L212" s="6">
        <f t="shared" si="46"/>
        <v>-285.76000000000022</v>
      </c>
      <c r="M212" s="2"/>
      <c r="N212" s="7">
        <f t="shared" si="47"/>
        <v>-7.9481103211953369E-2</v>
      </c>
      <c r="O212" s="11"/>
      <c r="P212" s="6">
        <v>42165.25</v>
      </c>
      <c r="Q212" s="2"/>
      <c r="R212" s="7">
        <f t="shared" si="48"/>
        <v>3.7969443106366818E-3</v>
      </c>
      <c r="S212" s="2"/>
      <c r="T212" s="6">
        <v>56871.43</v>
      </c>
      <c r="U212" s="2"/>
      <c r="V212" s="7">
        <f t="shared" si="49"/>
        <v>4.4433181723868521E-3</v>
      </c>
      <c r="W212" s="2"/>
      <c r="X212" s="6">
        <f t="shared" si="50"/>
        <v>-14706.18</v>
      </c>
      <c r="Y212" s="2"/>
      <c r="Z212" s="7">
        <f t="shared" si="51"/>
        <v>-0.2585864290734381</v>
      </c>
    </row>
    <row r="213" spans="1:26" s="24" customFormat="1" hidden="1" outlineLevel="2" x14ac:dyDescent="0.25">
      <c r="A213" s="27"/>
      <c r="B213" s="11" t="str">
        <f>CONCATENATE("          ", "6007", " - ", "STUDENT HOURLY")</f>
        <v xml:space="preserve">          6007 - STUDENT HOURLY</v>
      </c>
      <c r="C213" s="11"/>
      <c r="D213" s="6">
        <v>10279.94</v>
      </c>
      <c r="E213" s="2"/>
      <c r="F213" s="7">
        <f t="shared" si="44"/>
        <v>2.194571550420266E-2</v>
      </c>
      <c r="G213" s="2"/>
      <c r="H213" s="6">
        <v>61082.07</v>
      </c>
      <c r="I213" s="2"/>
      <c r="J213" s="7">
        <f t="shared" si="45"/>
        <v>7.3571828947536569E-2</v>
      </c>
      <c r="K213" s="2"/>
      <c r="L213" s="6">
        <f t="shared" si="46"/>
        <v>-50802.13</v>
      </c>
      <c r="M213" s="2"/>
      <c r="N213" s="7">
        <f t="shared" si="47"/>
        <v>-0.83170282212112323</v>
      </c>
      <c r="O213" s="11"/>
      <c r="P213" s="6">
        <v>789774</v>
      </c>
      <c r="Q213" s="2"/>
      <c r="R213" s="7">
        <f t="shared" si="48"/>
        <v>7.1118465940289088E-2</v>
      </c>
      <c r="S213" s="2"/>
      <c r="T213" s="6">
        <v>757101.53999999992</v>
      </c>
      <c r="U213" s="2"/>
      <c r="V213" s="7">
        <f t="shared" si="49"/>
        <v>5.9151722244790941E-2</v>
      </c>
      <c r="W213" s="2"/>
      <c r="X213" s="6">
        <f t="shared" si="50"/>
        <v>32672.460000000079</v>
      </c>
      <c r="Y213" s="2"/>
      <c r="Z213" s="7">
        <f t="shared" si="51"/>
        <v>4.3154660602064132E-2</v>
      </c>
    </row>
    <row r="214" spans="1:26" s="24" customFormat="1" hidden="1" outlineLevel="2" x14ac:dyDescent="0.25">
      <c r="A214" s="27"/>
      <c r="B214" s="11" t="str">
        <f>CONCATENATE("          ", "6008", " - ", "STUDENT HOURLY-FICA EXEMPT")</f>
        <v xml:space="preserve">          6008 - STUDENT HOURLY-FICA EXEMPT</v>
      </c>
      <c r="C214" s="11"/>
      <c r="D214" s="6">
        <v>156</v>
      </c>
      <c r="E214" s="2"/>
      <c r="F214" s="7">
        <f t="shared" si="44"/>
        <v>3.3303031133018434E-4</v>
      </c>
      <c r="G214" s="2"/>
      <c r="H214" s="6">
        <v>1473</v>
      </c>
      <c r="I214" s="2"/>
      <c r="J214" s="7">
        <f t="shared" si="45"/>
        <v>1.774191739731829E-3</v>
      </c>
      <c r="K214" s="2"/>
      <c r="L214" s="6">
        <f t="shared" si="46"/>
        <v>-1317</v>
      </c>
      <c r="M214" s="2"/>
      <c r="N214" s="7">
        <f t="shared" si="47"/>
        <v>-0.8940936863543788</v>
      </c>
      <c r="O214" s="11"/>
      <c r="P214" s="6">
        <v>15479.92</v>
      </c>
      <c r="Q214" s="2"/>
      <c r="R214" s="7">
        <f t="shared" si="48"/>
        <v>1.393953413607437E-3</v>
      </c>
      <c r="S214" s="2"/>
      <c r="T214" s="6">
        <v>24668.95</v>
      </c>
      <c r="U214" s="2"/>
      <c r="V214" s="7">
        <f t="shared" si="49"/>
        <v>1.9273648267452152E-3</v>
      </c>
      <c r="W214" s="2"/>
      <c r="X214" s="6">
        <f t="shared" si="50"/>
        <v>-9189.0300000000007</v>
      </c>
      <c r="Y214" s="2"/>
      <c r="Z214" s="7">
        <f t="shared" si="51"/>
        <v>-0.37249376240172366</v>
      </c>
    </row>
    <row r="215" spans="1:26" s="25" customFormat="1" outlineLevel="1" collapsed="1" x14ac:dyDescent="0.25">
      <c r="A215" s="26"/>
      <c r="B215" s="13" t="str">
        <f>CONCATENATE("     ","Advertising/Promo                                 ")</f>
        <v xml:space="preserve">     Advertising/Promo                                 </v>
      </c>
      <c r="C215" s="13"/>
      <c r="D215" s="1">
        <f>SUM(OSRRefD22_2x_0)</f>
        <v>799.5</v>
      </c>
      <c r="E215" s="1"/>
      <c r="F215" s="5">
        <f t="shared" ref="F215:F219" si="52">IF(D$12=0,0,D215/D$12)</f>
        <v>1.7067803455671946E-3</v>
      </c>
      <c r="G215" s="1"/>
      <c r="H215" s="1">
        <f>SUM(OSRRefH22_2x_0)</f>
        <v>5030.2299999999996</v>
      </c>
      <c r="I215" s="1"/>
      <c r="J215" s="5">
        <f t="shared" ref="J215:J219" si="53">IF(H$12=0,0,H215/H$12)</f>
        <v>6.0587865003063389E-3</v>
      </c>
      <c r="K215" s="1"/>
      <c r="L215" s="1">
        <f t="shared" ref="L215:L219" si="54">+D215-H215</f>
        <v>-4230.7299999999996</v>
      </c>
      <c r="M215" s="1"/>
      <c r="N215" s="5">
        <f t="shared" ref="N215:N219" si="55">IF(H215=0,0,L215/H215)</f>
        <v>-0.84106094552336574</v>
      </c>
      <c r="O215" s="13"/>
      <c r="P215" s="1">
        <f>SUM(OSRRefP22_2x_0)</f>
        <v>46188.409999999996</v>
      </c>
      <c r="Q215" s="1"/>
      <c r="R215" s="5">
        <f t="shared" ref="R215:R219" si="56">IF(P$12=0,0,P215/P$12)</f>
        <v>4.1592263906144135E-3</v>
      </c>
      <c r="S215" s="1"/>
      <c r="T215" s="1">
        <f>SUM(OSRRefT22_2x_0)</f>
        <v>64444.44000000001</v>
      </c>
      <c r="U215" s="1"/>
      <c r="V215" s="5">
        <f t="shared" ref="V215:V219" si="57">IF(T$12=0,0,T215/T$12)</f>
        <v>5.0349912312965261E-3</v>
      </c>
      <c r="W215" s="1"/>
      <c r="X215" s="1">
        <f t="shared" ref="X215:X219" si="58">+P215-T215</f>
        <v>-18256.030000000013</v>
      </c>
      <c r="Y215" s="1"/>
      <c r="Z215" s="5">
        <f t="shared" ref="Z215:Z219" si="59">IF(T215=0,0,X215/T215)</f>
        <v>-0.28328324367470664</v>
      </c>
    </row>
    <row r="216" spans="1:26" s="24" customFormat="1" hidden="1" outlineLevel="2" x14ac:dyDescent="0.25">
      <c r="A216" s="27"/>
      <c r="B216" s="11" t="str">
        <f>CONCATENATE("          ", "6362", " - ", "ADVERTISING EXPENSE")</f>
        <v xml:space="preserve">          6362 - ADVERTISING EXPENSE</v>
      </c>
      <c r="C216" s="11"/>
      <c r="D216" s="6">
        <v>799.5</v>
      </c>
      <c r="E216" s="2"/>
      <c r="F216" s="7">
        <f t="shared" si="52"/>
        <v>1.7067803455671946E-3</v>
      </c>
      <c r="G216" s="2"/>
      <c r="H216" s="6">
        <v>5030.2299999999996</v>
      </c>
      <c r="I216" s="2"/>
      <c r="J216" s="7">
        <f t="shared" si="53"/>
        <v>6.0587865003063389E-3</v>
      </c>
      <c r="K216" s="2"/>
      <c r="L216" s="6">
        <f t="shared" si="54"/>
        <v>-4230.7299999999996</v>
      </c>
      <c r="M216" s="2"/>
      <c r="N216" s="7">
        <f t="shared" si="55"/>
        <v>-0.84106094552336574</v>
      </c>
      <c r="O216" s="11"/>
      <c r="P216" s="6">
        <v>46188.409999999996</v>
      </c>
      <c r="Q216" s="2"/>
      <c r="R216" s="7">
        <f t="shared" si="56"/>
        <v>4.1592263906144135E-3</v>
      </c>
      <c r="S216" s="2"/>
      <c r="T216" s="6">
        <v>64444.44000000001</v>
      </c>
      <c r="U216" s="2"/>
      <c r="V216" s="7">
        <f t="shared" si="57"/>
        <v>5.0349912312965261E-3</v>
      </c>
      <c r="W216" s="2"/>
      <c r="X216" s="6">
        <f t="shared" si="58"/>
        <v>-18256.030000000013</v>
      </c>
      <c r="Y216" s="2"/>
      <c r="Z216" s="7">
        <f t="shared" si="59"/>
        <v>-0.28328324367470664</v>
      </c>
    </row>
    <row r="217" spans="1:26" s="25" customFormat="1" outlineLevel="1" collapsed="1" x14ac:dyDescent="0.25">
      <c r="A217" s="26"/>
      <c r="B217" s="13" t="str">
        <f>CONCATENATE("     ","Bad Debts/Over/Short                              ")</f>
        <v xml:space="preserve">     Bad Debts/Over/Short                              </v>
      </c>
      <c r="C217" s="13"/>
      <c r="D217" s="1">
        <f>SUM(OSRRefD22_3x_0)</f>
        <v>4.6500000000000004</v>
      </c>
      <c r="E217" s="1"/>
      <c r="F217" s="5">
        <f t="shared" si="52"/>
        <v>9.9268650492651107E-6</v>
      </c>
      <c r="G217" s="1"/>
      <c r="H217" s="1">
        <f>SUM(OSRRefH22_3x_0)</f>
        <v>39.78</v>
      </c>
      <c r="I217" s="1"/>
      <c r="J217" s="5">
        <f t="shared" si="53"/>
        <v>4.7914017248154892E-5</v>
      </c>
      <c r="K217" s="1"/>
      <c r="L217" s="1">
        <f t="shared" si="54"/>
        <v>-35.130000000000003</v>
      </c>
      <c r="M217" s="1"/>
      <c r="N217" s="5">
        <f t="shared" si="55"/>
        <v>-0.88310708898944201</v>
      </c>
      <c r="O217" s="13"/>
      <c r="P217" s="1">
        <f>SUM(OSRRefP22_3x_0)</f>
        <v>-26.370000000000005</v>
      </c>
      <c r="Q217" s="1"/>
      <c r="R217" s="5">
        <f t="shared" si="56"/>
        <v>-2.3745957031320654E-6</v>
      </c>
      <c r="S217" s="1"/>
      <c r="T217" s="1">
        <f>SUM(OSRRefT22_3x_0)</f>
        <v>1433.41</v>
      </c>
      <c r="U217" s="1"/>
      <c r="V217" s="5">
        <f t="shared" si="57"/>
        <v>1.1199114742641495E-4</v>
      </c>
      <c r="W217" s="1"/>
      <c r="X217" s="1">
        <f t="shared" si="58"/>
        <v>-1459.7800000000002</v>
      </c>
      <c r="Y217" s="1"/>
      <c r="Z217" s="5">
        <f t="shared" si="59"/>
        <v>-1.0183966904095829</v>
      </c>
    </row>
    <row r="218" spans="1:26" s="24" customFormat="1" hidden="1" outlineLevel="2" x14ac:dyDescent="0.25">
      <c r="A218" s="27"/>
      <c r="B218" s="11" t="str">
        <f>CONCATENATE("          ", "6272", " - ", "CASH (OVER/SHORT)")</f>
        <v xml:space="preserve">          6272 - CASH (OVER/SHORT)</v>
      </c>
      <c r="C218" s="11"/>
      <c r="D218" s="6">
        <v>4.6500000000000004</v>
      </c>
      <c r="E218" s="2"/>
      <c r="F218" s="7">
        <f t="shared" si="52"/>
        <v>9.9268650492651107E-6</v>
      </c>
      <c r="G218" s="2"/>
      <c r="H218" s="6">
        <v>39.78</v>
      </c>
      <c r="I218" s="2"/>
      <c r="J218" s="7">
        <f t="shared" si="53"/>
        <v>4.7914017248154892E-5</v>
      </c>
      <c r="K218" s="2"/>
      <c r="L218" s="6">
        <f t="shared" si="54"/>
        <v>-35.130000000000003</v>
      </c>
      <c r="M218" s="2"/>
      <c r="N218" s="7">
        <f t="shared" si="55"/>
        <v>-0.88310708898944201</v>
      </c>
      <c r="O218" s="11"/>
      <c r="P218" s="6">
        <v>-71.17</v>
      </c>
      <c r="Q218" s="2"/>
      <c r="R218" s="7">
        <f t="shared" si="56"/>
        <v>-6.4087969735270784E-6</v>
      </c>
      <c r="S218" s="2"/>
      <c r="T218" s="6">
        <v>1433.41</v>
      </c>
      <c r="U218" s="2"/>
      <c r="V218" s="7">
        <f t="shared" si="57"/>
        <v>1.1199114742641495E-4</v>
      </c>
      <c r="W218" s="2"/>
      <c r="X218" s="6">
        <f t="shared" si="58"/>
        <v>-1504.5800000000002</v>
      </c>
      <c r="Y218" s="2"/>
      <c r="Z218" s="7">
        <f t="shared" si="59"/>
        <v>-1.0496508326298826</v>
      </c>
    </row>
    <row r="219" spans="1:26" s="24" customFormat="1" hidden="1" outlineLevel="2" x14ac:dyDescent="0.25">
      <c r="A219" s="27"/>
      <c r="B219" s="11" t="str">
        <f>CONCATENATE("          ", "6342", " - ", "BAD DEBT")</f>
        <v xml:space="preserve">          6342 - BAD DEBT</v>
      </c>
      <c r="C219" s="11"/>
      <c r="D219" s="6"/>
      <c r="E219" s="2"/>
      <c r="F219" s="7">
        <f t="shared" si="52"/>
        <v>0</v>
      </c>
      <c r="G219" s="2"/>
      <c r="H219" s="6"/>
      <c r="I219" s="2"/>
      <c r="J219" s="7">
        <f t="shared" si="53"/>
        <v>0</v>
      </c>
      <c r="K219" s="2"/>
      <c r="L219" s="6">
        <f t="shared" si="54"/>
        <v>0</v>
      </c>
      <c r="M219" s="2"/>
      <c r="N219" s="7">
        <f t="shared" si="55"/>
        <v>0</v>
      </c>
      <c r="O219" s="11"/>
      <c r="P219" s="6">
        <v>44.8</v>
      </c>
      <c r="Q219" s="2"/>
      <c r="R219" s="7">
        <f t="shared" si="56"/>
        <v>4.034201270395013E-6</v>
      </c>
      <c r="S219" s="2"/>
      <c r="T219" s="6"/>
      <c r="U219" s="2"/>
      <c r="V219" s="7">
        <f t="shared" si="57"/>
        <v>0</v>
      </c>
      <c r="W219" s="2"/>
      <c r="X219" s="6">
        <f t="shared" si="58"/>
        <v>44.8</v>
      </c>
      <c r="Y219" s="2"/>
      <c r="Z219" s="7">
        <f t="shared" si="59"/>
        <v>0</v>
      </c>
    </row>
    <row r="220" spans="1:26" s="25" customFormat="1" outlineLevel="1" collapsed="1" x14ac:dyDescent="0.25">
      <c r="A220" s="26"/>
      <c r="B220" s="13" t="str">
        <f>CONCATENATE("     ","Bank/card Fees                                    ")</f>
        <v xml:space="preserve">     Bank/card Fees                                    </v>
      </c>
      <c r="C220" s="13"/>
      <c r="D220" s="1">
        <f>SUM(OSRRefD22_4x_0)</f>
        <v>2683.78</v>
      </c>
      <c r="E220" s="1"/>
      <c r="F220" s="5">
        <f t="shared" ref="F220:F224" si="60">IF(D$12=0,0,D220/D$12)</f>
        <v>5.7293595444982189E-3</v>
      </c>
      <c r="G220" s="1"/>
      <c r="H220" s="1">
        <f>SUM(OSRRefH22_4x_0)</f>
        <v>9162.7199999999993</v>
      </c>
      <c r="I220" s="1"/>
      <c r="J220" s="5">
        <f t="shared" ref="J220:J224" si="61">IF(H$12=0,0,H220/H$12)</f>
        <v>1.1036267574660979E-2</v>
      </c>
      <c r="K220" s="1"/>
      <c r="L220" s="1">
        <f t="shared" ref="L220:L224" si="62">+D220-H220</f>
        <v>-6478.9399999999987</v>
      </c>
      <c r="M220" s="1"/>
      <c r="N220" s="5">
        <f t="shared" ref="N220:N224" si="63">IF(H220=0,0,L220/H220)</f>
        <v>-0.70709789232891529</v>
      </c>
      <c r="O220" s="13"/>
      <c r="P220" s="1">
        <f>SUM(OSRRefP22_4x_0)</f>
        <v>139831.69</v>
      </c>
      <c r="Q220" s="1"/>
      <c r="R220" s="5">
        <f t="shared" ref="R220:R224" si="64">IF(P$12=0,0,P220/P$12)</f>
        <v>1.2591722799988431E-2</v>
      </c>
      <c r="S220" s="1"/>
      <c r="T220" s="1">
        <f>SUM(OSRRefT22_4x_0)</f>
        <v>153806.89000000001</v>
      </c>
      <c r="U220" s="1"/>
      <c r="V220" s="5">
        <f t="shared" ref="V220:V224" si="65">IF(T$12=0,0,T220/T$12)</f>
        <v>1.2016806142826119E-2</v>
      </c>
      <c r="W220" s="1"/>
      <c r="X220" s="1">
        <f t="shared" ref="X220:X224" si="66">+P220-T220</f>
        <v>-13975.200000000012</v>
      </c>
      <c r="Y220" s="1"/>
      <c r="Z220" s="5">
        <f t="shared" ref="Z220:Z224" si="67">IF(T220=0,0,X220/T220)</f>
        <v>-9.0861989342610139E-2</v>
      </c>
    </row>
    <row r="221" spans="1:26" s="24" customFormat="1" hidden="1" outlineLevel="2" x14ac:dyDescent="0.25">
      <c r="A221" s="27"/>
      <c r="B221" s="11" t="str">
        <f>CONCATENATE("          ", "6381", " - ", "BANK/CREDIT CARD FEES")</f>
        <v xml:space="preserve">          6381 - BANK/CREDIT CARD FEES</v>
      </c>
      <c r="C221" s="11"/>
      <c r="D221" s="6">
        <v>2683.78</v>
      </c>
      <c r="E221" s="2"/>
      <c r="F221" s="7">
        <f t="shared" si="60"/>
        <v>5.7293595444982189E-3</v>
      </c>
      <c r="G221" s="2"/>
      <c r="H221" s="6">
        <v>9162.7199999999993</v>
      </c>
      <c r="I221" s="2"/>
      <c r="J221" s="7">
        <f t="shared" si="61"/>
        <v>1.1036267574660979E-2</v>
      </c>
      <c r="K221" s="2"/>
      <c r="L221" s="6">
        <f t="shared" si="62"/>
        <v>-6478.9399999999987</v>
      </c>
      <c r="M221" s="2"/>
      <c r="N221" s="7">
        <f t="shared" si="63"/>
        <v>-0.70709789232891529</v>
      </c>
      <c r="O221" s="11"/>
      <c r="P221" s="6">
        <v>139831.69</v>
      </c>
      <c r="Q221" s="2"/>
      <c r="R221" s="7">
        <f t="shared" si="64"/>
        <v>1.2591722799988431E-2</v>
      </c>
      <c r="S221" s="2"/>
      <c r="T221" s="6">
        <v>153806.89000000001</v>
      </c>
      <c r="U221" s="2"/>
      <c r="V221" s="7">
        <f t="shared" si="65"/>
        <v>1.2016806142826119E-2</v>
      </c>
      <c r="W221" s="2"/>
      <c r="X221" s="6">
        <f t="shared" si="66"/>
        <v>-13975.200000000012</v>
      </c>
      <c r="Y221" s="2"/>
      <c r="Z221" s="7">
        <f t="shared" si="67"/>
        <v>-9.0861989342610139E-2</v>
      </c>
    </row>
    <row r="222" spans="1:26" s="25" customFormat="1" outlineLevel="1" collapsed="1" x14ac:dyDescent="0.25">
      <c r="A222" s="26"/>
      <c r="B222" s="13" t="str">
        <f>CONCATENATE("     ","Depreciation                                      ")</f>
        <v xml:space="preserve">     Depreciation                                      </v>
      </c>
      <c r="C222" s="13"/>
      <c r="D222" s="1">
        <f>SUM(OSRRefD22_5x_0)</f>
        <v>30629.919999999998</v>
      </c>
      <c r="E222" s="1"/>
      <c r="F222" s="5">
        <f t="shared" si="60"/>
        <v>6.5389049959093837E-2</v>
      </c>
      <c r="G222" s="1"/>
      <c r="H222" s="1">
        <f>SUM(OSRRefH22_5x_0)</f>
        <v>30042.43</v>
      </c>
      <c r="I222" s="1"/>
      <c r="J222" s="5">
        <f t="shared" si="61"/>
        <v>3.61853571944818E-2</v>
      </c>
      <c r="K222" s="1"/>
      <c r="L222" s="1">
        <f t="shared" si="62"/>
        <v>587.48999999999796</v>
      </c>
      <c r="M222" s="1"/>
      <c r="N222" s="5">
        <f t="shared" si="63"/>
        <v>1.9555342227642637E-2</v>
      </c>
      <c r="O222" s="13"/>
      <c r="P222" s="1">
        <f>SUM(OSRRefP22_5x_0)</f>
        <v>301487.33999999997</v>
      </c>
      <c r="Q222" s="1"/>
      <c r="R222" s="5">
        <f t="shared" si="64"/>
        <v>2.7148674331161009E-2</v>
      </c>
      <c r="S222" s="1"/>
      <c r="T222" s="1">
        <f>SUM(OSRRefT22_5x_0)</f>
        <v>296537.02</v>
      </c>
      <c r="U222" s="1"/>
      <c r="V222" s="5">
        <f t="shared" si="65"/>
        <v>2.3168194113484458E-2</v>
      </c>
      <c r="W222" s="1"/>
      <c r="X222" s="1">
        <f t="shared" si="66"/>
        <v>4950.3199999999488</v>
      </c>
      <c r="Y222" s="1"/>
      <c r="Z222" s="5">
        <f t="shared" si="67"/>
        <v>1.6693767273981336E-2</v>
      </c>
    </row>
    <row r="223" spans="1:26" s="24" customFormat="1" hidden="1" outlineLevel="2" x14ac:dyDescent="0.25">
      <c r="A223" s="27"/>
      <c r="B223" s="11" t="str">
        <f>CONCATENATE("          ", "6321", " - ", "BUILDING DEPRECIATION")</f>
        <v xml:space="preserve">          6321 - BUILDING DEPRECIATION</v>
      </c>
      <c r="C223" s="11"/>
      <c r="D223" s="6">
        <v>16396.52</v>
      </c>
      <c r="E223" s="2"/>
      <c r="F223" s="7">
        <f t="shared" si="60"/>
        <v>3.5003449745715343E-2</v>
      </c>
      <c r="G223" s="2"/>
      <c r="H223" s="6">
        <v>16453.38</v>
      </c>
      <c r="I223" s="2"/>
      <c r="J223" s="7">
        <f t="shared" si="61"/>
        <v>1.9817685598553212E-2</v>
      </c>
      <c r="K223" s="2"/>
      <c r="L223" s="6">
        <f t="shared" si="62"/>
        <v>-56.860000000000582</v>
      </c>
      <c r="M223" s="2"/>
      <c r="N223" s="7">
        <f t="shared" si="63"/>
        <v>-3.4558248821822978E-3</v>
      </c>
      <c r="O223" s="11"/>
      <c r="P223" s="6">
        <v>163965.19999999998</v>
      </c>
      <c r="Q223" s="2"/>
      <c r="R223" s="7">
        <f t="shared" si="64"/>
        <v>1.4764924512066348E-2</v>
      </c>
      <c r="S223" s="2"/>
      <c r="T223" s="6">
        <v>164533.79999999999</v>
      </c>
      <c r="U223" s="2"/>
      <c r="V223" s="7">
        <f t="shared" si="65"/>
        <v>1.285489082148741E-2</v>
      </c>
      <c r="W223" s="2"/>
      <c r="X223" s="6">
        <f t="shared" si="66"/>
        <v>-568.60000000000582</v>
      </c>
      <c r="Y223" s="2"/>
      <c r="Z223" s="7">
        <f t="shared" si="67"/>
        <v>-3.4558248821822983E-3</v>
      </c>
    </row>
    <row r="224" spans="1:26" s="24" customFormat="1" hidden="1" outlineLevel="2" x14ac:dyDescent="0.25">
      <c r="A224" s="27"/>
      <c r="B224" s="11" t="str">
        <f>CONCATENATE("          ", "6322", " - ", "EQUIPMENT DEPRECIATION EXPENSE")</f>
        <v xml:space="preserve">          6322 - EQUIPMENT DEPRECIATION EXPENSE</v>
      </c>
      <c r="C224" s="11"/>
      <c r="D224" s="6">
        <v>14233.4</v>
      </c>
      <c r="E224" s="2"/>
      <c r="F224" s="7">
        <f t="shared" si="60"/>
        <v>3.0385600213378498E-2</v>
      </c>
      <c r="G224" s="2"/>
      <c r="H224" s="6">
        <v>13589.05</v>
      </c>
      <c r="I224" s="2"/>
      <c r="J224" s="7">
        <f t="shared" si="61"/>
        <v>1.6367671595928588E-2</v>
      </c>
      <c r="K224" s="2"/>
      <c r="L224" s="6">
        <f t="shared" si="62"/>
        <v>644.35000000000036</v>
      </c>
      <c r="M224" s="2"/>
      <c r="N224" s="7">
        <f t="shared" si="63"/>
        <v>4.7416854011133991E-2</v>
      </c>
      <c r="O224" s="11"/>
      <c r="P224" s="6">
        <v>137522.13999999998</v>
      </c>
      <c r="Q224" s="2"/>
      <c r="R224" s="7">
        <f t="shared" si="64"/>
        <v>1.2383749819094661E-2</v>
      </c>
      <c r="S224" s="2"/>
      <c r="T224" s="6">
        <v>132003.22</v>
      </c>
      <c r="U224" s="2"/>
      <c r="V224" s="7">
        <f t="shared" si="65"/>
        <v>1.0313303291997046E-2</v>
      </c>
      <c r="W224" s="2"/>
      <c r="X224" s="6">
        <f t="shared" si="66"/>
        <v>5518.9199999999837</v>
      </c>
      <c r="Y224" s="2"/>
      <c r="Z224" s="7">
        <f t="shared" si="67"/>
        <v>4.1808980114272844E-2</v>
      </c>
    </row>
    <row r="225" spans="1:26" s="25" customFormat="1" outlineLevel="1" collapsed="1" x14ac:dyDescent="0.25">
      <c r="A225" s="26"/>
      <c r="B225" s="13" t="str">
        <f>CONCATENATE("     ","Discounts and Markdowns                           ")</f>
        <v xml:space="preserve">     Discounts and Markdowns                           </v>
      </c>
      <c r="C225" s="13"/>
      <c r="D225" s="1">
        <f>SUM(OSRRefD22_6x_0)</f>
        <v>46887.76</v>
      </c>
      <c r="E225" s="1"/>
      <c r="F225" s="5">
        <f t="shared" ref="F225:F227" si="68">IF(D$12=0,0,D225/D$12)</f>
        <v>0.10009644429727541</v>
      </c>
      <c r="G225" s="1"/>
      <c r="H225" s="1">
        <f>SUM(OSRRefH22_6x_0)</f>
        <v>34086.509999999995</v>
      </c>
      <c r="I225" s="1"/>
      <c r="J225" s="5">
        <f t="shared" ref="J225:J227" si="69">IF(H$12=0,0,H225/H$12)</f>
        <v>4.1056350630201209E-2</v>
      </c>
      <c r="K225" s="1"/>
      <c r="L225" s="1">
        <f t="shared" ref="L225:L227" si="70">+D225-H225</f>
        <v>12801.250000000007</v>
      </c>
      <c r="M225" s="1"/>
      <c r="N225" s="5">
        <f t="shared" ref="N225:N227" si="71">IF(H225=0,0,L225/H225)</f>
        <v>0.37555179453690063</v>
      </c>
      <c r="O225" s="13"/>
      <c r="P225" s="1">
        <f>SUM(OSRRefP22_6x_0)</f>
        <v>373654.81</v>
      </c>
      <c r="Q225" s="1"/>
      <c r="R225" s="5">
        <f t="shared" ref="R225:R227" si="72">IF(P$12=0,0,P225/P$12)</f>
        <v>3.3647292615875166E-2</v>
      </c>
      <c r="S225" s="1"/>
      <c r="T225" s="1">
        <f>SUM(OSRRefT22_6x_0)</f>
        <v>400471.39</v>
      </c>
      <c r="U225" s="1"/>
      <c r="V225" s="5">
        <f t="shared" ref="V225:V227" si="73">IF(T$12=0,0,T225/T$12)</f>
        <v>3.1288501180786597E-2</v>
      </c>
      <c r="W225" s="1"/>
      <c r="X225" s="1">
        <f t="shared" ref="X225:X227" si="74">+P225-T225</f>
        <v>-26816.580000000016</v>
      </c>
      <c r="Y225" s="1"/>
      <c r="Z225" s="5">
        <f t="shared" ref="Z225:Z227" si="75">IF(T225=0,0,X225/T225)</f>
        <v>-6.6962536325004429E-2</v>
      </c>
    </row>
    <row r="226" spans="1:26" s="24" customFormat="1" hidden="1" outlineLevel="2" x14ac:dyDescent="0.25">
      <c r="A226" s="27"/>
      <c r="B226" s="11" t="str">
        <f>CONCATENATE("          ", "6382", " - ", "DISCOUNTS/MARK DOWNS")</f>
        <v xml:space="preserve">          6382 - DISCOUNTS/MARK DOWNS</v>
      </c>
      <c r="C226" s="11"/>
      <c r="D226" s="6">
        <v>46887.9</v>
      </c>
      <c r="E226" s="2"/>
      <c r="F226" s="7">
        <f t="shared" si="68"/>
        <v>0.10009674317063173</v>
      </c>
      <c r="G226" s="2"/>
      <c r="H226" s="6">
        <v>34435.729999999996</v>
      </c>
      <c r="I226" s="2"/>
      <c r="J226" s="7">
        <f t="shared" si="69"/>
        <v>4.1476977405047882E-2</v>
      </c>
      <c r="K226" s="2"/>
      <c r="L226" s="6">
        <f t="shared" si="70"/>
        <v>12452.170000000006</v>
      </c>
      <c r="M226" s="2"/>
      <c r="N226" s="7">
        <f t="shared" si="71"/>
        <v>0.36160609924633536</v>
      </c>
      <c r="O226" s="11"/>
      <c r="P226" s="6">
        <v>376886.43</v>
      </c>
      <c r="Q226" s="2"/>
      <c r="R226" s="7">
        <f t="shared" si="72"/>
        <v>3.3938297203139317E-2</v>
      </c>
      <c r="S226" s="2"/>
      <c r="T226" s="6">
        <v>404965.76</v>
      </c>
      <c r="U226" s="2"/>
      <c r="V226" s="7">
        <f t="shared" si="73"/>
        <v>3.1639642622006386E-2</v>
      </c>
      <c r="W226" s="2"/>
      <c r="X226" s="6">
        <f t="shared" si="74"/>
        <v>-28079.330000000016</v>
      </c>
      <c r="Y226" s="2"/>
      <c r="Z226" s="7">
        <f t="shared" si="75"/>
        <v>-6.933754103062939E-2</v>
      </c>
    </row>
    <row r="227" spans="1:26" s="24" customFormat="1" hidden="1" outlineLevel="2" x14ac:dyDescent="0.25">
      <c r="A227" s="27"/>
      <c r="B227" s="11" t="str">
        <f>CONCATENATE("          ", "9175", " - ", "EARNED DISCOUNTS")</f>
        <v xml:space="preserve">          9175 - EARNED DISCOUNTS</v>
      </c>
      <c r="C227" s="11"/>
      <c r="D227" s="6">
        <v>-0.14000000000000001</v>
      </c>
      <c r="E227" s="2"/>
      <c r="F227" s="7">
        <f t="shared" si="68"/>
        <v>-2.9887335632196032E-7</v>
      </c>
      <c r="G227" s="2"/>
      <c r="H227" s="6">
        <v>-349.22</v>
      </c>
      <c r="I227" s="2"/>
      <c r="J227" s="7">
        <f t="shared" si="69"/>
        <v>-4.2062677484667305E-4</v>
      </c>
      <c r="K227" s="2"/>
      <c r="L227" s="6">
        <f t="shared" si="70"/>
        <v>349.08000000000004</v>
      </c>
      <c r="M227" s="2"/>
      <c r="N227" s="7">
        <f t="shared" si="71"/>
        <v>-0.9995991065803792</v>
      </c>
      <c r="O227" s="11"/>
      <c r="P227" s="6">
        <v>-3231.62</v>
      </c>
      <c r="Q227" s="2"/>
      <c r="R227" s="7">
        <f t="shared" si="72"/>
        <v>-2.9100458726415027E-4</v>
      </c>
      <c r="S227" s="2"/>
      <c r="T227" s="6">
        <v>-4494.37</v>
      </c>
      <c r="U227" s="2"/>
      <c r="V227" s="7">
        <f t="shared" si="73"/>
        <v>-3.5114144121978815E-4</v>
      </c>
      <c r="W227" s="2"/>
      <c r="X227" s="6">
        <f t="shared" si="74"/>
        <v>1262.75</v>
      </c>
      <c r="Y227" s="2"/>
      <c r="Z227" s="7">
        <f t="shared" si="75"/>
        <v>-0.28096262657502608</v>
      </c>
    </row>
    <row r="228" spans="1:26" s="25" customFormat="1" outlineLevel="1" collapsed="1" x14ac:dyDescent="0.25">
      <c r="A228" s="26"/>
      <c r="B228" s="13" t="str">
        <f>CONCATENATE("     ","Donations                                         ")</f>
        <v xml:space="preserve">     Donations                                         </v>
      </c>
      <c r="C228" s="13"/>
      <c r="D228" s="1">
        <f>SUM(OSRRefD22_7x_0)</f>
        <v>0</v>
      </c>
      <c r="E228" s="1"/>
      <c r="F228" s="5">
        <f t="shared" ref="F228:F236" si="76">IF(D$12=0,0,D228/D$12)</f>
        <v>0</v>
      </c>
      <c r="G228" s="1"/>
      <c r="H228" s="1">
        <f>SUM(OSRRefH22_7x_0)</f>
        <v>851.01</v>
      </c>
      <c r="I228" s="1"/>
      <c r="J228" s="5">
        <f t="shared" ref="J228:J236" si="77">IF(H$12=0,0,H228/H$12)</f>
        <v>1.025020307148122E-3</v>
      </c>
      <c r="K228" s="1"/>
      <c r="L228" s="1">
        <f t="shared" ref="L228:L236" si="78">+D228-H228</f>
        <v>-851.01</v>
      </c>
      <c r="M228" s="1"/>
      <c r="N228" s="5">
        <f t="shared" ref="N228:N236" si="79">IF(H228=0,0,L228/H228)</f>
        <v>-1</v>
      </c>
      <c r="O228" s="13"/>
      <c r="P228" s="1">
        <f>SUM(OSRRefP22_7x_0)</f>
        <v>12371.45</v>
      </c>
      <c r="Q228" s="1"/>
      <c r="R228" s="5">
        <f t="shared" ref="R228:R236" si="80">IF(P$12=0,0,P228/P$12)</f>
        <v>1.114038377380098E-3</v>
      </c>
      <c r="S228" s="1"/>
      <c r="T228" s="1">
        <f>SUM(OSRRefT22_7x_0)</f>
        <v>8887.06</v>
      </c>
      <c r="U228" s="1"/>
      <c r="V228" s="5">
        <f t="shared" ref="V228:V236" si="81">IF(T$12=0,0,T228/T$12)</f>
        <v>6.9433870745103988E-4</v>
      </c>
      <c r="W228" s="1"/>
      <c r="X228" s="1">
        <f t="shared" ref="X228:X236" si="82">+P228-T228</f>
        <v>3484.3900000000012</v>
      </c>
      <c r="Y228" s="1"/>
      <c r="Z228" s="5">
        <f t="shared" ref="Z228:Z236" si="83">IF(T228=0,0,X228/T228)</f>
        <v>0.39207454433749761</v>
      </c>
    </row>
    <row r="229" spans="1:26" s="24" customFormat="1" hidden="1" outlineLevel="2" x14ac:dyDescent="0.25">
      <c r="A229" s="27"/>
      <c r="B229" s="11" t="str">
        <f>CONCATENATE("          ", "6399", " - ", "DONATION-ON CAMPUS")</f>
        <v xml:space="preserve">          6399 - DONATION-ON CAMPUS</v>
      </c>
      <c r="C229" s="11"/>
      <c r="D229" s="6"/>
      <c r="E229" s="2"/>
      <c r="F229" s="7">
        <f t="shared" si="76"/>
        <v>0</v>
      </c>
      <c r="G229" s="2"/>
      <c r="H229" s="6">
        <v>851.01</v>
      </c>
      <c r="I229" s="2"/>
      <c r="J229" s="7">
        <f t="shared" si="77"/>
        <v>1.025020307148122E-3</v>
      </c>
      <c r="K229" s="2"/>
      <c r="L229" s="6">
        <f t="shared" si="78"/>
        <v>-851.01</v>
      </c>
      <c r="M229" s="2"/>
      <c r="N229" s="7">
        <f t="shared" si="79"/>
        <v>-1</v>
      </c>
      <c r="O229" s="11"/>
      <c r="P229" s="6">
        <v>12371.45</v>
      </c>
      <c r="Q229" s="2"/>
      <c r="R229" s="7">
        <f t="shared" si="80"/>
        <v>1.114038377380098E-3</v>
      </c>
      <c r="S229" s="2"/>
      <c r="T229" s="6">
        <v>8887.06</v>
      </c>
      <c r="U229" s="2"/>
      <c r="V229" s="7">
        <f t="shared" si="81"/>
        <v>6.9433870745103988E-4</v>
      </c>
      <c r="W229" s="2"/>
      <c r="X229" s="6">
        <f t="shared" si="82"/>
        <v>3484.3900000000012</v>
      </c>
      <c r="Y229" s="2"/>
      <c r="Z229" s="7">
        <f t="shared" si="83"/>
        <v>0.39207454433749761</v>
      </c>
    </row>
    <row r="230" spans="1:26" s="25" customFormat="1" outlineLevel="1" collapsed="1" x14ac:dyDescent="0.25">
      <c r="A230" s="26"/>
      <c r="B230" s="13" t="str">
        <f>CONCATENATE("     ","Employees' Appreciation                           ")</f>
        <v xml:space="preserve">     Employees' Appreciation                           </v>
      </c>
      <c r="C230" s="13"/>
      <c r="D230" s="1">
        <f>SUM(OSRRefD22_8x_0)</f>
        <v>30.15</v>
      </c>
      <c r="E230" s="1"/>
      <c r="F230" s="5">
        <f t="shared" si="76"/>
        <v>6.4364512093622155E-5</v>
      </c>
      <c r="G230" s="1"/>
      <c r="H230" s="1">
        <f>SUM(OSRRefH22_8x_0)</f>
        <v>256.37</v>
      </c>
      <c r="I230" s="1"/>
      <c r="J230" s="5">
        <f t="shared" si="77"/>
        <v>3.0879126701632658E-4</v>
      </c>
      <c r="K230" s="1"/>
      <c r="L230" s="1">
        <f t="shared" si="78"/>
        <v>-226.22</v>
      </c>
      <c r="M230" s="1"/>
      <c r="N230" s="5">
        <f t="shared" si="79"/>
        <v>-0.88239653625619219</v>
      </c>
      <c r="O230" s="13"/>
      <c r="P230" s="1">
        <f>SUM(OSRRefP22_8x_0)</f>
        <v>1554.27</v>
      </c>
      <c r="Q230" s="1"/>
      <c r="R230" s="5">
        <f t="shared" si="80"/>
        <v>1.39960669833412E-4</v>
      </c>
      <c r="S230" s="1"/>
      <c r="T230" s="1">
        <f>SUM(OSRRefT22_8x_0)</f>
        <v>4111.59</v>
      </c>
      <c r="U230" s="1"/>
      <c r="V230" s="5">
        <f t="shared" si="81"/>
        <v>3.2123515382686982E-4</v>
      </c>
      <c r="W230" s="1"/>
      <c r="X230" s="1">
        <f t="shared" si="82"/>
        <v>-2557.3200000000002</v>
      </c>
      <c r="Y230" s="1"/>
      <c r="Z230" s="5">
        <f t="shared" si="83"/>
        <v>-0.62197835873713092</v>
      </c>
    </row>
    <row r="231" spans="1:26" s="24" customFormat="1" hidden="1" outlineLevel="2" x14ac:dyDescent="0.25">
      <c r="A231" s="27"/>
      <c r="B231" s="11" t="str">
        <f>CONCATENATE("          ", "6277", " - ", "EMPLOYEE APPRECIATION")</f>
        <v xml:space="preserve">          6277 - EMPLOYEE APPRECIATION</v>
      </c>
      <c r="C231" s="11"/>
      <c r="D231" s="6">
        <v>30.15</v>
      </c>
      <c r="E231" s="2"/>
      <c r="F231" s="7">
        <f t="shared" si="76"/>
        <v>6.4364512093622155E-5</v>
      </c>
      <c r="G231" s="2"/>
      <c r="H231" s="6">
        <v>256.37</v>
      </c>
      <c r="I231" s="2"/>
      <c r="J231" s="7">
        <f t="shared" si="77"/>
        <v>3.0879126701632658E-4</v>
      </c>
      <c r="K231" s="2"/>
      <c r="L231" s="6">
        <f t="shared" si="78"/>
        <v>-226.22</v>
      </c>
      <c r="M231" s="2"/>
      <c r="N231" s="7">
        <f t="shared" si="79"/>
        <v>-0.88239653625619219</v>
      </c>
      <c r="O231" s="11"/>
      <c r="P231" s="6">
        <v>1554.27</v>
      </c>
      <c r="Q231" s="2"/>
      <c r="R231" s="7">
        <f t="shared" si="80"/>
        <v>1.39960669833412E-4</v>
      </c>
      <c r="S231" s="2"/>
      <c r="T231" s="6">
        <v>4111.59</v>
      </c>
      <c r="U231" s="2"/>
      <c r="V231" s="7">
        <f t="shared" si="81"/>
        <v>3.2123515382686982E-4</v>
      </c>
      <c r="W231" s="2"/>
      <c r="X231" s="6">
        <f t="shared" si="82"/>
        <v>-2557.3200000000002</v>
      </c>
      <c r="Y231" s="2"/>
      <c r="Z231" s="7">
        <f t="shared" si="83"/>
        <v>-0.62197835873713092</v>
      </c>
    </row>
    <row r="232" spans="1:26" s="25" customFormat="1" outlineLevel="1" collapsed="1" x14ac:dyDescent="0.25">
      <c r="A232" s="26"/>
      <c r="B232" s="13" t="str">
        <f>CONCATENATE("     ","Equipment Rental                                  ")</f>
        <v xml:space="preserve">     Equipment Rental                                  </v>
      </c>
      <c r="C232" s="13"/>
      <c r="D232" s="1">
        <f>SUM(OSRRefD22_9x_0)</f>
        <v>1509.51</v>
      </c>
      <c r="E232" s="1"/>
      <c r="F232" s="5">
        <f t="shared" si="76"/>
        <v>3.2225165721540164E-3</v>
      </c>
      <c r="G232" s="1"/>
      <c r="H232" s="1">
        <f>SUM(OSRRefH22_9x_0)</f>
        <v>3431.48</v>
      </c>
      <c r="I232" s="1"/>
      <c r="J232" s="5">
        <f t="shared" si="77"/>
        <v>4.1331320237983551E-3</v>
      </c>
      <c r="K232" s="1"/>
      <c r="L232" s="1">
        <f t="shared" si="78"/>
        <v>-1921.97</v>
      </c>
      <c r="M232" s="1"/>
      <c r="N232" s="5">
        <f t="shared" si="79"/>
        <v>-0.56009943231491954</v>
      </c>
      <c r="O232" s="13"/>
      <c r="P232" s="1">
        <f>SUM(OSRRefP22_9x_0)</f>
        <v>16764.129999999997</v>
      </c>
      <c r="Q232" s="1"/>
      <c r="R232" s="5">
        <f t="shared" si="80"/>
        <v>1.5095954139077489E-3</v>
      </c>
      <c r="S232" s="1"/>
      <c r="T232" s="1">
        <f>SUM(OSRRefT22_9x_0)</f>
        <v>34123.43</v>
      </c>
      <c r="U232" s="1"/>
      <c r="V232" s="5">
        <f t="shared" si="81"/>
        <v>2.6660355933228806E-3</v>
      </c>
      <c r="W232" s="1"/>
      <c r="X232" s="1">
        <f t="shared" si="82"/>
        <v>-17359.300000000003</v>
      </c>
      <c r="Y232" s="1"/>
      <c r="Z232" s="5">
        <f t="shared" si="83"/>
        <v>-0.50872084078300461</v>
      </c>
    </row>
    <row r="233" spans="1:26" s="24" customFormat="1" hidden="1" outlineLevel="2" x14ac:dyDescent="0.25">
      <c r="A233" s="27"/>
      <c r="B233" s="11" t="str">
        <f>CONCATENATE("          ", "6351", " - ", "EQUIPMENT RENTAL")</f>
        <v xml:space="preserve">          6351 - EQUIPMENT RENTAL</v>
      </c>
      <c r="C233" s="11"/>
      <c r="D233" s="6">
        <v>1509.51</v>
      </c>
      <c r="E233" s="2"/>
      <c r="F233" s="7">
        <f t="shared" si="76"/>
        <v>3.2225165721540164E-3</v>
      </c>
      <c r="G233" s="2"/>
      <c r="H233" s="6">
        <v>3431.48</v>
      </c>
      <c r="I233" s="2"/>
      <c r="J233" s="7">
        <f t="shared" si="77"/>
        <v>4.1331320237983551E-3</v>
      </c>
      <c r="K233" s="2"/>
      <c r="L233" s="6">
        <f t="shared" si="78"/>
        <v>-1921.97</v>
      </c>
      <c r="M233" s="2"/>
      <c r="N233" s="7">
        <f t="shared" si="79"/>
        <v>-0.56009943231491954</v>
      </c>
      <c r="O233" s="11"/>
      <c r="P233" s="6">
        <v>16764.129999999997</v>
      </c>
      <c r="Q233" s="2"/>
      <c r="R233" s="7">
        <f t="shared" si="80"/>
        <v>1.5095954139077489E-3</v>
      </c>
      <c r="S233" s="2"/>
      <c r="T233" s="6">
        <v>34123.43</v>
      </c>
      <c r="U233" s="2"/>
      <c r="V233" s="7">
        <f t="shared" si="81"/>
        <v>2.6660355933228806E-3</v>
      </c>
      <c r="W233" s="2"/>
      <c r="X233" s="6">
        <f t="shared" si="82"/>
        <v>-17359.300000000003</v>
      </c>
      <c r="Y233" s="2"/>
      <c r="Z233" s="7">
        <f t="shared" si="83"/>
        <v>-0.50872084078300461</v>
      </c>
    </row>
    <row r="234" spans="1:26" s="25" customFormat="1" outlineLevel="1" collapsed="1" x14ac:dyDescent="0.25">
      <c r="A234" s="26"/>
      <c r="B234" s="13" t="str">
        <f>CONCATENATE("     ","Freight out/Postage                               ")</f>
        <v xml:space="preserve">     Freight out/Postage                               </v>
      </c>
      <c r="C234" s="13"/>
      <c r="D234" s="1">
        <f>SUM(OSRRefD22_10x_0)</f>
        <v>9093.74</v>
      </c>
      <c r="E234" s="1"/>
      <c r="F234" s="5">
        <f t="shared" si="76"/>
        <v>1.9413404252280452E-2</v>
      </c>
      <c r="G234" s="1"/>
      <c r="H234" s="1">
        <f>SUM(OSRRefH22_10x_0)</f>
        <v>6494.76</v>
      </c>
      <c r="I234" s="1"/>
      <c r="J234" s="5">
        <f t="shared" si="77"/>
        <v>7.8227763364159507E-3</v>
      </c>
      <c r="K234" s="1"/>
      <c r="L234" s="1">
        <f t="shared" si="78"/>
        <v>2598.9799999999996</v>
      </c>
      <c r="M234" s="1"/>
      <c r="N234" s="5">
        <f t="shared" si="79"/>
        <v>0.40016567201867342</v>
      </c>
      <c r="O234" s="13"/>
      <c r="P234" s="1">
        <f>SUM(OSRRefP22_10x_0)</f>
        <v>10014.789999999994</v>
      </c>
      <c r="Q234" s="1"/>
      <c r="R234" s="5">
        <f t="shared" si="80"/>
        <v>9.018231817129297E-4</v>
      </c>
      <c r="S234" s="1"/>
      <c r="T234" s="1">
        <f>SUM(OSRRefT22_10x_0)</f>
        <v>-3878.3099999999831</v>
      </c>
      <c r="U234" s="1"/>
      <c r="V234" s="5">
        <f t="shared" si="81"/>
        <v>-3.0300917879416038E-4</v>
      </c>
      <c r="W234" s="1"/>
      <c r="X234" s="1">
        <f t="shared" si="82"/>
        <v>13893.099999999977</v>
      </c>
      <c r="Y234" s="1"/>
      <c r="Z234" s="5">
        <f t="shared" si="83"/>
        <v>-3.5822561889070337</v>
      </c>
    </row>
    <row r="235" spans="1:26" s="24" customFormat="1" hidden="1" outlineLevel="2" x14ac:dyDescent="0.25">
      <c r="A235" s="27"/>
      <c r="B235" s="11" t="str">
        <f>CONCATENATE("          ", "6305", " - ", "FREIGHT OUT")</f>
        <v xml:space="preserve">          6305 - FREIGHT OUT</v>
      </c>
      <c r="C235" s="11"/>
      <c r="D235" s="6">
        <v>10653.58</v>
      </c>
      <c r="E235" s="2"/>
      <c r="F235" s="7">
        <f t="shared" si="76"/>
        <v>2.274336579603221E-2</v>
      </c>
      <c r="G235" s="2"/>
      <c r="H235" s="6">
        <v>8586.68</v>
      </c>
      <c r="I235" s="2"/>
      <c r="J235" s="7">
        <f t="shared" si="77"/>
        <v>1.0342441770346574E-2</v>
      </c>
      <c r="K235" s="2"/>
      <c r="L235" s="6">
        <f t="shared" si="78"/>
        <v>2066.8999999999996</v>
      </c>
      <c r="M235" s="2"/>
      <c r="N235" s="7">
        <f t="shared" si="79"/>
        <v>0.2407100299533696</v>
      </c>
      <c r="O235" s="11"/>
      <c r="P235" s="6">
        <v>62445.78</v>
      </c>
      <c r="Q235" s="2"/>
      <c r="R235" s="7">
        <f t="shared" si="80"/>
        <v>5.6231885046162397E-3</v>
      </c>
      <c r="S235" s="2"/>
      <c r="T235" s="6">
        <v>67828.13</v>
      </c>
      <c r="U235" s="2"/>
      <c r="V235" s="7">
        <f t="shared" si="81"/>
        <v>5.2993561552438159E-3</v>
      </c>
      <c r="W235" s="2"/>
      <c r="X235" s="6">
        <f t="shared" si="82"/>
        <v>-5382.3500000000058</v>
      </c>
      <c r="Y235" s="2"/>
      <c r="Z235" s="7">
        <f t="shared" si="83"/>
        <v>-7.9352770008549636E-2</v>
      </c>
    </row>
    <row r="236" spans="1:26" s="24" customFormat="1" hidden="1" outlineLevel="2" x14ac:dyDescent="0.25">
      <c r="A236" s="27"/>
      <c r="B236" s="11" t="str">
        <f>CONCATENATE("          ", "6307", " - ", "POSTAGE")</f>
        <v xml:space="preserve">          6307 - POSTAGE</v>
      </c>
      <c r="C236" s="11"/>
      <c r="D236" s="6">
        <v>-1559.84</v>
      </c>
      <c r="E236" s="2"/>
      <c r="F236" s="7">
        <f t="shared" si="76"/>
        <v>-3.3299615437517608E-3</v>
      </c>
      <c r="G236" s="2"/>
      <c r="H236" s="6">
        <v>-2091.92</v>
      </c>
      <c r="I236" s="2"/>
      <c r="J236" s="7">
        <f t="shared" si="77"/>
        <v>-2.5196654339306231E-3</v>
      </c>
      <c r="K236" s="2"/>
      <c r="L236" s="6">
        <f t="shared" si="78"/>
        <v>532.08000000000015</v>
      </c>
      <c r="M236" s="2"/>
      <c r="N236" s="7">
        <f t="shared" si="79"/>
        <v>-0.25435007074840343</v>
      </c>
      <c r="O236" s="11"/>
      <c r="P236" s="6">
        <v>-52430.990000000005</v>
      </c>
      <c r="Q236" s="2"/>
      <c r="R236" s="7">
        <f t="shared" si="80"/>
        <v>-4.7213653229033099E-3</v>
      </c>
      <c r="S236" s="2"/>
      <c r="T236" s="6">
        <v>-71706.439999999988</v>
      </c>
      <c r="U236" s="2"/>
      <c r="V236" s="7">
        <f t="shared" si="81"/>
        <v>-5.6023653340379767E-3</v>
      </c>
      <c r="W236" s="2"/>
      <c r="X236" s="6">
        <f t="shared" si="82"/>
        <v>19275.449999999983</v>
      </c>
      <c r="Y236" s="2"/>
      <c r="Z236" s="7">
        <f t="shared" si="83"/>
        <v>-0.26881058381924949</v>
      </c>
    </row>
    <row r="237" spans="1:26" s="25" customFormat="1" outlineLevel="1" collapsed="1" x14ac:dyDescent="0.25">
      <c r="A237" s="26"/>
      <c r="B237" s="13" t="str">
        <f>CONCATENATE("     ","General                                           ")</f>
        <v xml:space="preserve">     General                                           </v>
      </c>
      <c r="C237" s="13"/>
      <c r="D237" s="1">
        <f>SUM(OSRRefD22_11x_0)</f>
        <v>-375.03</v>
      </c>
      <c r="E237" s="1"/>
      <c r="F237" s="5">
        <f t="shared" ref="F237:F251" si="84">IF(D$12=0,0,D237/D$12)</f>
        <v>-8.0061767729589113E-4</v>
      </c>
      <c r="G237" s="1"/>
      <c r="H237" s="1">
        <f>SUM(OSRRefH22_11x_0)</f>
        <v>11180.62</v>
      </c>
      <c r="I237" s="1"/>
      <c r="J237" s="5">
        <f t="shared" ref="J237:J251" si="85">IF(H$12=0,0,H237/H$12)</f>
        <v>1.3466777765838753E-2</v>
      </c>
      <c r="K237" s="1"/>
      <c r="L237" s="1">
        <f t="shared" ref="L237:L251" si="86">+D237-H237</f>
        <v>-11555.650000000001</v>
      </c>
      <c r="M237" s="1"/>
      <c r="N237" s="5">
        <f t="shared" ref="N237:N251" si="87">IF(H237=0,0,L237/H237)</f>
        <v>-1.0335428625603948</v>
      </c>
      <c r="O237" s="13"/>
      <c r="P237" s="1">
        <f>SUM(OSRRefP22_11x_0)</f>
        <v>-1406.62</v>
      </c>
      <c r="Q237" s="1"/>
      <c r="R237" s="5">
        <f t="shared" ref="R237:R251" si="88">IF(P$12=0,0,P237/P$12)</f>
        <v>-1.2666491497685342E-4</v>
      </c>
      <c r="S237" s="1"/>
      <c r="T237" s="1">
        <f>SUM(OSRRefT22_11x_0)</f>
        <v>25714.73</v>
      </c>
      <c r="U237" s="1"/>
      <c r="V237" s="5">
        <f t="shared" ref="V237:V251" si="89">IF(T$12=0,0,T237/T$12)</f>
        <v>2.0090707602573271E-3</v>
      </c>
      <c r="W237" s="1"/>
      <c r="X237" s="1">
        <f t="shared" ref="X237:X251" si="90">+P237-T237</f>
        <v>-27121.35</v>
      </c>
      <c r="Y237" s="1"/>
      <c r="Z237" s="5">
        <f t="shared" ref="Z237:Z251" si="91">IF(T237=0,0,X237/T237)</f>
        <v>-1.0547009437781381</v>
      </c>
    </row>
    <row r="238" spans="1:26" s="24" customFormat="1" hidden="1" outlineLevel="2" x14ac:dyDescent="0.25">
      <c r="A238" s="27"/>
      <c r="B238" s="11" t="str">
        <f>CONCATENATE("          ", "6279", " - ", "GENERAL EXPENSE")</f>
        <v xml:space="preserve">          6279 - GENERAL EXPENSE</v>
      </c>
      <c r="C238" s="11"/>
      <c r="D238" s="6">
        <v>-375.03</v>
      </c>
      <c r="E238" s="2"/>
      <c r="F238" s="7">
        <f t="shared" si="84"/>
        <v>-8.0061767729589113E-4</v>
      </c>
      <c r="G238" s="2"/>
      <c r="H238" s="6">
        <v>11180.62</v>
      </c>
      <c r="I238" s="2"/>
      <c r="J238" s="7">
        <f t="shared" si="85"/>
        <v>1.3466777765838753E-2</v>
      </c>
      <c r="K238" s="2"/>
      <c r="L238" s="6">
        <f t="shared" si="86"/>
        <v>-11555.650000000001</v>
      </c>
      <c r="M238" s="2"/>
      <c r="N238" s="7">
        <f t="shared" si="87"/>
        <v>-1.0335428625603948</v>
      </c>
      <c r="O238" s="11"/>
      <c r="P238" s="6">
        <v>-1406.62</v>
      </c>
      <c r="Q238" s="2"/>
      <c r="R238" s="7">
        <f t="shared" si="88"/>
        <v>-1.2666491497685342E-4</v>
      </c>
      <c r="S238" s="2"/>
      <c r="T238" s="6">
        <v>25714.73</v>
      </c>
      <c r="U238" s="2"/>
      <c r="V238" s="7">
        <f t="shared" si="89"/>
        <v>2.0090707602573271E-3</v>
      </c>
      <c r="W238" s="2"/>
      <c r="X238" s="6">
        <f t="shared" si="90"/>
        <v>-27121.35</v>
      </c>
      <c r="Y238" s="2"/>
      <c r="Z238" s="7">
        <f t="shared" si="91"/>
        <v>-1.0547009437781381</v>
      </c>
    </row>
    <row r="239" spans="1:26" s="25" customFormat="1" outlineLevel="1" collapsed="1" x14ac:dyDescent="0.25">
      <c r="A239" s="26"/>
      <c r="B239" s="13" t="str">
        <f>CONCATENATE("     ","Insurance                                         ")</f>
        <v xml:space="preserve">     Insurance                                         </v>
      </c>
      <c r="C239" s="13"/>
      <c r="D239" s="1">
        <f>SUM(OSRRefD22_12x_0)</f>
        <v>4044.74</v>
      </c>
      <c r="E239" s="1"/>
      <c r="F239" s="5">
        <f t="shared" si="84"/>
        <v>8.6347501374977546E-3</v>
      </c>
      <c r="G239" s="1"/>
      <c r="H239" s="1">
        <f>SUM(OSRRefH22_12x_0)</f>
        <v>3809.97</v>
      </c>
      <c r="I239" s="1"/>
      <c r="J239" s="5">
        <f t="shared" si="85"/>
        <v>4.5890137831813144E-3</v>
      </c>
      <c r="K239" s="1"/>
      <c r="L239" s="1">
        <f t="shared" si="86"/>
        <v>234.76999999999998</v>
      </c>
      <c r="M239" s="1"/>
      <c r="N239" s="5">
        <f t="shared" si="87"/>
        <v>6.1619907768302638E-2</v>
      </c>
      <c r="O239" s="13"/>
      <c r="P239" s="1">
        <f>SUM(OSRRefP22_12x_0)</f>
        <v>40447.4</v>
      </c>
      <c r="Q239" s="1"/>
      <c r="R239" s="5">
        <f t="shared" si="88"/>
        <v>3.6422534032181982E-3</v>
      </c>
      <c r="S239" s="1"/>
      <c r="T239" s="1">
        <f>SUM(OSRRefT22_12x_0)</f>
        <v>31310.929999999997</v>
      </c>
      <c r="U239" s="1"/>
      <c r="V239" s="5">
        <f t="shared" si="89"/>
        <v>2.4462972755095597E-3</v>
      </c>
      <c r="W239" s="1"/>
      <c r="X239" s="1">
        <f t="shared" si="90"/>
        <v>9136.4700000000048</v>
      </c>
      <c r="Y239" s="1"/>
      <c r="Z239" s="5">
        <f t="shared" si="91"/>
        <v>0.29179810372927301</v>
      </c>
    </row>
    <row r="240" spans="1:26" s="24" customFormat="1" hidden="1" outlineLevel="2" x14ac:dyDescent="0.25">
      <c r="A240" s="27"/>
      <c r="B240" s="11" t="str">
        <f>CONCATENATE("          ", "6314", " - ", "LIABILITY INSURANCE")</f>
        <v xml:space="preserve">          6314 - LIABILITY INSURANCE</v>
      </c>
      <c r="C240" s="11"/>
      <c r="D240" s="6">
        <v>4044.74</v>
      </c>
      <c r="E240" s="2"/>
      <c r="F240" s="7">
        <f t="shared" si="84"/>
        <v>8.6347501374977546E-3</v>
      </c>
      <c r="G240" s="2"/>
      <c r="H240" s="6">
        <v>3809.97</v>
      </c>
      <c r="I240" s="2"/>
      <c r="J240" s="7">
        <f t="shared" si="85"/>
        <v>4.5890137831813144E-3</v>
      </c>
      <c r="K240" s="2"/>
      <c r="L240" s="6">
        <f t="shared" si="86"/>
        <v>234.76999999999998</v>
      </c>
      <c r="M240" s="2"/>
      <c r="N240" s="7">
        <f t="shared" si="87"/>
        <v>6.1619907768302638E-2</v>
      </c>
      <c r="O240" s="11"/>
      <c r="P240" s="6">
        <v>40447.4</v>
      </c>
      <c r="Q240" s="2"/>
      <c r="R240" s="7">
        <f t="shared" si="88"/>
        <v>3.6422534032181982E-3</v>
      </c>
      <c r="S240" s="2"/>
      <c r="T240" s="6">
        <v>31310.929999999997</v>
      </c>
      <c r="U240" s="2"/>
      <c r="V240" s="7">
        <f t="shared" si="89"/>
        <v>2.4462972755095597E-3</v>
      </c>
      <c r="W240" s="2"/>
      <c r="X240" s="6">
        <f t="shared" si="90"/>
        <v>9136.4700000000048</v>
      </c>
      <c r="Y240" s="2"/>
      <c r="Z240" s="7">
        <f t="shared" si="91"/>
        <v>0.29179810372927301</v>
      </c>
    </row>
    <row r="241" spans="1:26" s="25" customFormat="1" outlineLevel="1" collapsed="1" x14ac:dyDescent="0.25">
      <c r="A241" s="26"/>
      <c r="B241" s="13" t="str">
        <f>CONCATENATE("     ","Inventory Adjustment                              ")</f>
        <v xml:space="preserve">     Inventory Adjustment                              </v>
      </c>
      <c r="C241" s="13"/>
      <c r="D241" s="1">
        <f>SUM(OSRRefD22_13x_0)</f>
        <v>4550</v>
      </c>
      <c r="E241" s="1"/>
      <c r="F241" s="5">
        <f t="shared" si="84"/>
        <v>9.7133840804637089E-3</v>
      </c>
      <c r="G241" s="1"/>
      <c r="H241" s="1">
        <f>SUM(OSRRefH22_13x_0)</f>
        <v>10300</v>
      </c>
      <c r="I241" s="1"/>
      <c r="J241" s="5">
        <f t="shared" si="85"/>
        <v>1.2406092952639402E-2</v>
      </c>
      <c r="K241" s="1"/>
      <c r="L241" s="1">
        <f t="shared" si="86"/>
        <v>-5750</v>
      </c>
      <c r="M241" s="1"/>
      <c r="N241" s="5">
        <f t="shared" si="87"/>
        <v>-0.55825242718446599</v>
      </c>
      <c r="O241" s="13"/>
      <c r="P241" s="1">
        <f>SUM(OSRRefP22_13x_0)</f>
        <v>48800</v>
      </c>
      <c r="Q241" s="1"/>
      <c r="R241" s="5">
        <f t="shared" si="88"/>
        <v>4.3943978123945687E-3</v>
      </c>
      <c r="S241" s="1"/>
      <c r="T241" s="1">
        <f>SUM(OSRRefT22_13x_0)</f>
        <v>100600</v>
      </c>
      <c r="U241" s="1"/>
      <c r="V241" s="5">
        <f t="shared" si="89"/>
        <v>7.8597954744960216E-3</v>
      </c>
      <c r="W241" s="1"/>
      <c r="X241" s="1">
        <f t="shared" si="90"/>
        <v>-51800</v>
      </c>
      <c r="Y241" s="1"/>
      <c r="Z241" s="5">
        <f t="shared" si="91"/>
        <v>-0.51491053677932408</v>
      </c>
    </row>
    <row r="242" spans="1:26" s="24" customFormat="1" hidden="1" outlineLevel="2" x14ac:dyDescent="0.25">
      <c r="A242" s="27"/>
      <c r="B242" s="11" t="str">
        <f>CONCATENATE("          ", "6408", " - ", "INVENTORY ADJUSTMENT")</f>
        <v xml:space="preserve">          6408 - INVENTORY ADJUSTMENT</v>
      </c>
      <c r="C242" s="11"/>
      <c r="D242" s="6">
        <v>4550</v>
      </c>
      <c r="E242" s="2"/>
      <c r="F242" s="7">
        <f t="shared" si="84"/>
        <v>9.7133840804637089E-3</v>
      </c>
      <c r="G242" s="2"/>
      <c r="H242" s="6">
        <v>10300</v>
      </c>
      <c r="I242" s="2"/>
      <c r="J242" s="7">
        <f t="shared" si="85"/>
        <v>1.2406092952639402E-2</v>
      </c>
      <c r="K242" s="2"/>
      <c r="L242" s="6">
        <f t="shared" si="86"/>
        <v>-5750</v>
      </c>
      <c r="M242" s="2"/>
      <c r="N242" s="7">
        <f t="shared" si="87"/>
        <v>-0.55825242718446599</v>
      </c>
      <c r="O242" s="11"/>
      <c r="P242" s="6">
        <v>48800</v>
      </c>
      <c r="Q242" s="2"/>
      <c r="R242" s="7">
        <f t="shared" si="88"/>
        <v>4.3943978123945687E-3</v>
      </c>
      <c r="S242" s="2"/>
      <c r="T242" s="6">
        <v>100600</v>
      </c>
      <c r="U242" s="2"/>
      <c r="V242" s="7">
        <f t="shared" si="89"/>
        <v>7.8597954744960216E-3</v>
      </c>
      <c r="W242" s="2"/>
      <c r="X242" s="6">
        <f t="shared" si="90"/>
        <v>-51800</v>
      </c>
      <c r="Y242" s="2"/>
      <c r="Z242" s="7">
        <f t="shared" si="91"/>
        <v>-0.51491053677932408</v>
      </c>
    </row>
    <row r="243" spans="1:26" s="25" customFormat="1" outlineLevel="1" collapsed="1" x14ac:dyDescent="0.25">
      <c r="A243" s="26"/>
      <c r="B243" s="13" t="str">
        <f>CONCATENATE("     ","Professional Services                             ")</f>
        <v xml:space="preserve">     Professional Services                             </v>
      </c>
      <c r="C243" s="13"/>
      <c r="D243" s="1">
        <f>SUM(OSRRefD22_14x_0)</f>
        <v>2930</v>
      </c>
      <c r="E243" s="1"/>
      <c r="F243" s="5">
        <f t="shared" si="84"/>
        <v>6.2549923858810259E-3</v>
      </c>
      <c r="G243" s="1"/>
      <c r="H243" s="1">
        <f>SUM(OSRRefH22_14x_0)</f>
        <v>0</v>
      </c>
      <c r="I243" s="1"/>
      <c r="J243" s="5">
        <f t="shared" si="85"/>
        <v>0</v>
      </c>
      <c r="K243" s="1"/>
      <c r="L243" s="1">
        <f t="shared" si="86"/>
        <v>2930</v>
      </c>
      <c r="M243" s="1"/>
      <c r="N243" s="5">
        <f t="shared" si="87"/>
        <v>0</v>
      </c>
      <c r="O243" s="13"/>
      <c r="P243" s="1">
        <f>SUM(OSRRefP22_14x_0)</f>
        <v>9129.56</v>
      </c>
      <c r="Q243" s="1"/>
      <c r="R243" s="5">
        <f t="shared" si="88"/>
        <v>8.2210898549436374E-4</v>
      </c>
      <c r="S243" s="1"/>
      <c r="T243" s="1">
        <f>SUM(OSRRefT22_14x_0)</f>
        <v>8276.43</v>
      </c>
      <c r="U243" s="1"/>
      <c r="V243" s="5">
        <f t="shared" si="89"/>
        <v>6.4663068647100507E-4</v>
      </c>
      <c r="W243" s="1"/>
      <c r="X243" s="1">
        <f t="shared" si="90"/>
        <v>853.1299999999992</v>
      </c>
      <c r="Y243" s="1"/>
      <c r="Z243" s="5">
        <f t="shared" si="91"/>
        <v>0.10307946783818617</v>
      </c>
    </row>
    <row r="244" spans="1:26" s="24" customFormat="1" hidden="1" outlineLevel="2" x14ac:dyDescent="0.25">
      <c r="A244" s="27"/>
      <c r="B244" s="11" t="str">
        <f>CONCATENATE("          ", "6336", " - ", "PROFESSIONAL SERVICES")</f>
        <v xml:space="preserve">          6336 - PROFESSIONAL SERVICES</v>
      </c>
      <c r="C244" s="11"/>
      <c r="D244" s="6">
        <v>2930</v>
      </c>
      <c r="E244" s="2"/>
      <c r="F244" s="7">
        <f t="shared" si="84"/>
        <v>6.2549923858810259E-3</v>
      </c>
      <c r="G244" s="2"/>
      <c r="H244" s="6"/>
      <c r="I244" s="2"/>
      <c r="J244" s="7">
        <f t="shared" si="85"/>
        <v>0</v>
      </c>
      <c r="K244" s="2"/>
      <c r="L244" s="6">
        <f t="shared" si="86"/>
        <v>2930</v>
      </c>
      <c r="M244" s="2"/>
      <c r="N244" s="7">
        <f t="shared" si="87"/>
        <v>0</v>
      </c>
      <c r="O244" s="11"/>
      <c r="P244" s="6">
        <v>9129.56</v>
      </c>
      <c r="Q244" s="2"/>
      <c r="R244" s="7">
        <f t="shared" si="88"/>
        <v>8.2210898549436374E-4</v>
      </c>
      <c r="S244" s="2"/>
      <c r="T244" s="6">
        <v>8276.43</v>
      </c>
      <c r="U244" s="2"/>
      <c r="V244" s="7">
        <f t="shared" si="89"/>
        <v>6.4663068647100507E-4</v>
      </c>
      <c r="W244" s="2"/>
      <c r="X244" s="6">
        <f t="shared" si="90"/>
        <v>853.1299999999992</v>
      </c>
      <c r="Y244" s="2"/>
      <c r="Z244" s="7">
        <f t="shared" si="91"/>
        <v>0.10307946783818617</v>
      </c>
    </row>
    <row r="245" spans="1:26" s="25" customFormat="1" outlineLevel="1" collapsed="1" x14ac:dyDescent="0.25">
      <c r="A245" s="26"/>
      <c r="B245" s="13" t="str">
        <f>CONCATENATE("     ","Rent                                              ")</f>
        <v xml:space="preserve">     Rent                                              </v>
      </c>
      <c r="C245" s="13"/>
      <c r="D245" s="1">
        <f>SUM(OSRRefD22_15x_0)</f>
        <v>6100</v>
      </c>
      <c r="E245" s="1"/>
      <c r="F245" s="5">
        <f t="shared" si="84"/>
        <v>1.3022339096885412E-2</v>
      </c>
      <c r="G245" s="1"/>
      <c r="H245" s="1">
        <f>SUM(OSRRefH22_15x_0)</f>
        <v>6100</v>
      </c>
      <c r="I245" s="1"/>
      <c r="J245" s="5">
        <f t="shared" si="85"/>
        <v>7.3472977680679955E-3</v>
      </c>
      <c r="K245" s="1"/>
      <c r="L245" s="1">
        <f t="shared" si="86"/>
        <v>0</v>
      </c>
      <c r="M245" s="1"/>
      <c r="N245" s="5">
        <f t="shared" si="87"/>
        <v>0</v>
      </c>
      <c r="O245" s="13"/>
      <c r="P245" s="1">
        <f>SUM(OSRRefP22_15x_0)</f>
        <v>62600</v>
      </c>
      <c r="Q245" s="1"/>
      <c r="R245" s="5">
        <f t="shared" si="88"/>
        <v>5.6370758822930321E-3</v>
      </c>
      <c r="S245" s="1"/>
      <c r="T245" s="1">
        <f>SUM(OSRRefT22_15x_0)</f>
        <v>61901.080000000009</v>
      </c>
      <c r="U245" s="1"/>
      <c r="V245" s="5">
        <f t="shared" si="89"/>
        <v>4.8362806008987701E-3</v>
      </c>
      <c r="W245" s="1"/>
      <c r="X245" s="1">
        <f t="shared" si="90"/>
        <v>698.91999999999098</v>
      </c>
      <c r="Y245" s="1"/>
      <c r="Z245" s="5">
        <f t="shared" si="91"/>
        <v>1.1290917702889688E-2</v>
      </c>
    </row>
    <row r="246" spans="1:26" s="24" customFormat="1" hidden="1" outlineLevel="2" x14ac:dyDescent="0.25">
      <c r="A246" s="27"/>
      <c r="B246" s="11" t="str">
        <f>CONCATENATE("          ", "6273", " - ", "RENT")</f>
        <v xml:space="preserve">          6273 - RENT</v>
      </c>
      <c r="C246" s="11"/>
      <c r="D246" s="6">
        <v>6100</v>
      </c>
      <c r="E246" s="2"/>
      <c r="F246" s="7">
        <f t="shared" si="84"/>
        <v>1.3022339096885412E-2</v>
      </c>
      <c r="G246" s="2"/>
      <c r="H246" s="6">
        <v>6100</v>
      </c>
      <c r="I246" s="2"/>
      <c r="J246" s="7">
        <f t="shared" si="85"/>
        <v>7.3472977680679955E-3</v>
      </c>
      <c r="K246" s="2"/>
      <c r="L246" s="6">
        <f t="shared" si="86"/>
        <v>0</v>
      </c>
      <c r="M246" s="2"/>
      <c r="N246" s="7">
        <f t="shared" si="87"/>
        <v>0</v>
      </c>
      <c r="O246" s="11"/>
      <c r="P246" s="6">
        <v>62600</v>
      </c>
      <c r="Q246" s="2"/>
      <c r="R246" s="7">
        <f t="shared" si="88"/>
        <v>5.6370758822930321E-3</v>
      </c>
      <c r="S246" s="2"/>
      <c r="T246" s="6">
        <v>61901.080000000009</v>
      </c>
      <c r="U246" s="2"/>
      <c r="V246" s="7">
        <f t="shared" si="89"/>
        <v>4.8362806008987701E-3</v>
      </c>
      <c r="W246" s="2"/>
      <c r="X246" s="6">
        <f t="shared" si="90"/>
        <v>698.91999999999098</v>
      </c>
      <c r="Y246" s="2"/>
      <c r="Z246" s="7">
        <f t="shared" si="91"/>
        <v>1.1290917702889688E-2</v>
      </c>
    </row>
    <row r="247" spans="1:26" s="25" customFormat="1" outlineLevel="1" collapsed="1" x14ac:dyDescent="0.25">
      <c r="A247" s="26"/>
      <c r="B247" s="13" t="str">
        <f>CONCATENATE("     ","Repair and Maintenance                            ")</f>
        <v xml:space="preserve">     Repair and Maintenance                            </v>
      </c>
      <c r="C247" s="13"/>
      <c r="D247" s="1">
        <f>SUM(OSRRefD22_16x_0)</f>
        <v>7296.9100000000008</v>
      </c>
      <c r="E247" s="1"/>
      <c r="F247" s="5">
        <f t="shared" si="84"/>
        <v>1.5577514160566254E-2</v>
      </c>
      <c r="G247" s="1"/>
      <c r="H247" s="1">
        <f>SUM(OSRRefH22_16x_0)</f>
        <v>10300.529999999999</v>
      </c>
      <c r="I247" s="1"/>
      <c r="J247" s="5">
        <f t="shared" si="85"/>
        <v>1.2406731324412692E-2</v>
      </c>
      <c r="K247" s="1"/>
      <c r="L247" s="1">
        <f t="shared" si="86"/>
        <v>-3003.6199999999981</v>
      </c>
      <c r="M247" s="1"/>
      <c r="N247" s="5">
        <f t="shared" si="87"/>
        <v>-0.29159858764548996</v>
      </c>
      <c r="O247" s="13"/>
      <c r="P247" s="1">
        <f>SUM(OSRRefP22_16x_0)</f>
        <v>128551.20000000001</v>
      </c>
      <c r="Q247" s="1"/>
      <c r="R247" s="5">
        <f t="shared" si="88"/>
        <v>1.1575924427473292E-2</v>
      </c>
      <c r="S247" s="1"/>
      <c r="T247" s="1">
        <f>SUM(OSRRefT22_16x_0)</f>
        <v>156156.29999999999</v>
      </c>
      <c r="U247" s="1"/>
      <c r="V247" s="5">
        <f t="shared" si="89"/>
        <v>1.2200363618827465E-2</v>
      </c>
      <c r="W247" s="1"/>
      <c r="X247" s="1">
        <f t="shared" si="90"/>
        <v>-27605.099999999977</v>
      </c>
      <c r="Y247" s="1"/>
      <c r="Z247" s="5">
        <f t="shared" si="91"/>
        <v>-0.17677865062120438</v>
      </c>
    </row>
    <row r="248" spans="1:26" s="24" customFormat="1" hidden="1" outlineLevel="2" x14ac:dyDescent="0.25">
      <c r="A248" s="27"/>
      <c r="B248" s="11" t="str">
        <f>CONCATENATE("          ", "6371", " - ", "COMPUTER SOFTWARE MAINTENANCE")</f>
        <v xml:space="preserve">          6371 - COMPUTER SOFTWARE MAINTENANCE</v>
      </c>
      <c r="C248" s="11"/>
      <c r="D248" s="6">
        <v>631.04999999999995</v>
      </c>
      <c r="E248" s="2"/>
      <c r="F248" s="7">
        <f t="shared" si="84"/>
        <v>1.347171653621236E-3</v>
      </c>
      <c r="G248" s="2"/>
      <c r="H248" s="6">
        <v>601</v>
      </c>
      <c r="I248" s="2"/>
      <c r="J248" s="7">
        <f t="shared" si="85"/>
        <v>7.2388950141128935E-4</v>
      </c>
      <c r="K248" s="2"/>
      <c r="L248" s="6">
        <f t="shared" si="86"/>
        <v>30.049999999999955</v>
      </c>
      <c r="M248" s="2"/>
      <c r="N248" s="7">
        <f t="shared" si="87"/>
        <v>4.9999999999999926E-2</v>
      </c>
      <c r="O248" s="11"/>
      <c r="P248" s="6">
        <v>16417.5</v>
      </c>
      <c r="Q248" s="2"/>
      <c r="R248" s="7">
        <f t="shared" si="88"/>
        <v>1.4783816820694226E-3</v>
      </c>
      <c r="S248" s="2"/>
      <c r="T248" s="6">
        <v>46290.83</v>
      </c>
      <c r="U248" s="2"/>
      <c r="V248" s="7">
        <f t="shared" si="89"/>
        <v>3.6166645740026314E-3</v>
      </c>
      <c r="W248" s="2"/>
      <c r="X248" s="6">
        <f t="shared" si="90"/>
        <v>-29873.33</v>
      </c>
      <c r="Y248" s="2"/>
      <c r="Z248" s="7">
        <f t="shared" si="91"/>
        <v>-0.64534012459919166</v>
      </c>
    </row>
    <row r="249" spans="1:26" s="24" customFormat="1" hidden="1" outlineLevel="2" x14ac:dyDescent="0.25">
      <c r="A249" s="27"/>
      <c r="B249" s="11" t="str">
        <f>CONCATENATE("          ", "6372", " - ", "COMPUTER HARDWARE MAINTENANCE")</f>
        <v xml:space="preserve">          6372 - COMPUTER HARDWARE MAINTENANCE</v>
      </c>
      <c r="C249" s="11"/>
      <c r="D249" s="6"/>
      <c r="E249" s="2"/>
      <c r="F249" s="7">
        <f t="shared" si="84"/>
        <v>0</v>
      </c>
      <c r="G249" s="2"/>
      <c r="H249" s="6"/>
      <c r="I249" s="2"/>
      <c r="J249" s="7">
        <f t="shared" si="85"/>
        <v>0</v>
      </c>
      <c r="K249" s="2"/>
      <c r="L249" s="6">
        <f t="shared" si="86"/>
        <v>0</v>
      </c>
      <c r="M249" s="2"/>
      <c r="N249" s="7">
        <f t="shared" si="87"/>
        <v>0</v>
      </c>
      <c r="O249" s="11"/>
      <c r="P249" s="6">
        <v>52.32</v>
      </c>
      <c r="Q249" s="2"/>
      <c r="R249" s="7">
        <f t="shared" si="88"/>
        <v>4.7113707693541763E-6</v>
      </c>
      <c r="S249" s="2"/>
      <c r="T249" s="6">
        <v>51.79</v>
      </c>
      <c r="U249" s="2"/>
      <c r="V249" s="7">
        <f t="shared" si="89"/>
        <v>4.0463102149517793E-6</v>
      </c>
      <c r="W249" s="2"/>
      <c r="X249" s="6">
        <f t="shared" si="90"/>
        <v>0.53000000000000114</v>
      </c>
      <c r="Y249" s="2"/>
      <c r="Z249" s="7">
        <f t="shared" si="91"/>
        <v>1.0233635837034199E-2</v>
      </c>
    </row>
    <row r="250" spans="1:26" s="24" customFormat="1" hidden="1" outlineLevel="2" x14ac:dyDescent="0.25">
      <c r="A250" s="27"/>
      <c r="B250" s="11" t="str">
        <f>CONCATENATE("          ", "6373", " - ", "MAINTENANCE CONTRACTS")</f>
        <v xml:space="preserve">          6373 - MAINTENANCE CONTRACTS</v>
      </c>
      <c r="C250" s="11"/>
      <c r="D250" s="6">
        <v>5481.56</v>
      </c>
      <c r="E250" s="2"/>
      <c r="F250" s="7">
        <f t="shared" si="84"/>
        <v>1.1702087393430033E-2</v>
      </c>
      <c r="G250" s="2"/>
      <c r="H250" s="6">
        <v>6844.45</v>
      </c>
      <c r="I250" s="2"/>
      <c r="J250" s="7">
        <f t="shared" si="85"/>
        <v>8.2439692145332769E-3</v>
      </c>
      <c r="K250" s="2"/>
      <c r="L250" s="6">
        <f t="shared" si="86"/>
        <v>-1362.8899999999994</v>
      </c>
      <c r="M250" s="2"/>
      <c r="N250" s="7">
        <f t="shared" si="87"/>
        <v>-0.19912337733492091</v>
      </c>
      <c r="O250" s="11"/>
      <c r="P250" s="6">
        <v>74930.12</v>
      </c>
      <c r="Q250" s="2"/>
      <c r="R250" s="7">
        <f t="shared" si="88"/>
        <v>6.7473925289029194E-3</v>
      </c>
      <c r="S250" s="2"/>
      <c r="T250" s="6">
        <v>81891.849999999991</v>
      </c>
      <c r="U250" s="2"/>
      <c r="V250" s="7">
        <f t="shared" si="89"/>
        <v>6.3981430619096122E-3</v>
      </c>
      <c r="W250" s="2"/>
      <c r="X250" s="6">
        <f t="shared" si="90"/>
        <v>-6961.7299999999959</v>
      </c>
      <c r="Y250" s="2"/>
      <c r="Z250" s="7">
        <f t="shared" si="91"/>
        <v>-8.5011267910054505E-2</v>
      </c>
    </row>
    <row r="251" spans="1:26" s="24" customFormat="1" hidden="1" outlineLevel="2" x14ac:dyDescent="0.25">
      <c r="A251" s="27"/>
      <c r="B251" s="11" t="str">
        <f>CONCATENATE("          ", "6375", " - ", "OUTSIDE REPAIRS &amp; MAINTENANCE")</f>
        <v xml:space="preserve">          6375 - OUTSIDE REPAIRS &amp; MAINTENANCE</v>
      </c>
      <c r="C251" s="11"/>
      <c r="D251" s="6">
        <v>1184.3</v>
      </c>
      <c r="E251" s="2"/>
      <c r="F251" s="7">
        <f t="shared" si="84"/>
        <v>2.5282551135149827E-3</v>
      </c>
      <c r="G251" s="2"/>
      <c r="H251" s="6">
        <v>2855.08</v>
      </c>
      <c r="I251" s="2"/>
      <c r="J251" s="7">
        <f t="shared" si="85"/>
        <v>3.4388726084681265E-3</v>
      </c>
      <c r="K251" s="2"/>
      <c r="L251" s="6">
        <f t="shared" si="86"/>
        <v>-1670.78</v>
      </c>
      <c r="M251" s="2"/>
      <c r="N251" s="7">
        <f t="shared" si="87"/>
        <v>-0.58519551115905688</v>
      </c>
      <c r="O251" s="11"/>
      <c r="P251" s="6">
        <v>37151.26</v>
      </c>
      <c r="Q251" s="2"/>
      <c r="R251" s="7">
        <f t="shared" si="88"/>
        <v>3.3454388457315951E-3</v>
      </c>
      <c r="S251" s="2"/>
      <c r="T251" s="6">
        <v>27921.83</v>
      </c>
      <c r="U251" s="2"/>
      <c r="V251" s="7">
        <f t="shared" si="89"/>
        <v>2.1815096727002712E-3</v>
      </c>
      <c r="W251" s="2"/>
      <c r="X251" s="6">
        <f t="shared" si="90"/>
        <v>9229.43</v>
      </c>
      <c r="Y251" s="2"/>
      <c r="Z251" s="7">
        <f t="shared" si="91"/>
        <v>0.33054531167906975</v>
      </c>
    </row>
    <row r="252" spans="1:26" s="25" customFormat="1" outlineLevel="1" collapsed="1" x14ac:dyDescent="0.25">
      <c r="A252" s="26"/>
      <c r="B252" s="13" t="str">
        <f>CONCATENATE("     ","Royalty &amp; Commissions                             ")</f>
        <v xml:space="preserve">     Royalty &amp; Commissions                             </v>
      </c>
      <c r="C252" s="13"/>
      <c r="D252" s="1">
        <f>SUM(OSRRefD22_17x_0)</f>
        <v>20337.45</v>
      </c>
      <c r="E252" s="1"/>
      <c r="F252" s="5">
        <f t="shared" ref="F252:F255" si="92">IF(D$12=0,0,D252/D$12)</f>
        <v>4.3416585289500369E-2</v>
      </c>
      <c r="G252" s="1"/>
      <c r="H252" s="1">
        <f>SUM(OSRRefH22_17x_0)</f>
        <v>32462.28</v>
      </c>
      <c r="I252" s="1"/>
      <c r="J252" s="5">
        <f t="shared" ref="J252:J255" si="93">IF(H$12=0,0,H252/H$12)</f>
        <v>3.910000612957349E-2</v>
      </c>
      <c r="K252" s="1"/>
      <c r="L252" s="1">
        <f t="shared" ref="L252:L255" si="94">+D252-H252</f>
        <v>-12124.829999999998</v>
      </c>
      <c r="M252" s="1"/>
      <c r="N252" s="5">
        <f t="shared" ref="N252:N255" si="95">IF(H252=0,0,L252/H252)</f>
        <v>-0.37350518817532219</v>
      </c>
      <c r="O252" s="13"/>
      <c r="P252" s="1">
        <f>SUM(OSRRefP22_17x_0)</f>
        <v>123449.40000000001</v>
      </c>
      <c r="Q252" s="1"/>
      <c r="R252" s="5">
        <f t="shared" ref="R252:R255" si="96">IF(P$12=0,0,P252/P$12)</f>
        <v>1.111651174797996E-2</v>
      </c>
      <c r="S252" s="1"/>
      <c r="T252" s="1">
        <f>SUM(OSRRefT22_17x_0)</f>
        <v>157849.09999999998</v>
      </c>
      <c r="U252" s="1"/>
      <c r="V252" s="5">
        <f t="shared" ref="V252:V255" si="97">IF(T$12=0,0,T252/T$12)</f>
        <v>1.2332620694167693E-2</v>
      </c>
      <c r="W252" s="1"/>
      <c r="X252" s="1">
        <f t="shared" ref="X252:X255" si="98">+P252-T252</f>
        <v>-34399.699999999968</v>
      </c>
      <c r="Y252" s="1"/>
      <c r="Z252" s="5">
        <f t="shared" ref="Z252:Z255" si="99">IF(T252=0,0,X252/T252)</f>
        <v>-0.21792775505213507</v>
      </c>
    </row>
    <row r="253" spans="1:26" s="24" customFormat="1" hidden="1" outlineLevel="2" x14ac:dyDescent="0.25">
      <c r="A253" s="27"/>
      <c r="B253" s="11" t="str">
        <f>CONCATENATE("          ", "6253", " - ", "ROYALTY DUE ATHLETICS-LRG")</f>
        <v xml:space="preserve">          6253 - ROYALTY DUE ATHLETICS-LRG</v>
      </c>
      <c r="C253" s="11"/>
      <c r="D253" s="6">
        <v>14555.51</v>
      </c>
      <c r="E253" s="2"/>
      <c r="F253" s="7">
        <f t="shared" si="92"/>
        <v>3.1073243761984688E-2</v>
      </c>
      <c r="G253" s="2"/>
      <c r="H253" s="6">
        <v>6150.32</v>
      </c>
      <c r="I253" s="2"/>
      <c r="J253" s="7">
        <f t="shared" si="93"/>
        <v>7.4079069522793358E-3</v>
      </c>
      <c r="K253" s="2"/>
      <c r="L253" s="6">
        <f t="shared" si="94"/>
        <v>8405.19</v>
      </c>
      <c r="M253" s="2"/>
      <c r="N253" s="7">
        <f t="shared" si="95"/>
        <v>1.3666264519569715</v>
      </c>
      <c r="O253" s="11"/>
      <c r="P253" s="6">
        <v>32870.44</v>
      </c>
      <c r="Q253" s="2"/>
      <c r="R253" s="7">
        <f t="shared" si="96"/>
        <v>2.9599547055009614E-3</v>
      </c>
      <c r="S253" s="2"/>
      <c r="T253" s="6">
        <v>41365.990000000005</v>
      </c>
      <c r="U253" s="2"/>
      <c r="V253" s="7">
        <f t="shared" si="97"/>
        <v>3.231890864811608E-3</v>
      </c>
      <c r="W253" s="2"/>
      <c r="X253" s="6">
        <f t="shared" si="98"/>
        <v>-8495.5500000000029</v>
      </c>
      <c r="Y253" s="2"/>
      <c r="Z253" s="7">
        <f t="shared" si="99"/>
        <v>-0.20537523700025073</v>
      </c>
    </row>
    <row r="254" spans="1:26" s="24" customFormat="1" hidden="1" outlineLevel="2" x14ac:dyDescent="0.25">
      <c r="A254" s="27"/>
      <c r="B254" s="11" t="str">
        <f>CONCATENATE("          ", "6254", " - ", "ROYALTY &amp; COMMISSIONS")</f>
        <v xml:space="preserve">          6254 - ROYALTY &amp; COMMISSIONS</v>
      </c>
      <c r="C254" s="11"/>
      <c r="D254" s="6"/>
      <c r="E254" s="2"/>
      <c r="F254" s="7">
        <f t="shared" si="92"/>
        <v>0</v>
      </c>
      <c r="G254" s="2"/>
      <c r="H254" s="6">
        <v>2754</v>
      </c>
      <c r="I254" s="2"/>
      <c r="J254" s="7">
        <f t="shared" si="93"/>
        <v>3.3171242710261081E-3</v>
      </c>
      <c r="K254" s="2"/>
      <c r="L254" s="6">
        <f t="shared" si="94"/>
        <v>-2754</v>
      </c>
      <c r="M254" s="2"/>
      <c r="N254" s="7">
        <f t="shared" si="95"/>
        <v>-1</v>
      </c>
      <c r="O254" s="11"/>
      <c r="P254" s="6">
        <v>7971.22</v>
      </c>
      <c r="Q254" s="2"/>
      <c r="R254" s="7">
        <f t="shared" si="96"/>
        <v>7.1780146987942281E-4</v>
      </c>
      <c r="S254" s="2"/>
      <c r="T254" s="6">
        <v>13644.2</v>
      </c>
      <c r="U254" s="2"/>
      <c r="V254" s="7">
        <f t="shared" si="97"/>
        <v>1.0660101532119148E-3</v>
      </c>
      <c r="W254" s="2"/>
      <c r="X254" s="6">
        <f t="shared" si="98"/>
        <v>-5672.9800000000005</v>
      </c>
      <c r="Y254" s="2"/>
      <c r="Z254" s="7">
        <f t="shared" si="99"/>
        <v>-0.41577959865730496</v>
      </c>
    </row>
    <row r="255" spans="1:26" s="24" customFormat="1" hidden="1" outlineLevel="2" x14ac:dyDescent="0.25">
      <c r="A255" s="27"/>
      <c r="B255" s="11" t="str">
        <f>CONCATENATE("          ", "6259", " - ", "ROYALTY &amp; COMMISSIONS")</f>
        <v xml:space="preserve">          6259 - ROYALTY &amp; COMMISSIONS</v>
      </c>
      <c r="C255" s="11"/>
      <c r="D255" s="6">
        <v>5781.94</v>
      </c>
      <c r="E255" s="2"/>
      <c r="F255" s="7">
        <f t="shared" si="92"/>
        <v>1.2343341527515678E-2</v>
      </c>
      <c r="G255" s="2"/>
      <c r="H255" s="6">
        <v>23557.96</v>
      </c>
      <c r="I255" s="2"/>
      <c r="J255" s="7">
        <f t="shared" si="93"/>
        <v>2.8374974906268051E-2</v>
      </c>
      <c r="K255" s="2"/>
      <c r="L255" s="6">
        <f t="shared" si="94"/>
        <v>-17776.02</v>
      </c>
      <c r="M255" s="2"/>
      <c r="N255" s="7">
        <f t="shared" si="95"/>
        <v>-0.75456533587797925</v>
      </c>
      <c r="O255" s="11"/>
      <c r="P255" s="6">
        <v>82607.740000000005</v>
      </c>
      <c r="Q255" s="2"/>
      <c r="R255" s="7">
        <f t="shared" si="96"/>
        <v>7.4387555725995754E-3</v>
      </c>
      <c r="S255" s="2"/>
      <c r="T255" s="6">
        <v>102838.90999999999</v>
      </c>
      <c r="U255" s="2"/>
      <c r="V255" s="7">
        <f t="shared" si="97"/>
        <v>8.0347196761441711E-3</v>
      </c>
      <c r="W255" s="2"/>
      <c r="X255" s="6">
        <f t="shared" si="98"/>
        <v>-20231.169999999984</v>
      </c>
      <c r="Y255" s="2"/>
      <c r="Z255" s="7">
        <f t="shared" si="99"/>
        <v>-0.19672680311372404</v>
      </c>
    </row>
    <row r="256" spans="1:26" s="25" customFormat="1" outlineLevel="1" collapsed="1" x14ac:dyDescent="0.25">
      <c r="A256" s="26"/>
      <c r="B256" s="13" t="str">
        <f>CONCATENATE("     ","Services                                          ")</f>
        <v xml:space="preserve">     Services                                          </v>
      </c>
      <c r="C256" s="13"/>
      <c r="D256" s="1">
        <f>SUM(OSRRefD22_18x_0)</f>
        <v>4655.95</v>
      </c>
      <c r="E256" s="1"/>
      <c r="F256" s="5">
        <f t="shared" ref="F256:F260" si="100">IF(D$12=0,0,D256/D$12)</f>
        <v>9.9395671669087922E-3</v>
      </c>
      <c r="G256" s="1"/>
      <c r="H256" s="1">
        <f>SUM(OSRRefH22_18x_0)</f>
        <v>4662.1899999999996</v>
      </c>
      <c r="I256" s="1"/>
      <c r="J256" s="5">
        <f t="shared" ref="J256:J260" si="101">IF(H$12=0,0,H256/H$12)</f>
        <v>5.6154915051326105E-3</v>
      </c>
      <c r="K256" s="1"/>
      <c r="L256" s="1">
        <f t="shared" ref="L256:L260" si="102">+D256-H256</f>
        <v>-6.2399999999997817</v>
      </c>
      <c r="M256" s="1"/>
      <c r="N256" s="5">
        <f t="shared" ref="N256:N260" si="103">IF(H256=0,0,L256/H256)</f>
        <v>-1.3384267908428833E-3</v>
      </c>
      <c r="O256" s="13"/>
      <c r="P256" s="1">
        <f>SUM(OSRRefP22_18x_0)</f>
        <v>46256.869999999995</v>
      </c>
      <c r="Q256" s="1"/>
      <c r="R256" s="5">
        <f t="shared" ref="R256:R260" si="104">IF(P$12=0,0,P256/P$12)</f>
        <v>4.1653911544307356E-3</v>
      </c>
      <c r="S256" s="1"/>
      <c r="T256" s="1">
        <f>SUM(OSRRefT22_18x_0)</f>
        <v>44542.19</v>
      </c>
      <c r="U256" s="1"/>
      <c r="V256" s="5">
        <f t="shared" ref="V256:V260" si="105">IF(T$12=0,0,T256/T$12)</f>
        <v>3.4800447652698014E-3</v>
      </c>
      <c r="W256" s="1"/>
      <c r="X256" s="1">
        <f t="shared" ref="X256:X260" si="106">+P256-T256</f>
        <v>1714.679999999993</v>
      </c>
      <c r="Y256" s="1"/>
      <c r="Z256" s="5">
        <f t="shared" ref="Z256:Z260" si="107">IF(T256=0,0,X256/T256)</f>
        <v>3.8495637506822028E-2</v>
      </c>
    </row>
    <row r="257" spans="1:26" s="24" customFormat="1" hidden="1" outlineLevel="2" x14ac:dyDescent="0.25">
      <c r="A257" s="27"/>
      <c r="B257" s="11" t="str">
        <f>CONCATENATE("          ", "6282", " - ", "JANITORIAL/EXTERMINATOR EXPENS")</f>
        <v xml:space="preserve">          6282 - JANITORIAL/EXTERMINATOR EXPENS</v>
      </c>
      <c r="C257" s="11"/>
      <c r="D257" s="6">
        <v>310.5</v>
      </c>
      <c r="E257" s="2"/>
      <c r="F257" s="7">
        <f t="shared" si="100"/>
        <v>6.6285840812834763E-4</v>
      </c>
      <c r="G257" s="2"/>
      <c r="H257" s="6">
        <v>252</v>
      </c>
      <c r="I257" s="2"/>
      <c r="J257" s="7">
        <f t="shared" si="101"/>
        <v>3.0352771107428441E-4</v>
      </c>
      <c r="K257" s="2"/>
      <c r="L257" s="6">
        <f t="shared" si="102"/>
        <v>58.5</v>
      </c>
      <c r="M257" s="2"/>
      <c r="N257" s="7">
        <f t="shared" si="103"/>
        <v>0.23214285714285715</v>
      </c>
      <c r="O257" s="11"/>
      <c r="P257" s="6">
        <v>2686.02</v>
      </c>
      <c r="Q257" s="2"/>
      <c r="R257" s="7">
        <f t="shared" si="104"/>
        <v>2.4187377893541102E-4</v>
      </c>
      <c r="S257" s="2"/>
      <c r="T257" s="6">
        <v>2365.29</v>
      </c>
      <c r="U257" s="2"/>
      <c r="V257" s="7">
        <f t="shared" si="105"/>
        <v>1.847981673744602E-4</v>
      </c>
      <c r="W257" s="2"/>
      <c r="X257" s="6">
        <f t="shared" si="106"/>
        <v>320.73</v>
      </c>
      <c r="Y257" s="2"/>
      <c r="Z257" s="7">
        <f t="shared" si="107"/>
        <v>0.13559859467549434</v>
      </c>
    </row>
    <row r="258" spans="1:26" s="24" customFormat="1" hidden="1" outlineLevel="2" x14ac:dyDescent="0.25">
      <c r="A258" s="27"/>
      <c r="B258" s="11" t="str">
        <f>CONCATENATE("          ", "6283", " - ", "PLANT SERVICE")</f>
        <v xml:space="preserve">          6283 - PLANT SERVICE</v>
      </c>
      <c r="C258" s="11"/>
      <c r="D258" s="6"/>
      <c r="E258" s="2"/>
      <c r="F258" s="7">
        <f t="shared" si="100"/>
        <v>0</v>
      </c>
      <c r="G258" s="2"/>
      <c r="H258" s="6">
        <v>173</v>
      </c>
      <c r="I258" s="2"/>
      <c r="J258" s="7">
        <f t="shared" si="101"/>
        <v>2.0837418260258412E-4</v>
      </c>
      <c r="K258" s="2"/>
      <c r="L258" s="6">
        <f t="shared" si="102"/>
        <v>-173</v>
      </c>
      <c r="M258" s="2"/>
      <c r="N258" s="7">
        <f t="shared" si="103"/>
        <v>-1</v>
      </c>
      <c r="O258" s="11"/>
      <c r="P258" s="6">
        <v>541.98</v>
      </c>
      <c r="Q258" s="2"/>
      <c r="R258" s="7">
        <f t="shared" si="104"/>
        <v>4.8804830458229679E-5</v>
      </c>
      <c r="S258" s="2"/>
      <c r="T258" s="6">
        <v>1852.5</v>
      </c>
      <c r="U258" s="2"/>
      <c r="V258" s="7">
        <f t="shared" si="105"/>
        <v>1.4473430533304058E-4</v>
      </c>
      <c r="W258" s="2"/>
      <c r="X258" s="6">
        <f t="shared" si="106"/>
        <v>-1310.52</v>
      </c>
      <c r="Y258" s="2"/>
      <c r="Z258" s="7">
        <f t="shared" si="107"/>
        <v>-0.70743319838056684</v>
      </c>
    </row>
    <row r="259" spans="1:26" s="24" customFormat="1" hidden="1" outlineLevel="2" x14ac:dyDescent="0.25">
      <c r="A259" s="27"/>
      <c r="B259" s="11" t="str">
        <f>CONCATENATE("          ", "6284", " - ", "TRASH REMOVAL EXPENSE")</f>
        <v xml:space="preserve">          6284 - TRASH REMOVAL EXPENSE</v>
      </c>
      <c r="C259" s="11"/>
      <c r="D259" s="6">
        <v>134.82</v>
      </c>
      <c r="E259" s="2"/>
      <c r="F259" s="7">
        <f t="shared" si="100"/>
        <v>2.8781504213804774E-4</v>
      </c>
      <c r="G259" s="2"/>
      <c r="H259" s="6">
        <v>121.46</v>
      </c>
      <c r="I259" s="2"/>
      <c r="J259" s="7">
        <f t="shared" si="101"/>
        <v>1.4629553883762928E-4</v>
      </c>
      <c r="K259" s="2"/>
      <c r="L259" s="6">
        <f t="shared" si="102"/>
        <v>13.36</v>
      </c>
      <c r="M259" s="2"/>
      <c r="N259" s="7">
        <f t="shared" si="103"/>
        <v>0.10999506010209123</v>
      </c>
      <c r="O259" s="11"/>
      <c r="P259" s="6">
        <v>1348.2</v>
      </c>
      <c r="Q259" s="2"/>
      <c r="R259" s="7">
        <f t="shared" si="104"/>
        <v>1.2140424448094995E-4</v>
      </c>
      <c r="S259" s="2"/>
      <c r="T259" s="6">
        <v>1214.5999999999999</v>
      </c>
      <c r="U259" s="2"/>
      <c r="V259" s="7">
        <f t="shared" si="105"/>
        <v>9.4895701623487748E-5</v>
      </c>
      <c r="W259" s="2"/>
      <c r="X259" s="6">
        <f t="shared" si="106"/>
        <v>133.60000000000014</v>
      </c>
      <c r="Y259" s="2"/>
      <c r="Z259" s="7">
        <f t="shared" si="107"/>
        <v>0.10999506010209134</v>
      </c>
    </row>
    <row r="260" spans="1:26" s="24" customFormat="1" hidden="1" outlineLevel="2" x14ac:dyDescent="0.25">
      <c r="A260" s="27"/>
      <c r="B260" s="11" t="str">
        <f>CONCATENATE("          ", "6285", " - ", "JANITORIAL SERVICES")</f>
        <v xml:space="preserve">          6285 - JANITORIAL SERVICES</v>
      </c>
      <c r="C260" s="11"/>
      <c r="D260" s="6">
        <v>4210.63</v>
      </c>
      <c r="E260" s="2"/>
      <c r="F260" s="7">
        <f t="shared" si="100"/>
        <v>8.9888937166423977E-3</v>
      </c>
      <c r="G260" s="2"/>
      <c r="H260" s="6">
        <v>4115.7299999999996</v>
      </c>
      <c r="I260" s="2"/>
      <c r="J260" s="7">
        <f t="shared" si="101"/>
        <v>4.9572940726181122E-3</v>
      </c>
      <c r="K260" s="2"/>
      <c r="L260" s="6">
        <f t="shared" si="102"/>
        <v>94.900000000000546</v>
      </c>
      <c r="M260" s="2"/>
      <c r="N260" s="7">
        <f t="shared" si="103"/>
        <v>2.3057877946318285E-2</v>
      </c>
      <c r="O260" s="11"/>
      <c r="P260" s="6">
        <v>41680.67</v>
      </c>
      <c r="Q260" s="2"/>
      <c r="R260" s="7">
        <f t="shared" si="104"/>
        <v>3.7533083005561454E-3</v>
      </c>
      <c r="S260" s="2"/>
      <c r="T260" s="6">
        <v>39109.800000000003</v>
      </c>
      <c r="U260" s="2"/>
      <c r="V260" s="7">
        <f t="shared" si="105"/>
        <v>3.0556165909388128E-3</v>
      </c>
      <c r="W260" s="2"/>
      <c r="X260" s="6">
        <f t="shared" si="106"/>
        <v>2570.8699999999953</v>
      </c>
      <c r="Y260" s="2"/>
      <c r="Z260" s="7">
        <f t="shared" si="107"/>
        <v>6.5734675196497935E-2</v>
      </c>
    </row>
    <row r="261" spans="1:26" s="25" customFormat="1" outlineLevel="1" collapsed="1" x14ac:dyDescent="0.25">
      <c r="A261" s="26"/>
      <c r="B261" s="13" t="str">
        <f>CONCATENATE("     ","Subscriptions &amp; Dues                              ")</f>
        <v xml:space="preserve">     Subscriptions &amp; Dues                              </v>
      </c>
      <c r="C261" s="13"/>
      <c r="D261" s="1">
        <f>SUM(OSRRefD22_19x_0)</f>
        <v>2177.08</v>
      </c>
      <c r="E261" s="1"/>
      <c r="F261" s="5">
        <f t="shared" ref="F261:F263" si="108">IF(D$12=0,0,D261/D$12)</f>
        <v>4.6476514755815239E-3</v>
      </c>
      <c r="G261" s="1"/>
      <c r="H261" s="1">
        <f>SUM(OSRRefH22_19x_0)</f>
        <v>-4767.26</v>
      </c>
      <c r="I261" s="1"/>
      <c r="J261" s="5">
        <f t="shared" ref="J261:J263" si="109">IF(H$12=0,0,H261/H$12)</f>
        <v>-5.7420456979999724E-3</v>
      </c>
      <c r="K261" s="1"/>
      <c r="L261" s="1">
        <f t="shared" ref="L261:L263" si="110">+D261-H261</f>
        <v>6944.34</v>
      </c>
      <c r="M261" s="1"/>
      <c r="N261" s="5">
        <f t="shared" ref="N261:N263" si="111">IF(H261=0,0,L261/H261)</f>
        <v>-1.4566732252908379</v>
      </c>
      <c r="O261" s="13"/>
      <c r="P261" s="1">
        <f>SUM(OSRRefP22_19x_0)</f>
        <v>2212.35</v>
      </c>
      <c r="Q261" s="1"/>
      <c r="R261" s="5">
        <f t="shared" ref="R261:R263" si="112">IF(P$12=0,0,P261/P$12)</f>
        <v>1.9922020492317875E-4</v>
      </c>
      <c r="S261" s="1"/>
      <c r="T261" s="1">
        <f>SUM(OSRRefT22_19x_0)</f>
        <v>11902.9</v>
      </c>
      <c r="U261" s="1"/>
      <c r="V261" s="5">
        <f t="shared" ref="V261:V263" si="113">IF(T$12=0,0,T261/T$12)</f>
        <v>9.2996381265784002E-4</v>
      </c>
      <c r="W261" s="1"/>
      <c r="X261" s="1">
        <f t="shared" ref="X261:X263" si="114">+P261-T261</f>
        <v>-9690.5499999999993</v>
      </c>
      <c r="Y261" s="1"/>
      <c r="Z261" s="5">
        <f t="shared" ref="Z261:Z263" si="115">IF(T261=0,0,X261/T261)</f>
        <v>-0.8141335304841677</v>
      </c>
    </row>
    <row r="262" spans="1:26" s="24" customFormat="1" hidden="1" outlineLevel="2" x14ac:dyDescent="0.25">
      <c r="A262" s="27"/>
      <c r="B262" s="11" t="str">
        <f>CONCATENATE("          ", "6258", " - ", "MEMBERSHIP DUES")</f>
        <v xml:space="preserve">          6258 - MEMBERSHIP DUES</v>
      </c>
      <c r="C262" s="11"/>
      <c r="D262" s="6">
        <v>250</v>
      </c>
      <c r="E262" s="2"/>
      <c r="F262" s="7">
        <f t="shared" si="108"/>
        <v>5.3370242200350055E-4</v>
      </c>
      <c r="G262" s="2"/>
      <c r="H262" s="6">
        <v>-5059.22</v>
      </c>
      <c r="I262" s="2"/>
      <c r="J262" s="7">
        <f t="shared" si="109"/>
        <v>-6.0937042318303224E-3</v>
      </c>
      <c r="K262" s="2"/>
      <c r="L262" s="6">
        <f t="shared" si="110"/>
        <v>5309.22</v>
      </c>
      <c r="M262" s="2"/>
      <c r="N262" s="7">
        <f t="shared" si="111"/>
        <v>-1.0494147319151965</v>
      </c>
      <c r="O262" s="11"/>
      <c r="P262" s="6">
        <v>-580.09</v>
      </c>
      <c r="Q262" s="2"/>
      <c r="R262" s="7">
        <f t="shared" si="112"/>
        <v>-5.2236603012130436E-5</v>
      </c>
      <c r="S262" s="2"/>
      <c r="T262" s="6">
        <v>2904.64</v>
      </c>
      <c r="U262" s="2"/>
      <c r="V262" s="7">
        <f t="shared" si="113"/>
        <v>2.2693714042783424E-4</v>
      </c>
      <c r="W262" s="2"/>
      <c r="X262" s="6">
        <f t="shared" si="114"/>
        <v>-3484.73</v>
      </c>
      <c r="Y262" s="2"/>
      <c r="Z262" s="7">
        <f t="shared" si="115"/>
        <v>-1.1997114960890163</v>
      </c>
    </row>
    <row r="263" spans="1:26" s="24" customFormat="1" hidden="1" outlineLevel="2" x14ac:dyDescent="0.25">
      <c r="A263" s="27"/>
      <c r="B263" s="11" t="str">
        <f>CONCATENATE("          ", "6275", " - ", "SUBSCRIPTIONS")</f>
        <v xml:space="preserve">          6275 - SUBSCRIPTIONS</v>
      </c>
      <c r="C263" s="11"/>
      <c r="D263" s="6">
        <v>1927.08</v>
      </c>
      <c r="E263" s="2"/>
      <c r="F263" s="7">
        <f t="shared" si="108"/>
        <v>4.1139490535780227E-3</v>
      </c>
      <c r="G263" s="2"/>
      <c r="H263" s="6">
        <v>291.95999999999998</v>
      </c>
      <c r="I263" s="2"/>
      <c r="J263" s="7">
        <f t="shared" si="109"/>
        <v>3.5165853383034947E-4</v>
      </c>
      <c r="K263" s="2"/>
      <c r="L263" s="6">
        <f t="shared" si="110"/>
        <v>1635.12</v>
      </c>
      <c r="M263" s="2"/>
      <c r="N263" s="7">
        <f t="shared" si="111"/>
        <v>5.600493218249075</v>
      </c>
      <c r="O263" s="11"/>
      <c r="P263" s="6">
        <v>2792.44</v>
      </c>
      <c r="Q263" s="2"/>
      <c r="R263" s="7">
        <f t="shared" si="112"/>
        <v>2.514568079353092E-4</v>
      </c>
      <c r="S263" s="2"/>
      <c r="T263" s="6">
        <v>8998.26</v>
      </c>
      <c r="U263" s="2"/>
      <c r="V263" s="7">
        <f t="shared" si="113"/>
        <v>7.0302667223000575E-4</v>
      </c>
      <c r="W263" s="2"/>
      <c r="X263" s="6">
        <f t="shared" si="114"/>
        <v>-6205.82</v>
      </c>
      <c r="Y263" s="2"/>
      <c r="Z263" s="7">
        <f t="shared" si="115"/>
        <v>-0.68966889154125344</v>
      </c>
    </row>
    <row r="264" spans="1:26" s="25" customFormat="1" outlineLevel="1" collapsed="1" x14ac:dyDescent="0.25">
      <c r="A264" s="26"/>
      <c r="B264" s="13" t="str">
        <f>CONCATENATE("     ","Supplies                                          ")</f>
        <v xml:space="preserve">     Supplies                                          </v>
      </c>
      <c r="C264" s="13"/>
      <c r="D264" s="1">
        <f>SUM(OSRRefD22_20x_0)</f>
        <v>5258.59</v>
      </c>
      <c r="E264" s="1"/>
      <c r="F264" s="5">
        <f t="shared" ref="F264:F271" si="116">IF(D$12=0,0,D264/D$12)</f>
        <v>1.1226088877293551E-2</v>
      </c>
      <c r="G264" s="1"/>
      <c r="H264" s="1">
        <f>SUM(OSRRefH22_20x_0)</f>
        <v>9016.84</v>
      </c>
      <c r="I264" s="1"/>
      <c r="J264" s="5">
        <f t="shared" ref="J264:J271" si="117">IF(H$12=0,0,H264/H$12)</f>
        <v>1.08605587552502E-2</v>
      </c>
      <c r="K264" s="1"/>
      <c r="L264" s="1">
        <f t="shared" ref="L264:L271" si="118">+D264-H264</f>
        <v>-3758.25</v>
      </c>
      <c r="M264" s="1"/>
      <c r="N264" s="5">
        <f t="shared" ref="N264:N271" si="119">IF(H264=0,0,L264/H264)</f>
        <v>-0.41680344777105949</v>
      </c>
      <c r="O264" s="13"/>
      <c r="P264" s="1">
        <f>SUM(OSRRefP22_20x_0)</f>
        <v>91540.22</v>
      </c>
      <c r="Q264" s="1"/>
      <c r="R264" s="5">
        <f t="shared" ref="R264:R271" si="120">IF(P$12=0,0,P264/P$12)</f>
        <v>8.243117674469622E-3</v>
      </c>
      <c r="S264" s="1"/>
      <c r="T264" s="1">
        <f>SUM(OSRRefT22_20x_0)</f>
        <v>150999.16</v>
      </c>
      <c r="U264" s="1"/>
      <c r="V264" s="5">
        <f t="shared" ref="V264:V271" si="121">IF(T$12=0,0,T264/T$12)</f>
        <v>1.1797440501199808E-2</v>
      </c>
      <c r="W264" s="1"/>
      <c r="X264" s="1">
        <f t="shared" ref="X264:X271" si="122">+P264-T264</f>
        <v>-59458.94</v>
      </c>
      <c r="Y264" s="1"/>
      <c r="Z264" s="5">
        <f t="shared" ref="Z264:Z271" si="123">IF(T264=0,0,X264/T264)</f>
        <v>-0.39377000507817395</v>
      </c>
    </row>
    <row r="265" spans="1:26" s="24" customFormat="1" hidden="1" outlineLevel="2" x14ac:dyDescent="0.25">
      <c r="A265" s="27"/>
      <c r="B265" s="11" t="str">
        <f>CONCATENATE("          ", "6234", " - ", "EXPENDABLE SUPPLIES &amp; EQUIPMEN")</f>
        <v xml:space="preserve">          6234 - EXPENDABLE SUPPLIES &amp; EQUIPMEN</v>
      </c>
      <c r="C265" s="11"/>
      <c r="D265" s="6">
        <v>140.1</v>
      </c>
      <c r="E265" s="2"/>
      <c r="F265" s="7">
        <f t="shared" si="116"/>
        <v>2.9908683729076168E-4</v>
      </c>
      <c r="G265" s="2"/>
      <c r="H265" s="6">
        <v>131.38999999999999</v>
      </c>
      <c r="I265" s="2"/>
      <c r="J265" s="7">
        <f t="shared" si="117"/>
        <v>1.5825597602400882E-4</v>
      </c>
      <c r="K265" s="2"/>
      <c r="L265" s="6">
        <f t="shared" si="118"/>
        <v>8.710000000000008</v>
      </c>
      <c r="M265" s="2"/>
      <c r="N265" s="7">
        <f t="shared" si="119"/>
        <v>6.6291194154806374E-2</v>
      </c>
      <c r="O265" s="11"/>
      <c r="P265" s="6">
        <v>3441.8</v>
      </c>
      <c r="Q265" s="2"/>
      <c r="R265" s="7">
        <f t="shared" si="120"/>
        <v>3.0993111456351693E-4</v>
      </c>
      <c r="S265" s="2"/>
      <c r="T265" s="6">
        <v>3681.43</v>
      </c>
      <c r="U265" s="2"/>
      <c r="V265" s="7">
        <f t="shared" si="121"/>
        <v>2.8762710590133093E-4</v>
      </c>
      <c r="W265" s="2"/>
      <c r="X265" s="6">
        <f t="shared" si="122"/>
        <v>-239.62999999999965</v>
      </c>
      <c r="Y265" s="2"/>
      <c r="Z265" s="7">
        <f t="shared" si="123"/>
        <v>-6.5091554097184964E-2</v>
      </c>
    </row>
    <row r="266" spans="1:26" s="24" customFormat="1" hidden="1" outlineLevel="2" x14ac:dyDescent="0.25">
      <c r="A266" s="27"/>
      <c r="B266" s="11" t="str">
        <f>CONCATENATE("          ", "6237", " - ", "JANITORIAL SUPPLIES")</f>
        <v xml:space="preserve">          6237 - JANITORIAL SUPPLIES</v>
      </c>
      <c r="C266" s="11"/>
      <c r="D266" s="6">
        <v>482.39</v>
      </c>
      <c r="E266" s="2"/>
      <c r="F266" s="7">
        <f t="shared" si="116"/>
        <v>1.0298108454010744E-3</v>
      </c>
      <c r="G266" s="2"/>
      <c r="H266" s="6">
        <v>959.97</v>
      </c>
      <c r="I266" s="2"/>
      <c r="J266" s="7">
        <f t="shared" si="117"/>
        <v>1.1562599079364317E-3</v>
      </c>
      <c r="K266" s="2"/>
      <c r="L266" s="6">
        <f t="shared" si="118"/>
        <v>-477.58000000000004</v>
      </c>
      <c r="M266" s="2"/>
      <c r="N266" s="7">
        <f t="shared" si="119"/>
        <v>-0.49749471337645973</v>
      </c>
      <c r="O266" s="11"/>
      <c r="P266" s="6">
        <v>5305.04</v>
      </c>
      <c r="Q266" s="2"/>
      <c r="R266" s="7">
        <f t="shared" si="120"/>
        <v>4.7771426579232951E-4</v>
      </c>
      <c r="S266" s="2"/>
      <c r="T266" s="6">
        <v>5877.22</v>
      </c>
      <c r="U266" s="2"/>
      <c r="V266" s="7">
        <f t="shared" si="121"/>
        <v>4.5918237732224168E-4</v>
      </c>
      <c r="W266" s="2"/>
      <c r="X266" s="6">
        <f t="shared" si="122"/>
        <v>-572.18000000000029</v>
      </c>
      <c r="Y266" s="2"/>
      <c r="Z266" s="7">
        <f t="shared" si="123"/>
        <v>-9.7355552455072339E-2</v>
      </c>
    </row>
    <row r="267" spans="1:26" s="24" customFormat="1" hidden="1" outlineLevel="2" x14ac:dyDescent="0.25">
      <c r="A267" s="27"/>
      <c r="B267" s="11" t="str">
        <f>CONCATENATE("          ", "6241", " - ", "OFFICE EXPENSE")</f>
        <v xml:space="preserve">          6241 - OFFICE EXPENSE</v>
      </c>
      <c r="C267" s="11"/>
      <c r="D267" s="6">
        <v>674.84</v>
      </c>
      <c r="E267" s="2"/>
      <c r="F267" s="7">
        <f t="shared" si="116"/>
        <v>1.4406549698593692E-3</v>
      </c>
      <c r="G267" s="2"/>
      <c r="H267" s="6">
        <v>1543.05</v>
      </c>
      <c r="I267" s="2"/>
      <c r="J267" s="7">
        <f t="shared" si="117"/>
        <v>1.8585652165602163E-3</v>
      </c>
      <c r="K267" s="2"/>
      <c r="L267" s="6">
        <f t="shared" si="118"/>
        <v>-868.20999999999992</v>
      </c>
      <c r="M267" s="2"/>
      <c r="N267" s="7">
        <f t="shared" si="119"/>
        <v>-0.56265837140727781</v>
      </c>
      <c r="O267" s="11"/>
      <c r="P267" s="6">
        <v>24206.57</v>
      </c>
      <c r="Q267" s="2"/>
      <c r="R267" s="7">
        <f t="shared" si="120"/>
        <v>2.1797807019175407E-3</v>
      </c>
      <c r="S267" s="2"/>
      <c r="T267" s="6">
        <v>34194.300000000003</v>
      </c>
      <c r="U267" s="2"/>
      <c r="V267" s="7">
        <f t="shared" si="121"/>
        <v>2.6715726082858784E-3</v>
      </c>
      <c r="W267" s="2"/>
      <c r="X267" s="6">
        <f t="shared" si="122"/>
        <v>-9987.7300000000032</v>
      </c>
      <c r="Y267" s="2"/>
      <c r="Z267" s="7">
        <f t="shared" si="123"/>
        <v>-0.29208757015058073</v>
      </c>
    </row>
    <row r="268" spans="1:26" s="24" customFormat="1" hidden="1" outlineLevel="2" x14ac:dyDescent="0.25">
      <c r="A268" s="27"/>
      <c r="B268" s="11" t="str">
        <f>CONCATENATE("          ", "6243", " - ", "PAPER SUPPLIES")</f>
        <v xml:space="preserve">          6243 - PAPER SUPPLIES</v>
      </c>
      <c r="C268" s="11"/>
      <c r="D268" s="6">
        <v>791.44</v>
      </c>
      <c r="E268" s="2"/>
      <c r="F268" s="7">
        <f t="shared" si="116"/>
        <v>1.689573779481802E-3</v>
      </c>
      <c r="G268" s="2"/>
      <c r="H268" s="6">
        <v>4596</v>
      </c>
      <c r="I268" s="2"/>
      <c r="J268" s="7">
        <f t="shared" si="117"/>
        <v>5.5357673019738535E-3</v>
      </c>
      <c r="K268" s="2"/>
      <c r="L268" s="6">
        <f t="shared" si="118"/>
        <v>-3804.56</v>
      </c>
      <c r="M268" s="2"/>
      <c r="N268" s="7">
        <f t="shared" si="119"/>
        <v>-0.82779808529155785</v>
      </c>
      <c r="O268" s="11"/>
      <c r="P268" s="6">
        <v>17888.36</v>
      </c>
      <c r="Q268" s="2"/>
      <c r="R268" s="7">
        <f t="shared" si="120"/>
        <v>1.6108313535107891E-3</v>
      </c>
      <c r="S268" s="2"/>
      <c r="T268" s="6">
        <v>31085.74</v>
      </c>
      <c r="U268" s="2"/>
      <c r="V268" s="7">
        <f t="shared" si="121"/>
        <v>2.4287033655403579E-3</v>
      </c>
      <c r="W268" s="2"/>
      <c r="X268" s="6">
        <f t="shared" si="122"/>
        <v>-13197.380000000001</v>
      </c>
      <c r="Y268" s="2"/>
      <c r="Z268" s="7">
        <f t="shared" si="123"/>
        <v>-0.42454771866457097</v>
      </c>
    </row>
    <row r="269" spans="1:26" s="24" customFormat="1" hidden="1" outlineLevel="2" x14ac:dyDescent="0.25">
      <c r="A269" s="27"/>
      <c r="B269" s="11" t="str">
        <f>CONCATENATE("          ", "6245", " - ", "PRINTING")</f>
        <v xml:space="preserve">          6245 - PRINTING</v>
      </c>
      <c r="C269" s="11"/>
      <c r="D269" s="6">
        <v>485.1</v>
      </c>
      <c r="E269" s="2"/>
      <c r="F269" s="7">
        <f t="shared" si="116"/>
        <v>1.0355961796555924E-3</v>
      </c>
      <c r="G269" s="2"/>
      <c r="H269" s="6">
        <v>22</v>
      </c>
      <c r="I269" s="2"/>
      <c r="J269" s="7">
        <f t="shared" si="117"/>
        <v>2.6498450966802607E-5</v>
      </c>
      <c r="K269" s="2"/>
      <c r="L269" s="6">
        <f t="shared" si="118"/>
        <v>463.1</v>
      </c>
      <c r="M269" s="2"/>
      <c r="N269" s="7">
        <f t="shared" si="119"/>
        <v>21.05</v>
      </c>
      <c r="O269" s="11"/>
      <c r="P269" s="6">
        <v>10561.45</v>
      </c>
      <c r="Q269" s="2"/>
      <c r="R269" s="7">
        <f t="shared" si="120"/>
        <v>9.5104944212529951E-4</v>
      </c>
      <c r="S269" s="2"/>
      <c r="T269" s="6">
        <v>12293.04</v>
      </c>
      <c r="U269" s="2"/>
      <c r="V269" s="7">
        <f t="shared" si="121"/>
        <v>9.6044513081310729E-4</v>
      </c>
      <c r="W269" s="2"/>
      <c r="X269" s="6">
        <f t="shared" si="122"/>
        <v>-1731.5900000000001</v>
      </c>
      <c r="Y269" s="2"/>
      <c r="Z269" s="7">
        <f t="shared" si="123"/>
        <v>-0.14085938059259548</v>
      </c>
    </row>
    <row r="270" spans="1:26" s="24" customFormat="1" hidden="1" outlineLevel="2" x14ac:dyDescent="0.25">
      <c r="A270" s="27"/>
      <c r="B270" s="11" t="str">
        <f>CONCATENATE("          ", "6247", " - ", "STORE SUPPLIES")</f>
        <v xml:space="preserve">          6247 - STORE SUPPLIES</v>
      </c>
      <c r="C270" s="11"/>
      <c r="D270" s="6">
        <v>2640.81</v>
      </c>
      <c r="E270" s="2"/>
      <c r="F270" s="7">
        <f t="shared" si="116"/>
        <v>5.6376267722042569E-3</v>
      </c>
      <c r="G270" s="2"/>
      <c r="H270" s="6">
        <v>1764.43</v>
      </c>
      <c r="I270" s="2"/>
      <c r="J270" s="7">
        <f t="shared" si="117"/>
        <v>2.1252119017888876E-3</v>
      </c>
      <c r="K270" s="2"/>
      <c r="L270" s="6">
        <f t="shared" si="118"/>
        <v>876.37999999999988</v>
      </c>
      <c r="M270" s="2"/>
      <c r="N270" s="7">
        <f t="shared" si="119"/>
        <v>0.4966929830030094</v>
      </c>
      <c r="O270" s="11"/>
      <c r="P270" s="6">
        <v>30093.09</v>
      </c>
      <c r="Q270" s="2"/>
      <c r="R270" s="7">
        <f t="shared" si="120"/>
        <v>2.7098567390203454E-3</v>
      </c>
      <c r="S270" s="2"/>
      <c r="T270" s="6">
        <v>61890.65</v>
      </c>
      <c r="U270" s="2"/>
      <c r="V270" s="7">
        <f t="shared" si="121"/>
        <v>4.8354657135548434E-3</v>
      </c>
      <c r="W270" s="2"/>
      <c r="X270" s="6">
        <f t="shared" si="122"/>
        <v>-31797.56</v>
      </c>
      <c r="Y270" s="2"/>
      <c r="Z270" s="7">
        <f t="shared" si="123"/>
        <v>-0.51377001211006834</v>
      </c>
    </row>
    <row r="271" spans="1:26" s="24" customFormat="1" hidden="1" outlineLevel="2" x14ac:dyDescent="0.25">
      <c r="A271" s="27"/>
      <c r="B271" s="11" t="str">
        <f>CONCATENATE("          ", "6248", " - ", "UNIFORMS")</f>
        <v xml:space="preserve">          6248 - UNIFORMS</v>
      </c>
      <c r="C271" s="11"/>
      <c r="D271" s="6">
        <v>43.91</v>
      </c>
      <c r="E271" s="2"/>
      <c r="F271" s="7">
        <f t="shared" si="116"/>
        <v>9.3739493400694818E-5</v>
      </c>
      <c r="G271" s="2"/>
      <c r="H271" s="6"/>
      <c r="I271" s="2"/>
      <c r="J271" s="7">
        <f t="shared" si="117"/>
        <v>0</v>
      </c>
      <c r="K271" s="2"/>
      <c r="L271" s="6">
        <f t="shared" si="118"/>
        <v>43.91</v>
      </c>
      <c r="M271" s="2"/>
      <c r="N271" s="7">
        <f t="shared" si="119"/>
        <v>0</v>
      </c>
      <c r="O271" s="11"/>
      <c r="P271" s="6">
        <v>43.91</v>
      </c>
      <c r="Q271" s="2"/>
      <c r="R271" s="7">
        <f t="shared" si="120"/>
        <v>3.9540575398001126E-6</v>
      </c>
      <c r="S271" s="2"/>
      <c r="T271" s="6">
        <v>1976.78</v>
      </c>
      <c r="U271" s="2"/>
      <c r="V271" s="7">
        <f t="shared" si="121"/>
        <v>1.5444419978205017E-4</v>
      </c>
      <c r="W271" s="2"/>
      <c r="X271" s="6">
        <f t="shared" si="122"/>
        <v>-1932.87</v>
      </c>
      <c r="Y271" s="2"/>
      <c r="Z271" s="7">
        <f t="shared" si="123"/>
        <v>-0.97778710832768434</v>
      </c>
    </row>
    <row r="272" spans="1:26" s="25" customFormat="1" outlineLevel="1" collapsed="1" x14ac:dyDescent="0.25">
      <c r="A272" s="26"/>
      <c r="B272" s="13" t="str">
        <f>CONCATENATE("     ","Telephone/Data Lines                              ")</f>
        <v xml:space="preserve">     Telephone/Data Lines                              </v>
      </c>
      <c r="C272" s="13"/>
      <c r="D272" s="1">
        <f>SUM(OSRRefD22_21x_0)</f>
        <v>2761.68</v>
      </c>
      <c r="E272" s="1"/>
      <c r="F272" s="5">
        <f t="shared" ref="F272:F274" si="124">IF(D$12=0,0,D272/D$12)</f>
        <v>5.8956612191945089E-3</v>
      </c>
      <c r="G272" s="1"/>
      <c r="H272" s="1">
        <f>SUM(OSRRefH22_21x_0)</f>
        <v>3134.54</v>
      </c>
      <c r="I272" s="1"/>
      <c r="J272" s="5">
        <f t="shared" ref="J272:J274" si="125">IF(H$12=0,0,H272/H$12)</f>
        <v>3.7754752042491561E-3</v>
      </c>
      <c r="K272" s="1"/>
      <c r="L272" s="1">
        <f t="shared" ref="L272:L274" si="126">+D272-H272</f>
        <v>-372.86000000000013</v>
      </c>
      <c r="M272" s="1"/>
      <c r="N272" s="5">
        <f t="shared" ref="N272:N274" si="127">IF(H272=0,0,L272/H272)</f>
        <v>-0.11895206314164124</v>
      </c>
      <c r="O272" s="13"/>
      <c r="P272" s="1">
        <f>SUM(OSRRefP22_21x_0)</f>
        <v>27630.34</v>
      </c>
      <c r="Q272" s="1"/>
      <c r="R272" s="5">
        <f t="shared" ref="R272:R274" si="128">IF(P$12=0,0,P272/P$12)</f>
        <v>2.4880882305679947E-3</v>
      </c>
      <c r="S272" s="1"/>
      <c r="T272" s="1">
        <f>SUM(OSRRefT22_21x_0)</f>
        <v>30550.52</v>
      </c>
      <c r="U272" s="1"/>
      <c r="V272" s="5">
        <f t="shared" ref="V272:V274" si="129">IF(T$12=0,0,T272/T$12)</f>
        <v>2.3868870659990082E-3</v>
      </c>
      <c r="W272" s="1"/>
      <c r="X272" s="1">
        <f t="shared" ref="X272:X274" si="130">+P272-T272</f>
        <v>-2920.1800000000003</v>
      </c>
      <c r="Y272" s="1"/>
      <c r="Z272" s="5">
        <f t="shared" ref="Z272:Z274" si="131">IF(T272=0,0,X272/T272)</f>
        <v>-9.5585279726826261E-2</v>
      </c>
    </row>
    <row r="273" spans="1:26" s="24" customFormat="1" hidden="1" outlineLevel="2" x14ac:dyDescent="0.25">
      <c r="A273" s="27"/>
      <c r="B273" s="11" t="str">
        <f>CONCATENATE("          ", "6303", " - ", "DATA PHONE LINES")</f>
        <v xml:space="preserve">          6303 - DATA PHONE LINES</v>
      </c>
      <c r="C273" s="11"/>
      <c r="D273" s="6"/>
      <c r="E273" s="2"/>
      <c r="F273" s="7">
        <f t="shared" si="124"/>
        <v>0</v>
      </c>
      <c r="G273" s="2"/>
      <c r="H273" s="6">
        <v>295</v>
      </c>
      <c r="I273" s="2"/>
      <c r="J273" s="7">
        <f t="shared" si="125"/>
        <v>3.5532013796394404E-4</v>
      </c>
      <c r="K273" s="2"/>
      <c r="L273" s="6">
        <f t="shared" si="126"/>
        <v>-295</v>
      </c>
      <c r="M273" s="2"/>
      <c r="N273" s="7">
        <f t="shared" si="127"/>
        <v>-1</v>
      </c>
      <c r="O273" s="11"/>
      <c r="P273" s="6">
        <v>2360</v>
      </c>
      <c r="Q273" s="2"/>
      <c r="R273" s="7">
        <f t="shared" si="128"/>
        <v>2.1251595977973733E-4</v>
      </c>
      <c r="S273" s="2"/>
      <c r="T273" s="6">
        <v>2655</v>
      </c>
      <c r="U273" s="2"/>
      <c r="V273" s="7">
        <f t="shared" si="129"/>
        <v>2.0743297201577474E-4</v>
      </c>
      <c r="W273" s="2"/>
      <c r="X273" s="6">
        <f t="shared" si="130"/>
        <v>-295</v>
      </c>
      <c r="Y273" s="2"/>
      <c r="Z273" s="7">
        <f t="shared" si="131"/>
        <v>-0.1111111111111111</v>
      </c>
    </row>
    <row r="274" spans="1:26" s="24" customFormat="1" hidden="1" outlineLevel="2" x14ac:dyDescent="0.25">
      <c r="A274" s="27"/>
      <c r="B274" s="11" t="str">
        <f>CONCATENATE("          ", "6309", " - ", "TELEPHONE")</f>
        <v xml:space="preserve">          6309 - TELEPHONE</v>
      </c>
      <c r="C274" s="11"/>
      <c r="D274" s="6">
        <v>2761.68</v>
      </c>
      <c r="E274" s="2"/>
      <c r="F274" s="7">
        <f t="shared" si="124"/>
        <v>5.8956612191945089E-3</v>
      </c>
      <c r="G274" s="2"/>
      <c r="H274" s="6">
        <v>2839.54</v>
      </c>
      <c r="I274" s="2"/>
      <c r="J274" s="7">
        <f t="shared" si="125"/>
        <v>3.4201550662852124E-3</v>
      </c>
      <c r="K274" s="2"/>
      <c r="L274" s="6">
        <f t="shared" si="126"/>
        <v>-77.860000000000127</v>
      </c>
      <c r="M274" s="2"/>
      <c r="N274" s="7">
        <f t="shared" si="127"/>
        <v>-2.7419934214696792E-2</v>
      </c>
      <c r="O274" s="11"/>
      <c r="P274" s="6">
        <v>25270.34</v>
      </c>
      <c r="Q274" s="2"/>
      <c r="R274" s="7">
        <f t="shared" si="128"/>
        <v>2.2755722707882573E-3</v>
      </c>
      <c r="S274" s="2"/>
      <c r="T274" s="6">
        <v>27895.52</v>
      </c>
      <c r="U274" s="2"/>
      <c r="V274" s="7">
        <f t="shared" si="129"/>
        <v>2.1794540939832335E-3</v>
      </c>
      <c r="W274" s="2"/>
      <c r="X274" s="6">
        <f t="shared" si="130"/>
        <v>-2625.1800000000003</v>
      </c>
      <c r="Y274" s="2"/>
      <c r="Z274" s="7">
        <f t="shared" si="131"/>
        <v>-9.4107584300274744E-2</v>
      </c>
    </row>
    <row r="275" spans="1:26" s="25" customFormat="1" outlineLevel="1" collapsed="1" x14ac:dyDescent="0.25">
      <c r="A275" s="26"/>
      <c r="B275" s="13" t="str">
        <f>CONCATENATE("     ","Training                                          ")</f>
        <v xml:space="preserve">     Training                                          </v>
      </c>
      <c r="C275" s="13"/>
      <c r="D275" s="1">
        <f>SUM(OSRRefD22_22x_0)</f>
        <v>1350</v>
      </c>
      <c r="E275" s="1"/>
      <c r="F275" s="5">
        <f t="shared" ref="F275:F280" si="132">IF(D$12=0,0,D275/D$12)</f>
        <v>2.8819930788189026E-3</v>
      </c>
      <c r="G275" s="1"/>
      <c r="H275" s="1">
        <f>SUM(OSRRefH22_22x_0)</f>
        <v>2187.85</v>
      </c>
      <c r="I275" s="1"/>
      <c r="J275" s="5">
        <f t="shared" ref="J275:J280" si="133">IF(H$12=0,0,H275/H$12)</f>
        <v>2.6352107248963216E-3</v>
      </c>
      <c r="K275" s="1"/>
      <c r="L275" s="1">
        <f t="shared" ref="L275:L280" si="134">+D275-H275</f>
        <v>-837.84999999999991</v>
      </c>
      <c r="M275" s="1"/>
      <c r="N275" s="5">
        <f t="shared" ref="N275:N280" si="135">IF(H275=0,0,L275/H275)</f>
        <v>-0.38295586991795594</v>
      </c>
      <c r="O275" s="13"/>
      <c r="P275" s="1">
        <f>SUM(OSRRefP22_22x_0)</f>
        <v>23592.63</v>
      </c>
      <c r="Q275" s="1"/>
      <c r="R275" s="5">
        <f t="shared" ref="R275:R280" si="136">IF(P$12=0,0,P275/P$12)</f>
        <v>2.1244959356687392E-3</v>
      </c>
      <c r="S275" s="1"/>
      <c r="T275" s="1">
        <f>SUM(OSRRefT22_22x_0)</f>
        <v>22000.3</v>
      </c>
      <c r="U275" s="1"/>
      <c r="V275" s="5">
        <f t="shared" ref="V275:V280" si="137">IF(T$12=0,0,T275/T$12)</f>
        <v>1.7188653914269865E-3</v>
      </c>
      <c r="W275" s="1"/>
      <c r="X275" s="1">
        <f t="shared" ref="X275:X280" si="138">+P275-T275</f>
        <v>1592.3300000000017</v>
      </c>
      <c r="Y275" s="1"/>
      <c r="Z275" s="5">
        <f t="shared" ref="Z275:Z280" si="139">IF(T275=0,0,X275/T275)</f>
        <v>7.2377649395690136E-2</v>
      </c>
    </row>
    <row r="276" spans="1:26" s="24" customFormat="1" hidden="1" outlineLevel="2" x14ac:dyDescent="0.25">
      <c r="A276" s="27"/>
      <c r="B276" s="11" t="str">
        <f>CONCATENATE("          ", "6376", " - ", "TRAINING")</f>
        <v xml:space="preserve">          6376 - TRAINING</v>
      </c>
      <c r="C276" s="11"/>
      <c r="D276" s="6">
        <v>1350</v>
      </c>
      <c r="E276" s="2"/>
      <c r="F276" s="7">
        <f t="shared" si="132"/>
        <v>2.8819930788189026E-3</v>
      </c>
      <c r="G276" s="2"/>
      <c r="H276" s="6">
        <v>2187.85</v>
      </c>
      <c r="I276" s="2"/>
      <c r="J276" s="7">
        <f t="shared" si="133"/>
        <v>2.6352107248963216E-3</v>
      </c>
      <c r="K276" s="2"/>
      <c r="L276" s="6">
        <f t="shared" si="134"/>
        <v>-837.84999999999991</v>
      </c>
      <c r="M276" s="2"/>
      <c r="N276" s="7">
        <f t="shared" si="135"/>
        <v>-0.38295586991795594</v>
      </c>
      <c r="O276" s="11"/>
      <c r="P276" s="6">
        <v>23592.63</v>
      </c>
      <c r="Q276" s="2"/>
      <c r="R276" s="7">
        <f t="shared" si="136"/>
        <v>2.1244959356687392E-3</v>
      </c>
      <c r="S276" s="2"/>
      <c r="T276" s="6">
        <v>22000.3</v>
      </c>
      <c r="U276" s="2"/>
      <c r="V276" s="7">
        <f t="shared" si="137"/>
        <v>1.7188653914269865E-3</v>
      </c>
      <c r="W276" s="2"/>
      <c r="X276" s="6">
        <f t="shared" si="138"/>
        <v>1592.3300000000017</v>
      </c>
      <c r="Y276" s="2"/>
      <c r="Z276" s="7">
        <f t="shared" si="139"/>
        <v>7.2377649395690136E-2</v>
      </c>
    </row>
    <row r="277" spans="1:26" s="25" customFormat="1" outlineLevel="1" collapsed="1" x14ac:dyDescent="0.25">
      <c r="A277" s="26"/>
      <c r="B277" s="13" t="str">
        <f>CONCATENATE("     ","Travel                                            ")</f>
        <v xml:space="preserve">     Travel                                            </v>
      </c>
      <c r="C277" s="13"/>
      <c r="D277" s="1">
        <f>SUM(OSRRefD22_23x_0)</f>
        <v>85.45</v>
      </c>
      <c r="E277" s="1"/>
      <c r="F277" s="5">
        <f t="shared" si="132"/>
        <v>1.8241948784079648E-4</v>
      </c>
      <c r="G277" s="1"/>
      <c r="H277" s="1">
        <f>SUM(OSRRefH22_23x_0)</f>
        <v>548.0200000000001</v>
      </c>
      <c r="I277" s="1"/>
      <c r="J277" s="5">
        <f t="shared" si="133"/>
        <v>6.6007641358305301E-4</v>
      </c>
      <c r="K277" s="1"/>
      <c r="L277" s="1">
        <f t="shared" si="134"/>
        <v>-462.57000000000011</v>
      </c>
      <c r="M277" s="1"/>
      <c r="N277" s="5">
        <f t="shared" si="135"/>
        <v>-0.84407503375789206</v>
      </c>
      <c r="O277" s="13"/>
      <c r="P277" s="1">
        <f>SUM(OSRRefP22_23x_0)</f>
        <v>1139.73</v>
      </c>
      <c r="Q277" s="1"/>
      <c r="R277" s="5">
        <f t="shared" si="136"/>
        <v>1.0263170120328814E-4</v>
      </c>
      <c r="S277" s="1"/>
      <c r="T277" s="1">
        <f>SUM(OSRRefT22_23x_0)</f>
        <v>4860.1500000000005</v>
      </c>
      <c r="U277" s="1"/>
      <c r="V277" s="5">
        <f t="shared" si="137"/>
        <v>3.7971953255836827E-4</v>
      </c>
      <c r="W277" s="1"/>
      <c r="X277" s="1">
        <f t="shared" si="138"/>
        <v>-3720.4200000000005</v>
      </c>
      <c r="Y277" s="1"/>
      <c r="Z277" s="5">
        <f t="shared" si="139"/>
        <v>-0.76549489213295885</v>
      </c>
    </row>
    <row r="278" spans="1:26" s="24" customFormat="1" hidden="1" outlineLevel="2" x14ac:dyDescent="0.25">
      <c r="A278" s="27"/>
      <c r="B278" s="11" t="str">
        <f>CONCATENATE("          ", "6292", " - ", "TRAVEL/CONFERENCE")</f>
        <v xml:space="preserve">          6292 - TRAVEL/CONFERENCE</v>
      </c>
      <c r="C278" s="11"/>
      <c r="D278" s="6"/>
      <c r="E278" s="2"/>
      <c r="F278" s="7">
        <f t="shared" si="132"/>
        <v>0</v>
      </c>
      <c r="G278" s="2"/>
      <c r="H278" s="6">
        <v>90.47</v>
      </c>
      <c r="I278" s="2"/>
      <c r="J278" s="7">
        <f t="shared" si="133"/>
        <v>1.0896885722575599E-4</v>
      </c>
      <c r="K278" s="2"/>
      <c r="L278" s="6">
        <f t="shared" si="134"/>
        <v>-90.47</v>
      </c>
      <c r="M278" s="2"/>
      <c r="N278" s="7">
        <f t="shared" si="135"/>
        <v>-1</v>
      </c>
      <c r="O278" s="11"/>
      <c r="P278" s="6">
        <v>326.60000000000002</v>
      </c>
      <c r="Q278" s="2"/>
      <c r="R278" s="7">
        <f t="shared" si="136"/>
        <v>2.9410047654263651E-5</v>
      </c>
      <c r="S278" s="2"/>
      <c r="T278" s="6">
        <v>3402.34</v>
      </c>
      <c r="U278" s="2"/>
      <c r="V278" s="7">
        <f t="shared" si="137"/>
        <v>2.6582203314807947E-4</v>
      </c>
      <c r="W278" s="2"/>
      <c r="X278" s="6">
        <f t="shared" si="138"/>
        <v>-3075.7400000000002</v>
      </c>
      <c r="Y278" s="2"/>
      <c r="Z278" s="7">
        <f t="shared" si="139"/>
        <v>-0.90400724207457228</v>
      </c>
    </row>
    <row r="279" spans="1:26" s="24" customFormat="1" hidden="1" outlineLevel="2" x14ac:dyDescent="0.25">
      <c r="A279" s="27"/>
      <c r="B279" s="11" t="str">
        <f>CONCATENATE("          ", "6294", " - ", "TRAVEL OPERATIONAL")</f>
        <v xml:space="preserve">          6294 - TRAVEL OPERATIONAL</v>
      </c>
      <c r="C279" s="11"/>
      <c r="D279" s="6"/>
      <c r="E279" s="2"/>
      <c r="F279" s="7">
        <f t="shared" si="132"/>
        <v>0</v>
      </c>
      <c r="G279" s="2"/>
      <c r="H279" s="6">
        <v>411.35</v>
      </c>
      <c r="I279" s="2"/>
      <c r="J279" s="7">
        <f t="shared" si="133"/>
        <v>4.9546080932701153E-4</v>
      </c>
      <c r="K279" s="2"/>
      <c r="L279" s="6">
        <f t="shared" si="134"/>
        <v>-411.35</v>
      </c>
      <c r="M279" s="2"/>
      <c r="N279" s="7">
        <f t="shared" si="135"/>
        <v>-1</v>
      </c>
      <c r="O279" s="11"/>
      <c r="P279" s="6">
        <v>361.61</v>
      </c>
      <c r="Q279" s="2"/>
      <c r="R279" s="7">
        <f t="shared" si="136"/>
        <v>3.2562667888114752E-5</v>
      </c>
      <c r="S279" s="2"/>
      <c r="T279" s="6">
        <v>883.96</v>
      </c>
      <c r="U279" s="2"/>
      <c r="V279" s="7">
        <f t="shared" si="137"/>
        <v>6.9063069658404613E-5</v>
      </c>
      <c r="W279" s="2"/>
      <c r="X279" s="6">
        <f t="shared" si="138"/>
        <v>-522.35</v>
      </c>
      <c r="Y279" s="2"/>
      <c r="Z279" s="7">
        <f t="shared" si="139"/>
        <v>-0.59092040363817366</v>
      </c>
    </row>
    <row r="280" spans="1:26" s="24" customFormat="1" hidden="1" outlineLevel="2" x14ac:dyDescent="0.25">
      <c r="A280" s="27"/>
      <c r="B280" s="11" t="str">
        <f>CONCATENATE("          ", "6298", " - ", "VEHICLE MILEAGE")</f>
        <v xml:space="preserve">          6298 - VEHICLE MILEAGE</v>
      </c>
      <c r="C280" s="11"/>
      <c r="D280" s="6">
        <v>85.45</v>
      </c>
      <c r="E280" s="2"/>
      <c r="F280" s="7">
        <f t="shared" si="132"/>
        <v>1.8241948784079648E-4</v>
      </c>
      <c r="G280" s="2"/>
      <c r="H280" s="6">
        <v>46.2</v>
      </c>
      <c r="I280" s="2"/>
      <c r="J280" s="7">
        <f t="shared" si="133"/>
        <v>5.5646747030285472E-5</v>
      </c>
      <c r="K280" s="2"/>
      <c r="L280" s="6">
        <f t="shared" si="134"/>
        <v>39.25</v>
      </c>
      <c r="M280" s="2"/>
      <c r="N280" s="7">
        <f t="shared" si="135"/>
        <v>0.84956709956709953</v>
      </c>
      <c r="O280" s="11"/>
      <c r="P280" s="6">
        <v>451.52</v>
      </c>
      <c r="Q280" s="2"/>
      <c r="R280" s="7">
        <f t="shared" si="136"/>
        <v>4.065898566090974E-5</v>
      </c>
      <c r="S280" s="2"/>
      <c r="T280" s="6">
        <v>573.85</v>
      </c>
      <c r="U280" s="2"/>
      <c r="V280" s="7">
        <f t="shared" si="137"/>
        <v>4.4834429751884122E-5</v>
      </c>
      <c r="W280" s="2"/>
      <c r="X280" s="6">
        <f t="shared" si="138"/>
        <v>-122.33000000000004</v>
      </c>
      <c r="Y280" s="2"/>
      <c r="Z280" s="7">
        <f t="shared" si="139"/>
        <v>-0.21317417443582823</v>
      </c>
    </row>
    <row r="281" spans="1:26" s="25" customFormat="1" outlineLevel="1" collapsed="1" x14ac:dyDescent="0.25">
      <c r="A281" s="26"/>
      <c r="B281" s="13" t="str">
        <f>CONCATENATE("     ","Utilities                                         ")</f>
        <v xml:space="preserve">     Utilities                                         </v>
      </c>
      <c r="C281" s="13"/>
      <c r="D281" s="1">
        <f>SUM(OSRRefD22_24x_0)</f>
        <v>6201.05</v>
      </c>
      <c r="E281" s="1"/>
      <c r="F281" s="5">
        <f t="shared" ref="F281:F282" si="140">IF(D$12=0,0,D281/D$12)</f>
        <v>1.3238061615859227E-2</v>
      </c>
      <c r="G281" s="1"/>
      <c r="H281" s="1">
        <f>SUM(OSRRefH22_24x_0)</f>
        <v>5609.19</v>
      </c>
      <c r="I281" s="1"/>
      <c r="J281" s="5">
        <f t="shared" ref="J281:J282" si="141">IF(H$12=0,0,H281/H$12)</f>
        <v>6.7561293717490678E-3</v>
      </c>
      <c r="K281" s="1"/>
      <c r="L281" s="1">
        <f t="shared" ref="L281:L282" si="142">+D281-H281</f>
        <v>591.86000000000058</v>
      </c>
      <c r="M281" s="1"/>
      <c r="N281" s="5">
        <f t="shared" ref="N281:N282" si="143">IF(H281=0,0,L281/H281)</f>
        <v>0.10551612621430199</v>
      </c>
      <c r="O281" s="13"/>
      <c r="P281" s="1">
        <f>SUM(OSRRefP22_24x_0)</f>
        <v>59205.35</v>
      </c>
      <c r="Q281" s="1"/>
      <c r="R281" s="5">
        <f t="shared" ref="R281:R282" si="144">IF(P$12=0,0,P281/P$12)</f>
        <v>5.3313905844683349E-3</v>
      </c>
      <c r="S281" s="1"/>
      <c r="T281" s="1">
        <f>SUM(OSRRefT22_24x_0)</f>
        <v>46471.13</v>
      </c>
      <c r="U281" s="1"/>
      <c r="V281" s="5">
        <f t="shared" ref="V281:V282" si="145">IF(T$12=0,0,T281/T$12)</f>
        <v>3.6307512650965838E-3</v>
      </c>
      <c r="W281" s="1"/>
      <c r="X281" s="1">
        <f t="shared" ref="X281:X282" si="146">+P281-T281</f>
        <v>12734.220000000001</v>
      </c>
      <c r="Y281" s="1"/>
      <c r="Z281" s="5">
        <f t="shared" ref="Z281:Z282" si="147">IF(T281=0,0,X281/T281)</f>
        <v>0.2740243243493326</v>
      </c>
    </row>
    <row r="282" spans="1:26" s="24" customFormat="1" hidden="1" outlineLevel="2" x14ac:dyDescent="0.25">
      <c r="A282" s="27"/>
      <c r="B282" s="11" t="str">
        <f>CONCATENATE("          ", "6274", " - ", "UTILITIES")</f>
        <v xml:space="preserve">          6274 - UTILITIES</v>
      </c>
      <c r="C282" s="11"/>
      <c r="D282" s="6">
        <v>6201.05</v>
      </c>
      <c r="E282" s="2"/>
      <c r="F282" s="7">
        <f t="shared" si="140"/>
        <v>1.3238061615859227E-2</v>
      </c>
      <c r="G282" s="2"/>
      <c r="H282" s="6">
        <v>5609.19</v>
      </c>
      <c r="I282" s="2"/>
      <c r="J282" s="7">
        <f t="shared" si="141"/>
        <v>6.7561293717490678E-3</v>
      </c>
      <c r="K282" s="2"/>
      <c r="L282" s="6">
        <f t="shared" si="142"/>
        <v>591.86000000000058</v>
      </c>
      <c r="M282" s="2"/>
      <c r="N282" s="7">
        <f t="shared" si="143"/>
        <v>0.10551612621430199</v>
      </c>
      <c r="O282" s="11"/>
      <c r="P282" s="6">
        <v>59205.35</v>
      </c>
      <c r="Q282" s="2"/>
      <c r="R282" s="7">
        <f t="shared" si="144"/>
        <v>5.3313905844683349E-3</v>
      </c>
      <c r="S282" s="2"/>
      <c r="T282" s="6">
        <v>46471.13</v>
      </c>
      <c r="U282" s="2"/>
      <c r="V282" s="7">
        <f t="shared" si="145"/>
        <v>3.6307512650965838E-3</v>
      </c>
      <c r="W282" s="2"/>
      <c r="X282" s="6">
        <f t="shared" si="146"/>
        <v>12734.220000000001</v>
      </c>
      <c r="Y282" s="2"/>
      <c r="Z282" s="7">
        <f t="shared" si="147"/>
        <v>0.2740243243493326</v>
      </c>
    </row>
    <row r="283" spans="1:26" s="53" customFormat="1" x14ac:dyDescent="0.25">
      <c r="A283" s="37"/>
      <c r="B283" s="37"/>
      <c r="C283" s="37"/>
      <c r="D283" s="1"/>
      <c r="E283" s="1"/>
      <c r="F283" s="5"/>
      <c r="G283" s="1"/>
      <c r="H283" s="1"/>
      <c r="I283" s="1"/>
      <c r="J283" s="5"/>
      <c r="K283" s="1"/>
      <c r="L283" s="1"/>
      <c r="M283" s="1"/>
      <c r="N283" s="5"/>
      <c r="O283" s="37"/>
      <c r="P283" s="1"/>
      <c r="Q283" s="1"/>
      <c r="R283" s="5"/>
      <c r="S283" s="1"/>
      <c r="T283" s="1"/>
      <c r="U283" s="1"/>
      <c r="V283" s="5"/>
      <c r="W283" s="1"/>
      <c r="X283" s="1"/>
      <c r="Y283" s="1"/>
      <c r="Z283" s="5"/>
    </row>
    <row r="284" spans="1:26" s="23" customFormat="1" collapsed="1" x14ac:dyDescent="0.25">
      <c r="A284" s="10"/>
      <c r="B284" s="29" t="s">
        <v>0</v>
      </c>
      <c r="C284" s="10"/>
      <c r="D284" s="4">
        <f>SUM(OSRRefD25x_0)</f>
        <v>391075.35</v>
      </c>
      <c r="E284" s="4"/>
      <c r="F284" s="12">
        <f t="shared" ref="F284:F296" si="148">IF(D$12=0,0,D284/D$12)</f>
        <v>0.83487144592346663</v>
      </c>
      <c r="G284" s="4"/>
      <c r="H284" s="4">
        <f>SUM(OSRRefH25x_0)</f>
        <v>162916.53999999998</v>
      </c>
      <c r="I284" s="4"/>
      <c r="J284" s="12">
        <f t="shared" ref="J284:J296" si="149">IF(H$12=0,0,H284/H$12)</f>
        <v>0.19622890667596068</v>
      </c>
      <c r="K284" s="4"/>
      <c r="L284" s="4">
        <f t="shared" ref="L284:L296" si="150">+D284-H284</f>
        <v>228158.81</v>
      </c>
      <c r="M284" s="4"/>
      <c r="N284" s="12">
        <f t="shared" ref="N284:N296" si="151">IF(H284=0,0,L284/H284)</f>
        <v>1.4004643727395636</v>
      </c>
      <c r="O284" s="10"/>
      <c r="P284" s="4">
        <f>SUM(OSRRefP25x_0)</f>
        <v>1074685.3700000001</v>
      </c>
      <c r="Q284" s="4"/>
      <c r="R284" s="12">
        <f t="shared" ref="R284:R296" si="152">IF(P$12=0,0,P284/P$12)</f>
        <v>9.6774488502878023E-2</v>
      </c>
      <c r="S284" s="4"/>
      <c r="T284" s="4">
        <f>SUM(OSRRefT25x_0)</f>
        <v>1072124.94</v>
      </c>
      <c r="U284" s="4"/>
      <c r="V284" s="12">
        <f t="shared" ref="V284:V296" si="153">IF(T$12=0,0,T284/T$12)</f>
        <v>8.3764242062687067E-2</v>
      </c>
      <c r="W284" s="4"/>
      <c r="X284" s="4">
        <f t="shared" ref="X284:X296" si="154">+P284-T284</f>
        <v>2560.4300000001676</v>
      </c>
      <c r="Y284" s="4"/>
      <c r="Z284" s="12">
        <f t="shared" ref="Z284:Z296" si="155">IF(T284=0,0,X284/T284)</f>
        <v>2.3881824817918776E-3</v>
      </c>
    </row>
    <row r="285" spans="1:26" s="24" customFormat="1" hidden="1" outlineLevel="1" x14ac:dyDescent="0.25">
      <c r="A285" s="44"/>
      <c r="B285" s="11" t="str">
        <f>CONCATENATE("          ", "4098", " - ", "TAXABLE SALES-GRAD RENTALS")</f>
        <v xml:space="preserve">          4098 - TAXABLE SALES-GRAD RENTALS</v>
      </c>
      <c r="C285" s="11"/>
      <c r="D285" s="2">
        <f>0</f>
        <v>0</v>
      </c>
      <c r="E285" s="2"/>
      <c r="F285" s="19">
        <f t="shared" si="148"/>
        <v>0</v>
      </c>
      <c r="G285" s="2"/>
      <c r="H285" s="2">
        <f>--1176.5</f>
        <v>1176.5</v>
      </c>
      <c r="I285" s="2"/>
      <c r="J285" s="19">
        <f t="shared" si="149"/>
        <v>1.4170648892019666E-3</v>
      </c>
      <c r="K285" s="2"/>
      <c r="L285" s="2">
        <f t="shared" si="150"/>
        <v>-1176.5</v>
      </c>
      <c r="M285" s="2"/>
      <c r="N285" s="19">
        <f t="shared" si="151"/>
        <v>-1</v>
      </c>
      <c r="O285" s="11"/>
      <c r="P285" s="2">
        <f>--2098.85</f>
        <v>2098.85</v>
      </c>
      <c r="Q285" s="2"/>
      <c r="R285" s="19">
        <f t="shared" si="152"/>
        <v>1.8899962804394137E-4</v>
      </c>
      <c r="S285" s="2"/>
      <c r="T285" s="2">
        <f>--7074</f>
        <v>7074</v>
      </c>
      <c r="U285" s="2"/>
      <c r="V285" s="19">
        <f t="shared" si="153"/>
        <v>5.5268581696406424E-4</v>
      </c>
      <c r="W285" s="2"/>
      <c r="X285" s="2">
        <f t="shared" si="154"/>
        <v>-4975.1499999999996</v>
      </c>
      <c r="Y285" s="2"/>
      <c r="Z285" s="19">
        <f t="shared" si="155"/>
        <v>-0.70330081990387328</v>
      </c>
    </row>
    <row r="286" spans="1:26" s="24" customFormat="1" hidden="1" outlineLevel="1" x14ac:dyDescent="0.25">
      <c r="A286" s="44"/>
      <c r="B286" s="11" t="str">
        <f>CONCATENATE("          ", "4187", " - ", "NON-TAXABLE SALES-COMPUTER REP")</f>
        <v xml:space="preserve">          4187 - NON-TAXABLE SALES-COMPUTER REP</v>
      </c>
      <c r="C286" s="11"/>
      <c r="D286" s="2">
        <f>--603.69</f>
        <v>603.69000000000005</v>
      </c>
      <c r="E286" s="2"/>
      <c r="F286" s="19">
        <f t="shared" si="148"/>
        <v>1.2887632605571731E-3</v>
      </c>
      <c r="G286" s="2"/>
      <c r="H286" s="2">
        <f>-129.57</f>
        <v>-129.57</v>
      </c>
      <c r="I286" s="2"/>
      <c r="J286" s="19">
        <f t="shared" si="149"/>
        <v>-1.5606383144402787E-4</v>
      </c>
      <c r="K286" s="2"/>
      <c r="L286" s="2">
        <f t="shared" si="150"/>
        <v>733.26</v>
      </c>
      <c r="M286" s="2"/>
      <c r="N286" s="19">
        <f t="shared" si="151"/>
        <v>-5.6591803658254225</v>
      </c>
      <c r="O286" s="11"/>
      <c r="P286" s="2">
        <f>--16183.2</f>
        <v>16183.2</v>
      </c>
      <c r="Q286" s="2"/>
      <c r="R286" s="19">
        <f t="shared" si="152"/>
        <v>1.4572831696217988E-3</v>
      </c>
      <c r="S286" s="2"/>
      <c r="T286" s="2">
        <f>--6832.37</f>
        <v>6832.37</v>
      </c>
      <c r="U286" s="2"/>
      <c r="V286" s="19">
        <f t="shared" si="153"/>
        <v>5.3380746328113705E-4</v>
      </c>
      <c r="W286" s="2"/>
      <c r="X286" s="2">
        <f t="shared" si="154"/>
        <v>9350.8300000000017</v>
      </c>
      <c r="Y286" s="2"/>
      <c r="Z286" s="19">
        <f t="shared" si="155"/>
        <v>1.368607086560008</v>
      </c>
    </row>
    <row r="287" spans="1:26" s="24" customFormat="1" hidden="1" outlineLevel="1" x14ac:dyDescent="0.25">
      <c r="A287" s="44"/>
      <c r="B287" s="11" t="str">
        <f>CONCATENATE("          ", "4197", " - ", "NON-TAXABLE SALES-RETURNED CHE")</f>
        <v xml:space="preserve">          4197 - NON-TAXABLE SALES-RETURNED CHE</v>
      </c>
      <c r="C287" s="11"/>
      <c r="D287" s="2">
        <f>0</f>
        <v>0</v>
      </c>
      <c r="E287" s="2"/>
      <c r="F287" s="19">
        <f t="shared" si="148"/>
        <v>0</v>
      </c>
      <c r="G287" s="2"/>
      <c r="H287" s="2">
        <f>0</f>
        <v>0</v>
      </c>
      <c r="I287" s="2"/>
      <c r="J287" s="19">
        <f t="shared" si="149"/>
        <v>0</v>
      </c>
      <c r="K287" s="2"/>
      <c r="L287" s="2">
        <f t="shared" si="150"/>
        <v>0</v>
      </c>
      <c r="M287" s="2"/>
      <c r="N287" s="19">
        <f t="shared" si="151"/>
        <v>0</v>
      </c>
      <c r="O287" s="11"/>
      <c r="P287" s="2">
        <f>--30</f>
        <v>30</v>
      </c>
      <c r="Q287" s="2"/>
      <c r="R287" s="19">
        <f t="shared" si="152"/>
        <v>2.7014740649966607E-6</v>
      </c>
      <c r="S287" s="2"/>
      <c r="T287" s="2">
        <f>--335</f>
        <v>335</v>
      </c>
      <c r="U287" s="2"/>
      <c r="V287" s="19">
        <f t="shared" si="153"/>
        <v>2.6173275188431089E-5</v>
      </c>
      <c r="W287" s="2"/>
      <c r="X287" s="2">
        <f t="shared" si="154"/>
        <v>-305</v>
      </c>
      <c r="Y287" s="2"/>
      <c r="Z287" s="19">
        <f t="shared" si="155"/>
        <v>-0.91044776119402981</v>
      </c>
    </row>
    <row r="288" spans="1:26" s="24" customFormat="1" hidden="1" outlineLevel="1" x14ac:dyDescent="0.25">
      <c r="A288" s="44"/>
      <c r="B288" s="11" t="str">
        <f>CONCATENATE("          ", "4198", " - ", "NON-TAXABLE SALES-GRAD RENTALS")</f>
        <v xml:space="preserve">          4198 - NON-TAXABLE SALES-GRAD RENTALS</v>
      </c>
      <c r="C288" s="11"/>
      <c r="D288" s="2">
        <f>-98.64</f>
        <v>-98.64</v>
      </c>
      <c r="E288" s="2"/>
      <c r="F288" s="19">
        <f t="shared" si="148"/>
        <v>-2.1057762762570115E-4</v>
      </c>
      <c r="G288" s="2"/>
      <c r="H288" s="2">
        <f>--132723.55</f>
        <v>132723.54999999999</v>
      </c>
      <c r="I288" s="2"/>
      <c r="J288" s="19">
        <f t="shared" si="149"/>
        <v>0.15986220371886245</v>
      </c>
      <c r="K288" s="2"/>
      <c r="L288" s="2">
        <f t="shared" si="150"/>
        <v>-132822.19</v>
      </c>
      <c r="M288" s="2"/>
      <c r="N288" s="19">
        <f t="shared" si="151"/>
        <v>-1.0007431989273947</v>
      </c>
      <c r="O288" s="11"/>
      <c r="P288" s="2">
        <f>--3633.46</f>
        <v>3633.46</v>
      </c>
      <c r="Q288" s="2"/>
      <c r="R288" s="19">
        <f t="shared" si="152"/>
        <v>3.2718993187342557E-4</v>
      </c>
      <c r="S288" s="2"/>
      <c r="T288" s="2">
        <f>--384565.85</f>
        <v>384565.85</v>
      </c>
      <c r="U288" s="2"/>
      <c r="V288" s="19">
        <f t="shared" si="153"/>
        <v>3.00458143884266E-2</v>
      </c>
      <c r="W288" s="2"/>
      <c r="X288" s="2">
        <f t="shared" si="154"/>
        <v>-380932.38999999996</v>
      </c>
      <c r="Y288" s="2"/>
      <c r="Z288" s="19">
        <f t="shared" si="155"/>
        <v>-0.99055178716466885</v>
      </c>
    </row>
    <row r="289" spans="1:26" s="24" customFormat="1" hidden="1" outlineLevel="1" x14ac:dyDescent="0.25">
      <c r="A289" s="44"/>
      <c r="B289" s="11" t="str">
        <f>CONCATENATE("          ", "4387", " - ", "SALES RETURN NON TAXABLE-COMPU")</f>
        <v xml:space="preserve">          4387 - SALES RETURN NON TAXABLE-COMPU</v>
      </c>
      <c r="C289" s="11"/>
      <c r="D289" s="2">
        <f t="shared" ref="D289:D290" si="156">0</f>
        <v>0</v>
      </c>
      <c r="E289" s="2"/>
      <c r="F289" s="19">
        <f t="shared" si="148"/>
        <v>0</v>
      </c>
      <c r="G289" s="2"/>
      <c r="H289" s="2">
        <f t="shared" ref="H289:H290" si="157">0</f>
        <v>0</v>
      </c>
      <c r="I289" s="2"/>
      <c r="J289" s="19">
        <f t="shared" si="149"/>
        <v>0</v>
      </c>
      <c r="K289" s="2"/>
      <c r="L289" s="2">
        <f t="shared" si="150"/>
        <v>0</v>
      </c>
      <c r="M289" s="2"/>
      <c r="N289" s="19">
        <f t="shared" si="151"/>
        <v>0</v>
      </c>
      <c r="O289" s="11"/>
      <c r="P289" s="2">
        <f>-7889</f>
        <v>-7889</v>
      </c>
      <c r="Q289" s="2"/>
      <c r="R289" s="19">
        <f t="shared" si="152"/>
        <v>-7.1039762995862192E-4</v>
      </c>
      <c r="S289" s="2"/>
      <c r="T289" s="2">
        <f>0</f>
        <v>0</v>
      </c>
      <c r="U289" s="2"/>
      <c r="V289" s="19">
        <f t="shared" si="153"/>
        <v>0</v>
      </c>
      <c r="W289" s="2"/>
      <c r="X289" s="2">
        <f t="shared" si="154"/>
        <v>-7889</v>
      </c>
      <c r="Y289" s="2"/>
      <c r="Z289" s="19">
        <f t="shared" si="155"/>
        <v>0</v>
      </c>
    </row>
    <row r="290" spans="1:26" s="24" customFormat="1" hidden="1" outlineLevel="1" x14ac:dyDescent="0.25">
      <c r="A290" s="44"/>
      <c r="B290" s="11" t="str">
        <f>CONCATENATE("          ", "5087", " - ", "PURCHASES @ COST-COMPUTER REPA")</f>
        <v xml:space="preserve">          5087 - PURCHASES @ COST-COMPUTER REPA</v>
      </c>
      <c r="C290" s="11"/>
      <c r="D290" s="2">
        <f t="shared" si="156"/>
        <v>0</v>
      </c>
      <c r="E290" s="2"/>
      <c r="F290" s="19">
        <f t="shared" si="148"/>
        <v>0</v>
      </c>
      <c r="G290" s="2"/>
      <c r="H290" s="2">
        <f t="shared" si="157"/>
        <v>0</v>
      </c>
      <c r="I290" s="2"/>
      <c r="J290" s="19">
        <f t="shared" si="149"/>
        <v>0</v>
      </c>
      <c r="K290" s="2"/>
      <c r="L290" s="2">
        <f t="shared" si="150"/>
        <v>0</v>
      </c>
      <c r="M290" s="2"/>
      <c r="N290" s="19">
        <f t="shared" si="151"/>
        <v>0</v>
      </c>
      <c r="O290" s="11"/>
      <c r="P290" s="2">
        <f>-104.76</f>
        <v>-104.76</v>
      </c>
      <c r="Q290" s="2"/>
      <c r="R290" s="19">
        <f t="shared" si="152"/>
        <v>-9.4335474349683394E-6</v>
      </c>
      <c r="S290" s="2"/>
      <c r="T290" s="2">
        <f>-240.2</f>
        <v>-240.2</v>
      </c>
      <c r="U290" s="2"/>
      <c r="V290" s="19">
        <f t="shared" si="153"/>
        <v>-1.8766628956003425E-5</v>
      </c>
      <c r="W290" s="2"/>
      <c r="X290" s="2">
        <f t="shared" si="154"/>
        <v>135.44</v>
      </c>
      <c r="Y290" s="2"/>
      <c r="Z290" s="19">
        <f t="shared" si="155"/>
        <v>-0.56386344712739389</v>
      </c>
    </row>
    <row r="291" spans="1:26" s="24" customFormat="1" hidden="1" outlineLevel="1" x14ac:dyDescent="0.25">
      <c r="A291" s="44"/>
      <c r="B291" s="11" t="str">
        <f>CONCATENATE("          ", "9150", " - ", "MISC. INCOME")</f>
        <v xml:space="preserve">          9150 - MISC. INCOME</v>
      </c>
      <c r="C291" s="11"/>
      <c r="D291" s="2">
        <f>--44527.49</f>
        <v>44527.49</v>
      </c>
      <c r="E291" s="2"/>
      <c r="F291" s="19">
        <f t="shared" si="148"/>
        <v>9.5057717034946587E-2</v>
      </c>
      <c r="G291" s="2"/>
      <c r="H291" s="2">
        <f>--74101.26</f>
        <v>74101.259999999995</v>
      </c>
      <c r="I291" s="2"/>
      <c r="J291" s="19">
        <f t="shared" si="149"/>
        <v>8.9253118394922323E-2</v>
      </c>
      <c r="K291" s="2"/>
      <c r="L291" s="2">
        <f t="shared" si="150"/>
        <v>-29573.769999999997</v>
      </c>
      <c r="M291" s="2"/>
      <c r="N291" s="19">
        <f t="shared" si="151"/>
        <v>-0.39909942152130745</v>
      </c>
      <c r="O291" s="11"/>
      <c r="P291" s="2">
        <f>--433233.37</f>
        <v>433233.37</v>
      </c>
      <c r="Q291" s="2"/>
      <c r="R291" s="19">
        <f t="shared" si="152"/>
        <v>3.9012290438203416E-2</v>
      </c>
      <c r="S291" s="2"/>
      <c r="T291" s="2">
        <f>--586775.81</f>
        <v>586775.81000000006</v>
      </c>
      <c r="U291" s="2"/>
      <c r="V291" s="19">
        <f t="shared" si="153"/>
        <v>4.584431268371509E-2</v>
      </c>
      <c r="W291" s="2"/>
      <c r="X291" s="2">
        <f t="shared" si="154"/>
        <v>-153542.44000000006</v>
      </c>
      <c r="Y291" s="2"/>
      <c r="Z291" s="19">
        <f t="shared" si="155"/>
        <v>-0.26167138689647079</v>
      </c>
    </row>
    <row r="292" spans="1:26" s="24" customFormat="1" hidden="1" outlineLevel="1" x14ac:dyDescent="0.25">
      <c r="A292" s="44"/>
      <c r="B292" s="11" t="str">
        <f>CONCATENATE("          ", "9151", " - ", "MISC. INCOME")</f>
        <v xml:space="preserve">          9151 - MISC. INCOME</v>
      </c>
      <c r="C292" s="11"/>
      <c r="D292" s="2">
        <f>0</f>
        <v>0</v>
      </c>
      <c r="E292" s="2"/>
      <c r="F292" s="19">
        <f t="shared" si="148"/>
        <v>0</v>
      </c>
      <c r="G292" s="2"/>
      <c r="H292" s="2">
        <f>-30066.2</f>
        <v>-30066.2</v>
      </c>
      <c r="I292" s="2"/>
      <c r="J292" s="19">
        <f t="shared" si="149"/>
        <v>-3.621398756627639E-2</v>
      </c>
      <c r="K292" s="2"/>
      <c r="L292" s="2">
        <f t="shared" si="150"/>
        <v>30066.2</v>
      </c>
      <c r="M292" s="2"/>
      <c r="N292" s="19">
        <f t="shared" si="151"/>
        <v>-1</v>
      </c>
      <c r="O292" s="11"/>
      <c r="P292" s="2">
        <f>--169392.7</f>
        <v>169392.7</v>
      </c>
      <c r="Q292" s="2"/>
      <c r="R292" s="19">
        <f t="shared" si="152"/>
        <v>1.5253666194991997E-2</v>
      </c>
      <c r="S292" s="2"/>
      <c r="T292" s="2">
        <f>-33295.53</f>
        <v>-33295.53</v>
      </c>
      <c r="U292" s="2"/>
      <c r="V292" s="19">
        <f t="shared" si="153"/>
        <v>-2.6013524454766056E-3</v>
      </c>
      <c r="W292" s="2"/>
      <c r="X292" s="2">
        <f t="shared" si="154"/>
        <v>202688.23</v>
      </c>
      <c r="Y292" s="2"/>
      <c r="Z292" s="19">
        <f t="shared" si="155"/>
        <v>-6.0875507913524736</v>
      </c>
    </row>
    <row r="293" spans="1:26" s="24" customFormat="1" hidden="1" outlineLevel="1" x14ac:dyDescent="0.25">
      <c r="A293" s="44"/>
      <c r="B293" s="11" t="str">
        <f>CONCATENATE("          ", "9152", " - ", "MISC. INCOME")</f>
        <v xml:space="preserve">          9152 - MISC. INCOME</v>
      </c>
      <c r="C293" s="11"/>
      <c r="D293" s="2">
        <f>--82.19</f>
        <v>82.19</v>
      </c>
      <c r="E293" s="2"/>
      <c r="F293" s="19">
        <f t="shared" si="148"/>
        <v>1.7546000825787082E-4</v>
      </c>
      <c r="G293" s="2"/>
      <c r="H293" s="2">
        <f>--111</f>
        <v>111</v>
      </c>
      <c r="I293" s="2"/>
      <c r="J293" s="19">
        <f t="shared" si="149"/>
        <v>1.336967298779586E-4</v>
      </c>
      <c r="K293" s="2"/>
      <c r="L293" s="2">
        <f t="shared" si="150"/>
        <v>-28.810000000000002</v>
      </c>
      <c r="M293" s="2"/>
      <c r="N293" s="19">
        <f t="shared" si="151"/>
        <v>-0.25954954954954956</v>
      </c>
      <c r="O293" s="11"/>
      <c r="P293" s="2">
        <f>--4782.05</f>
        <v>4782.05</v>
      </c>
      <c r="Q293" s="2"/>
      <c r="R293" s="19">
        <f t="shared" si="152"/>
        <v>4.3061946841724274E-4</v>
      </c>
      <c r="S293" s="2"/>
      <c r="T293" s="2">
        <f>--10696.89</f>
        <v>10696.89</v>
      </c>
      <c r="U293" s="2"/>
      <c r="V293" s="19">
        <f t="shared" si="153"/>
        <v>8.3573924068769141E-4</v>
      </c>
      <c r="W293" s="2"/>
      <c r="X293" s="2">
        <f t="shared" si="154"/>
        <v>-5914.8399999999992</v>
      </c>
      <c r="Y293" s="2"/>
      <c r="Z293" s="19">
        <f t="shared" si="155"/>
        <v>-0.55294950214501593</v>
      </c>
    </row>
    <row r="294" spans="1:26" s="24" customFormat="1" hidden="1" outlineLevel="1" x14ac:dyDescent="0.25">
      <c r="A294" s="44"/>
      <c r="B294" s="11" t="str">
        <f>CONCATENATE("          ", "9153", " - ", "MISC. INCOME")</f>
        <v xml:space="preserve">          9153 - MISC. INCOME</v>
      </c>
      <c r="C294" s="11"/>
      <c r="D294" s="2">
        <f t="shared" ref="D294:D295" si="158">0</f>
        <v>0</v>
      </c>
      <c r="E294" s="2"/>
      <c r="F294" s="19">
        <f t="shared" si="148"/>
        <v>0</v>
      </c>
      <c r="G294" s="2"/>
      <c r="H294" s="2">
        <f t="shared" ref="H294:H295" si="159">0</f>
        <v>0</v>
      </c>
      <c r="I294" s="2"/>
      <c r="J294" s="19">
        <f t="shared" si="149"/>
        <v>0</v>
      </c>
      <c r="K294" s="2"/>
      <c r="L294" s="2">
        <f t="shared" si="150"/>
        <v>0</v>
      </c>
      <c r="M294" s="2"/>
      <c r="N294" s="19">
        <f t="shared" si="151"/>
        <v>0</v>
      </c>
      <c r="O294" s="11"/>
      <c r="P294" s="2">
        <f>--450</f>
        <v>450</v>
      </c>
      <c r="Q294" s="2"/>
      <c r="R294" s="19">
        <f t="shared" si="152"/>
        <v>4.0522110974949915E-5</v>
      </c>
      <c r="S294" s="2"/>
      <c r="T294" s="2">
        <f>--180</f>
        <v>180</v>
      </c>
      <c r="U294" s="2"/>
      <c r="V294" s="19">
        <f t="shared" si="153"/>
        <v>1.4063252340052525E-5</v>
      </c>
      <c r="W294" s="2"/>
      <c r="X294" s="2">
        <f t="shared" si="154"/>
        <v>270</v>
      </c>
      <c r="Y294" s="2"/>
      <c r="Z294" s="19">
        <f t="shared" si="155"/>
        <v>1.5</v>
      </c>
    </row>
    <row r="295" spans="1:26" s="24" customFormat="1" hidden="1" outlineLevel="1" x14ac:dyDescent="0.25">
      <c r="A295" s="44"/>
      <c r="B295" s="11" t="str">
        <f>CONCATENATE("          ", "9160", " - ", "MISC. INCOME")</f>
        <v xml:space="preserve">          9160 - MISC. INCOME</v>
      </c>
      <c r="C295" s="11"/>
      <c r="D295" s="2">
        <f t="shared" si="158"/>
        <v>0</v>
      </c>
      <c r="E295" s="2"/>
      <c r="F295" s="19">
        <f t="shared" si="148"/>
        <v>0</v>
      </c>
      <c r="G295" s="2"/>
      <c r="H295" s="2">
        <f t="shared" si="159"/>
        <v>0</v>
      </c>
      <c r="I295" s="2"/>
      <c r="J295" s="19">
        <f t="shared" si="149"/>
        <v>0</v>
      </c>
      <c r="K295" s="2"/>
      <c r="L295" s="2">
        <f t="shared" si="150"/>
        <v>0</v>
      </c>
      <c r="M295" s="2"/>
      <c r="N295" s="19">
        <f t="shared" si="151"/>
        <v>0</v>
      </c>
      <c r="O295" s="11"/>
      <c r="P295" s="2">
        <f>--22475</f>
        <v>22475</v>
      </c>
      <c r="Q295" s="2"/>
      <c r="R295" s="19">
        <f t="shared" si="152"/>
        <v>2.0238543203599984E-3</v>
      </c>
      <c r="S295" s="2"/>
      <c r="T295" s="2">
        <f>--40870</f>
        <v>40870</v>
      </c>
      <c r="U295" s="2"/>
      <c r="V295" s="19">
        <f t="shared" si="153"/>
        <v>3.1931395729885926E-3</v>
      </c>
      <c r="W295" s="2"/>
      <c r="X295" s="2">
        <f t="shared" si="154"/>
        <v>-18395</v>
      </c>
      <c r="Y295" s="2"/>
      <c r="Z295" s="19">
        <f t="shared" si="155"/>
        <v>-0.45008563738683632</v>
      </c>
    </row>
    <row r="296" spans="1:26" s="24" customFormat="1" hidden="1" outlineLevel="1" x14ac:dyDescent="0.25">
      <c r="A296" s="44"/>
      <c r="B296" s="11" t="str">
        <f>CONCATENATE("          ", "9163", " - ", "MISC. INCOME")</f>
        <v xml:space="preserve">          9163 - MISC. INCOME</v>
      </c>
      <c r="C296" s="11"/>
      <c r="D296" s="2">
        <f>--345960.62</f>
        <v>345960.62</v>
      </c>
      <c r="E296" s="2"/>
      <c r="F296" s="19">
        <f t="shared" si="148"/>
        <v>0.73856008324733069</v>
      </c>
      <c r="G296" s="2"/>
      <c r="H296" s="2">
        <f>-15000</f>
        <v>-15000</v>
      </c>
      <c r="I296" s="2"/>
      <c r="J296" s="19">
        <f t="shared" si="149"/>
        <v>-1.8067125659183596E-2</v>
      </c>
      <c r="K296" s="2"/>
      <c r="L296" s="2">
        <f t="shared" si="150"/>
        <v>360960.62</v>
      </c>
      <c r="M296" s="2"/>
      <c r="N296" s="19">
        <f t="shared" si="151"/>
        <v>-24.064041333333332</v>
      </c>
      <c r="O296" s="11"/>
      <c r="P296" s="2">
        <f>--430400.5</f>
        <v>430400.5</v>
      </c>
      <c r="Q296" s="2"/>
      <c r="R296" s="19">
        <f t="shared" si="152"/>
        <v>3.8757192943719841E-2</v>
      </c>
      <c r="S296" s="2"/>
      <c r="T296" s="2">
        <f>--68330.75</f>
        <v>68330.75</v>
      </c>
      <c r="U296" s="2"/>
      <c r="V296" s="19">
        <f t="shared" si="153"/>
        <v>5.338625443528023E-3</v>
      </c>
      <c r="W296" s="2"/>
      <c r="X296" s="2">
        <f t="shared" si="154"/>
        <v>362069.75</v>
      </c>
      <c r="Y296" s="2"/>
      <c r="Z296" s="19">
        <f t="shared" si="155"/>
        <v>5.2987820271254158</v>
      </c>
    </row>
    <row r="297" spans="1:26" x14ac:dyDescent="0.25">
      <c r="A297" s="9"/>
      <c r="B297" s="10"/>
      <c r="C297" s="10"/>
      <c r="D297" s="3"/>
      <c r="E297" s="3"/>
      <c r="F297" s="8"/>
      <c r="G297" s="3"/>
      <c r="H297" s="3"/>
      <c r="I297" s="3"/>
      <c r="J297" s="8"/>
      <c r="K297" s="3"/>
      <c r="L297" s="3"/>
      <c r="M297" s="3"/>
      <c r="N297" s="8"/>
      <c r="O297" s="10"/>
      <c r="P297" s="3"/>
      <c r="Q297" s="3"/>
      <c r="R297" s="8"/>
      <c r="S297" s="3"/>
      <c r="T297" s="3"/>
      <c r="U297" s="3"/>
      <c r="V297" s="8"/>
      <c r="W297" s="3"/>
      <c r="X297" s="3"/>
      <c r="Y297" s="3"/>
      <c r="Z297" s="8"/>
    </row>
    <row r="298" spans="1:26" s="23" customFormat="1" x14ac:dyDescent="0.25">
      <c r="A298" s="10"/>
      <c r="B298" s="28" t="s">
        <v>3</v>
      </c>
      <c r="C298" s="28"/>
      <c r="D298" s="21">
        <f>+D194-D196+D284</f>
        <v>247068.85000000015</v>
      </c>
      <c r="E298" s="14"/>
      <c r="F298" s="20">
        <f>IF(D$12=0,0,D298/D$12)</f>
        <v>0.52744497458647854</v>
      </c>
      <c r="G298" s="14"/>
      <c r="H298" s="21">
        <f>+H194-H196+H284</f>
        <v>197128.98000000016</v>
      </c>
      <c r="I298" s="14"/>
      <c r="J298" s="20">
        <f>IF(H$12=0,0,H298/H$12)</f>
        <v>0.23743693684844616</v>
      </c>
      <c r="K298" s="15"/>
      <c r="L298" s="21">
        <f>+D298-H298</f>
        <v>49939.869999999995</v>
      </c>
      <c r="M298" s="15"/>
      <c r="N298" s="20">
        <f>IF(H298=0,0,L298/H298)</f>
        <v>0.25333601381187054</v>
      </c>
      <c r="O298" s="29"/>
      <c r="P298" s="21">
        <f>+P194-P196+P284</f>
        <v>1208402.209999999</v>
      </c>
      <c r="Q298" s="14"/>
      <c r="R298" s="20">
        <f>IF(P$12=0,0,P298/P$12)</f>
        <v>0.10881557434665487</v>
      </c>
      <c r="S298" s="14"/>
      <c r="T298" s="21">
        <f>+T194-T196+T284</f>
        <v>1658652.4100000029</v>
      </c>
      <c r="U298" s="14"/>
      <c r="V298" s="20">
        <f>IF(T$12=0,0,T298/T$12)</f>
        <v>0.1295891521459239</v>
      </c>
      <c r="W298" s="15"/>
      <c r="X298" s="21">
        <f>+P298-T298</f>
        <v>-450250.20000000391</v>
      </c>
      <c r="Y298" s="15"/>
      <c r="Z298" s="20">
        <f>IF(T298=0,0,X298/T298)</f>
        <v>-0.27145542808453949</v>
      </c>
    </row>
    <row r="299" spans="1:26" x14ac:dyDescent="0.25">
      <c r="A299" s="9"/>
      <c r="B299" s="10"/>
      <c r="C299" s="9"/>
      <c r="D299" s="3"/>
      <c r="E299" s="3"/>
      <c r="F299" s="8"/>
      <c r="G299" s="3"/>
      <c r="H299" s="3"/>
      <c r="I299" s="3"/>
      <c r="J299" s="8"/>
      <c r="K299" s="3"/>
      <c r="L299" s="3"/>
      <c r="M299" s="3"/>
      <c r="N299" s="8"/>
      <c r="P299" s="3"/>
      <c r="Q299" s="3"/>
      <c r="R299" s="8"/>
      <c r="S299" s="3"/>
      <c r="T299" s="3"/>
      <c r="U299" s="3"/>
      <c r="V299" s="8"/>
      <c r="W299" s="3"/>
      <c r="X299" s="3"/>
      <c r="Y299" s="3"/>
      <c r="Z299" s="8"/>
    </row>
    <row r="300" spans="1:26" s="23" customFormat="1" x14ac:dyDescent="0.25">
      <c r="A300" s="51"/>
      <c r="B300" s="10" t="s">
        <v>13</v>
      </c>
      <c r="C300" s="10"/>
      <c r="D300" s="4">
        <v>121158.88</v>
      </c>
      <c r="E300" s="4"/>
      <c r="F300" s="12">
        <f>IF(D$12=0,0,D300/D$12)</f>
        <v>0.25865115081292595</v>
      </c>
      <c r="G300" s="4"/>
      <c r="H300" s="4">
        <v>98113.15</v>
      </c>
      <c r="I300" s="4"/>
      <c r="J300" s="12">
        <f>IF(H$12=0,0,H300/H$12)</f>
        <v>0.11817484065788858</v>
      </c>
      <c r="K300" s="4"/>
      <c r="L300" s="4">
        <f>+D300-H300</f>
        <v>23045.73000000001</v>
      </c>
      <c r="M300" s="4"/>
      <c r="N300" s="12">
        <f>IF(H300=0,0,L300/H300)</f>
        <v>0.23488930892546017</v>
      </c>
      <c r="O300" s="10"/>
      <c r="P300" s="4">
        <v>1260898.76</v>
      </c>
      <c r="Q300" s="4"/>
      <c r="R300" s="12">
        <f>IF(P$12=0,0,P300/P$12)</f>
        <v>0.11354284329088164</v>
      </c>
      <c r="S300" s="4"/>
      <c r="T300" s="4">
        <v>1330598.27</v>
      </c>
      <c r="U300" s="4"/>
      <c r="V300" s="12">
        <f>IF(T$12=0,0,T300/T$12)</f>
        <v>0.10395855130137412</v>
      </c>
      <c r="W300" s="4"/>
      <c r="X300" s="4">
        <f>+P300-T300</f>
        <v>-69699.510000000009</v>
      </c>
      <c r="Y300" s="4"/>
      <c r="Z300" s="12">
        <f>IF(T300=0,0,X300/T300)</f>
        <v>-5.2382083737415354E-2</v>
      </c>
    </row>
    <row r="301" spans="1:26" x14ac:dyDescent="0.25">
      <c r="A301" s="9"/>
      <c r="B301" s="10"/>
      <c r="C301" s="10"/>
      <c r="D301" s="3"/>
      <c r="E301" s="3"/>
      <c r="F301" s="8"/>
      <c r="G301" s="3"/>
      <c r="H301" s="3"/>
      <c r="I301" s="3"/>
      <c r="J301" s="8"/>
      <c r="K301" s="3"/>
      <c r="L301" s="3"/>
      <c r="M301" s="3"/>
      <c r="N301" s="8"/>
      <c r="O301" s="10"/>
      <c r="P301" s="3"/>
      <c r="Q301" s="3"/>
      <c r="R301" s="8"/>
      <c r="S301" s="3"/>
      <c r="T301" s="3"/>
      <c r="U301" s="3"/>
      <c r="V301" s="8"/>
      <c r="W301" s="3"/>
      <c r="X301" s="3"/>
      <c r="Y301" s="3"/>
      <c r="Z301" s="8"/>
    </row>
    <row r="302" spans="1:26" s="23" customFormat="1" ht="15.75" thickBot="1" x14ac:dyDescent="0.3">
      <c r="A302" s="10"/>
      <c r="B302" s="28" t="s">
        <v>4</v>
      </c>
      <c r="C302" s="28"/>
      <c r="D302" s="30">
        <f>+D298-D300</f>
        <v>125909.97000000015</v>
      </c>
      <c r="E302" s="14"/>
      <c r="F302" s="36">
        <f>IF(D$12=0,0,D302/D$12)</f>
        <v>0.26879382377355265</v>
      </c>
      <c r="G302" s="14"/>
      <c r="H302" s="30">
        <f>+H298-H300</f>
        <v>99015.830000000162</v>
      </c>
      <c r="I302" s="14"/>
      <c r="J302" s="36">
        <f>IF(H$12=0,0,H302/H$12)</f>
        <v>0.11926209619055758</v>
      </c>
      <c r="K302" s="15"/>
      <c r="L302" s="30">
        <f>D302-H302</f>
        <v>26894.139999999985</v>
      </c>
      <c r="M302" s="15"/>
      <c r="N302" s="36">
        <f>IF(H302=0,0,L302/H302)</f>
        <v>0.27161454890596726</v>
      </c>
      <c r="O302" s="29"/>
      <c r="P302" s="30">
        <f>+P298-P300</f>
        <v>-52496.550000000978</v>
      </c>
      <c r="Q302" s="14"/>
      <c r="R302" s="36">
        <f>IF(P$12=0,0,P302/P$12)</f>
        <v>-4.7272689442267703E-3</v>
      </c>
      <c r="S302" s="14"/>
      <c r="T302" s="30">
        <f>+T298-T300</f>
        <v>328054.14000000292</v>
      </c>
      <c r="U302" s="14"/>
      <c r="V302" s="36">
        <f>IF(T$12=0,0,T302/T$12)</f>
        <v>2.5630600844549777E-2</v>
      </c>
      <c r="W302" s="15"/>
      <c r="X302" s="30">
        <f>P302-T302</f>
        <v>-380550.6900000039</v>
      </c>
      <c r="Y302" s="15"/>
      <c r="Z302" s="36">
        <f>IF(T302=0,0,X302/T302)</f>
        <v>-1.1600240435923184</v>
      </c>
    </row>
    <row r="303" spans="1:26" ht="15.75" thickTop="1" x14ac:dyDescent="0.25">
      <c r="A303" s="9"/>
      <c r="B303" s="9"/>
      <c r="C303" s="9"/>
      <c r="D303" s="3"/>
      <c r="E303" s="3"/>
      <c r="F303" s="8"/>
      <c r="G303" s="3"/>
      <c r="H303" s="3"/>
      <c r="I303" s="3"/>
      <c r="J303" s="8"/>
      <c r="K303" s="3"/>
      <c r="L303" s="3"/>
      <c r="M303" s="3"/>
      <c r="N303" s="8"/>
      <c r="P303" s="3"/>
      <c r="Q303" s="3"/>
      <c r="R303" s="8"/>
      <c r="S303" s="3"/>
      <c r="T303" s="3"/>
      <c r="U303" s="3"/>
      <c r="V303" s="8"/>
      <c r="W303" s="3"/>
      <c r="X303" s="3"/>
      <c r="Y303" s="3"/>
      <c r="Z303" s="8"/>
    </row>
    <row r="304" spans="1:26" x14ac:dyDescent="0.25">
      <c r="A304" s="9"/>
      <c r="B304" s="9"/>
      <c r="C304" s="9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3" customFormat="1" ht="15.75" thickBot="1" x14ac:dyDescent="0.3">
      <c r="A305" s="10"/>
      <c r="B305" s="28" t="s">
        <v>5</v>
      </c>
      <c r="C305" s="28"/>
      <c r="D305" s="31">
        <f>SUM(D302:D304)</f>
        <v>125909.97000000015</v>
      </c>
      <c r="E305" s="14"/>
      <c r="F305" s="32">
        <f>IF(D$12=0,0,D305/D$12)</f>
        <v>0.26879382377355265</v>
      </c>
      <c r="G305" s="14"/>
      <c r="H305" s="31">
        <f>SUM(H302:H304)</f>
        <v>99015.830000000162</v>
      </c>
      <c r="I305" s="14"/>
      <c r="J305" s="32">
        <f>IF(H$12=0,0,H305/H$12)</f>
        <v>0.11926209619055758</v>
      </c>
      <c r="K305" s="15"/>
      <c r="L305" s="31">
        <f>+D305-H305</f>
        <v>26894.139999999985</v>
      </c>
      <c r="M305" s="15"/>
      <c r="N305" s="32">
        <f>IF(H305=0,0,L305/H305)</f>
        <v>0.27161454890596726</v>
      </c>
      <c r="O305" s="29"/>
      <c r="P305" s="31">
        <f>SUM(P302:P304)</f>
        <v>-52496.550000000978</v>
      </c>
      <c r="Q305" s="14"/>
      <c r="R305" s="32">
        <f>IF(P$12=0,0,P305/P$12)</f>
        <v>-4.7272689442267703E-3</v>
      </c>
      <c r="S305" s="14"/>
      <c r="T305" s="31">
        <f>SUM(T302:T304)</f>
        <v>328054.14000000292</v>
      </c>
      <c r="U305" s="14"/>
      <c r="V305" s="32">
        <f>IF(T$12=0,0,T305/T$12)</f>
        <v>2.5630600844549777E-2</v>
      </c>
      <c r="W305" s="15"/>
      <c r="X305" s="31">
        <f>+P305-T305</f>
        <v>-380550.6900000039</v>
      </c>
      <c r="Y305" s="15"/>
      <c r="Z305" s="32">
        <f>IF(T305=0,0,X305/T305)</f>
        <v>-1.1600240435923184</v>
      </c>
    </row>
    <row r="306" spans="1:26" ht="15.75" thickTop="1" x14ac:dyDescent="0.25">
      <c r="A306" s="9"/>
      <c r="C306" s="9"/>
      <c r="D306" s="17"/>
      <c r="E306" s="17"/>
      <c r="G306" s="17"/>
      <c r="H306" s="17"/>
      <c r="I306" s="17"/>
      <c r="J306" s="43"/>
      <c r="K306" s="17"/>
      <c r="L306" s="17"/>
      <c r="M306" s="17"/>
      <c r="P306" s="17"/>
      <c r="Q306" s="17"/>
      <c r="R306" s="43"/>
      <c r="S306" s="17"/>
      <c r="T306" s="17"/>
      <c r="U306" s="17"/>
      <c r="V306" s="43"/>
      <c r="W306" s="17"/>
      <c r="X306" s="17"/>
    </row>
    <row r="307" spans="1:26" x14ac:dyDescent="0.25">
      <c r="A307" s="9"/>
      <c r="B307" s="54">
        <v>43965.470417627315</v>
      </c>
      <c r="D307" s="17"/>
      <c r="E307" s="17"/>
      <c r="G307" s="17"/>
      <c r="H307" s="17"/>
      <c r="I307" s="17"/>
      <c r="J307" s="43"/>
      <c r="K307" s="17"/>
      <c r="L307" s="17"/>
      <c r="M307" s="17"/>
      <c r="P307" s="17"/>
      <c r="Q307" s="17"/>
      <c r="R307" s="43"/>
      <c r="S307" s="17"/>
      <c r="T307" s="17"/>
      <c r="U307" s="17"/>
      <c r="V307" s="43"/>
      <c r="W307" s="17"/>
      <c r="X307" s="17"/>
    </row>
    <row r="308" spans="1:26" x14ac:dyDescent="0.25">
      <c r="A308" s="9"/>
      <c r="B308" s="59" t="s">
        <v>313</v>
      </c>
      <c r="D308" s="17"/>
      <c r="E308" s="17"/>
      <c r="G308" s="17"/>
      <c r="H308" s="17"/>
      <c r="I308" s="17"/>
      <c r="J308" s="43"/>
      <c r="K308" s="17"/>
      <c r="L308" s="17"/>
      <c r="M308" s="17"/>
      <c r="P308" s="17"/>
      <c r="Q308" s="17"/>
      <c r="R308" s="43"/>
      <c r="S308" s="17"/>
      <c r="T308" s="17"/>
      <c r="U308" s="17"/>
      <c r="V308" s="43"/>
      <c r="W308" s="17"/>
      <c r="X308" s="17"/>
    </row>
    <row r="309" spans="1:26" x14ac:dyDescent="0.25">
      <c r="A309" s="9"/>
      <c r="B309" s="61"/>
      <c r="D309" s="17"/>
      <c r="E309" s="17"/>
      <c r="G309" s="17"/>
      <c r="H309" s="17"/>
      <c r="I309" s="17"/>
      <c r="J309" s="43"/>
      <c r="K309" s="17"/>
      <c r="L309" s="17"/>
      <c r="M309" s="17"/>
      <c r="P309" s="17"/>
      <c r="Q309" s="17"/>
      <c r="R309" s="43"/>
      <c r="S309" s="17"/>
      <c r="T309" s="17"/>
      <c r="U309" s="17"/>
      <c r="V309" s="43"/>
      <c r="W309" s="17"/>
      <c r="X309" s="17"/>
    </row>
    <row r="310" spans="1:26" x14ac:dyDescent="0.25">
      <c r="D310" s="17"/>
      <c r="E310" s="17"/>
      <c r="G310" s="17"/>
      <c r="H310" s="17"/>
      <c r="I310" s="17"/>
      <c r="J310" s="43"/>
      <c r="K310" s="17"/>
      <c r="L310" s="17"/>
      <c r="M310" s="17"/>
      <c r="P310" s="17"/>
      <c r="Q310" s="17"/>
      <c r="R310" s="43"/>
      <c r="S310" s="17"/>
      <c r="T310" s="17"/>
      <c r="U310" s="17"/>
      <c r="V310" s="43"/>
      <c r="W310" s="17"/>
      <c r="X310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7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498207.83999999997</v>
      </c>
      <c r="E12" s="4"/>
      <c r="F12" s="12"/>
      <c r="G12" s="4"/>
      <c r="H12" s="4">
        <f>SUM(OSRRefH13x_0)</f>
        <v>3426788.939999999</v>
      </c>
      <c r="I12" s="4"/>
      <c r="J12" s="12"/>
      <c r="K12" s="4"/>
      <c r="L12" s="4">
        <f t="shared" ref="L12:L145" si="0">+D12-H12</f>
        <v>-2928581.0999999992</v>
      </c>
      <c r="M12" s="4"/>
      <c r="N12" s="12">
        <f t="shared" ref="N12:N145" si="1">IF(H12=0,0,L12/H12)</f>
        <v>-0.85461379480231425</v>
      </c>
      <c r="O12" s="10"/>
      <c r="P12" s="4">
        <f>SUM(OSRRefP13x_0)</f>
        <v>27543652.179999996</v>
      </c>
      <c r="Q12" s="4"/>
      <c r="R12" s="12"/>
      <c r="S12" s="4"/>
      <c r="T12" s="4">
        <f>SUM(OSRRefT13x_0)</f>
        <v>32280427.589999996</v>
      </c>
      <c r="U12" s="4"/>
      <c r="V12" s="12"/>
      <c r="W12" s="4"/>
      <c r="X12" s="4">
        <f t="shared" ref="X12:X145" si="2">+P12-T12</f>
        <v>-4736775.41</v>
      </c>
      <c r="Y12" s="4"/>
      <c r="Z12" s="12">
        <f t="shared" ref="Z12:Z145" si="3">IF(T12=0,0,X12/T12)</f>
        <v>-0.14673831059993095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--1084.45</f>
        <v>1084.45</v>
      </c>
      <c r="E14" s="2"/>
      <c r="F14" s="19"/>
      <c r="G14" s="2"/>
      <c r="H14" s="2">
        <f>--5639.51</f>
        <v>5639.51</v>
      </c>
      <c r="I14" s="2"/>
      <c r="J14" s="19"/>
      <c r="K14" s="2"/>
      <c r="L14" s="2">
        <f t="shared" si="0"/>
        <v>-4555.0600000000004</v>
      </c>
      <c r="M14" s="2"/>
      <c r="N14" s="19">
        <f t="shared" si="1"/>
        <v>-0.80770492471863697</v>
      </c>
      <c r="O14" s="11"/>
      <c r="P14" s="2">
        <f>--2397977.73</f>
        <v>2397977.73</v>
      </c>
      <c r="Q14" s="2"/>
      <c r="R14" s="19"/>
      <c r="S14" s="2"/>
      <c r="T14" s="2">
        <f>--3061354.17</f>
        <v>3061354.17</v>
      </c>
      <c r="U14" s="2"/>
      <c r="V14" s="19"/>
      <c r="W14" s="2"/>
      <c r="X14" s="2">
        <f t="shared" si="2"/>
        <v>-663376.43999999994</v>
      </c>
      <c r="Y14" s="2"/>
      <c r="Z14" s="19">
        <f t="shared" si="3"/>
        <v>-0.21669379077429646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--602.5</f>
        <v>602.5</v>
      </c>
      <c r="E15" s="2"/>
      <c r="F15" s="19"/>
      <c r="G15" s="2"/>
      <c r="H15" s="2">
        <f>--2522.75</f>
        <v>2522.75</v>
      </c>
      <c r="I15" s="2"/>
      <c r="J15" s="19"/>
      <c r="K15" s="2"/>
      <c r="L15" s="2">
        <f t="shared" si="0"/>
        <v>-1920.25</v>
      </c>
      <c r="M15" s="2"/>
      <c r="N15" s="19">
        <f t="shared" si="1"/>
        <v>-0.76117332276285798</v>
      </c>
      <c r="O15" s="11"/>
      <c r="P15" s="2">
        <f>--1244917.19</f>
        <v>1244917.19</v>
      </c>
      <c r="Q15" s="2"/>
      <c r="R15" s="19"/>
      <c r="S15" s="2"/>
      <c r="T15" s="2">
        <f>--1363656.39</f>
        <v>1363656.39</v>
      </c>
      <c r="U15" s="2"/>
      <c r="V15" s="19"/>
      <c r="W15" s="2"/>
      <c r="X15" s="2">
        <f t="shared" si="2"/>
        <v>-118739.19999999995</v>
      </c>
      <c r="Y15" s="2"/>
      <c r="Z15" s="19">
        <f t="shared" si="3"/>
        <v>-8.7074134562593122E-2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 t="shared" ref="H16:H18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18547.239999999998</v>
      </c>
      <c r="Y16" s="2"/>
      <c r="Z16" s="19">
        <f t="shared" si="3"/>
        <v>1.2244301921420153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--18.36</f>
        <v>18.36</v>
      </c>
      <c r="E19" s="2"/>
      <c r="F19" s="19"/>
      <c r="G19" s="2"/>
      <c r="H19" s="2">
        <f>--2215.06</f>
        <v>2215.06</v>
      </c>
      <c r="I19" s="2"/>
      <c r="J19" s="19"/>
      <c r="K19" s="2"/>
      <c r="L19" s="2">
        <f t="shared" si="0"/>
        <v>-2196.6999999999998</v>
      </c>
      <c r="M19" s="2"/>
      <c r="N19" s="19">
        <f t="shared" si="1"/>
        <v>-0.99171128547307963</v>
      </c>
      <c r="O19" s="11"/>
      <c r="P19" s="2">
        <f>--2713.36</f>
        <v>2713.36</v>
      </c>
      <c r="Q19" s="2"/>
      <c r="R19" s="19"/>
      <c r="S19" s="2"/>
      <c r="T19" s="2">
        <f>--6340.42</f>
        <v>6340.42</v>
      </c>
      <c r="U19" s="2"/>
      <c r="V19" s="19"/>
      <c r="W19" s="2"/>
      <c r="X19" s="2">
        <f t="shared" si="2"/>
        <v>-3627.06</v>
      </c>
      <c r="Y19" s="2"/>
      <c r="Z19" s="19">
        <f t="shared" si="3"/>
        <v>-0.57205358635547798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0</f>
        <v>0</v>
      </c>
      <c r="E20" s="2"/>
      <c r="F20" s="19"/>
      <c r="G20" s="2"/>
      <c r="H20" s="2">
        <f>--151.13</f>
        <v>151.13</v>
      </c>
      <c r="I20" s="2"/>
      <c r="J20" s="19"/>
      <c r="K20" s="2"/>
      <c r="L20" s="2">
        <f t="shared" si="0"/>
        <v>-151.13</v>
      </c>
      <c r="M20" s="2"/>
      <c r="N20" s="19">
        <f t="shared" si="1"/>
        <v>-1</v>
      </c>
      <c r="O20" s="11"/>
      <c r="P20" s="2">
        <f>--1219.18</f>
        <v>1219.18</v>
      </c>
      <c r="Q20" s="2"/>
      <c r="R20" s="19"/>
      <c r="S20" s="2"/>
      <c r="T20" s="2">
        <f>--2032.27</f>
        <v>2032.27</v>
      </c>
      <c r="U20" s="2"/>
      <c r="V20" s="19"/>
      <c r="W20" s="2"/>
      <c r="X20" s="2">
        <f t="shared" si="2"/>
        <v>-813.08999999999992</v>
      </c>
      <c r="Y20" s="2"/>
      <c r="Z20" s="19">
        <f t="shared" si="3"/>
        <v>-0.40008955502959742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--64.95</f>
        <v>64.95</v>
      </c>
      <c r="E21" s="2"/>
      <c r="F21" s="19"/>
      <c r="G21" s="2"/>
      <c r="H21" s="2">
        <f>--20.89</f>
        <v>20.89</v>
      </c>
      <c r="I21" s="2"/>
      <c r="J21" s="19"/>
      <c r="K21" s="2"/>
      <c r="L21" s="2">
        <f t="shared" si="0"/>
        <v>44.06</v>
      </c>
      <c r="M21" s="2"/>
      <c r="N21" s="19">
        <f t="shared" si="1"/>
        <v>2.1091431306845383</v>
      </c>
      <c r="O21" s="11"/>
      <c r="P21" s="2">
        <f>--347.52</f>
        <v>347.52</v>
      </c>
      <c r="Q21" s="2"/>
      <c r="R21" s="19"/>
      <c r="S21" s="2"/>
      <c r="T21" s="2">
        <f>--717.61</f>
        <v>717.61</v>
      </c>
      <c r="U21" s="2"/>
      <c r="V21" s="19"/>
      <c r="W21" s="2"/>
      <c r="X21" s="2">
        <f t="shared" si="2"/>
        <v>-370.09000000000003</v>
      </c>
      <c r="Y21" s="2"/>
      <c r="Z21" s="19">
        <f t="shared" si="3"/>
        <v>-0.5157258120706234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ref="D22:D24" si="6">0</f>
        <v>0</v>
      </c>
      <c r="E22" s="2"/>
      <c r="F22" s="19"/>
      <c r="G22" s="2"/>
      <c r="H22" s="2">
        <f>--243.29</f>
        <v>243.29</v>
      </c>
      <c r="I22" s="2"/>
      <c r="J22" s="19"/>
      <c r="K22" s="2"/>
      <c r="L22" s="2">
        <f t="shared" si="0"/>
        <v>-243.29</v>
      </c>
      <c r="M22" s="2"/>
      <c r="N22" s="19">
        <f t="shared" si="1"/>
        <v>-1</v>
      </c>
      <c r="O22" s="11"/>
      <c r="P22" s="2">
        <f>--4154.31</f>
        <v>4154.3100000000004</v>
      </c>
      <c r="Q22" s="2"/>
      <c r="R22" s="19"/>
      <c r="S22" s="2"/>
      <c r="T22" s="2">
        <f>--6075.08</f>
        <v>6075.08</v>
      </c>
      <c r="U22" s="2"/>
      <c r="V22" s="19"/>
      <c r="W22" s="2"/>
      <c r="X22" s="2">
        <f t="shared" si="2"/>
        <v>-1920.7699999999995</v>
      </c>
      <c r="Y22" s="2"/>
      <c r="Z22" s="19">
        <f t="shared" si="3"/>
        <v>-0.31617196810576975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6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6"/>
        <v>0</v>
      </c>
      <c r="E24" s="2"/>
      <c r="F24" s="19"/>
      <c r="G24" s="2"/>
      <c r="H24" s="2">
        <f>--3109.67</f>
        <v>3109.67</v>
      </c>
      <c r="I24" s="2"/>
      <c r="J24" s="19"/>
      <c r="K24" s="2"/>
      <c r="L24" s="2">
        <f t="shared" si="0"/>
        <v>-3109.67</v>
      </c>
      <c r="M24" s="2"/>
      <c r="N24" s="19">
        <f t="shared" si="1"/>
        <v>-1</v>
      </c>
      <c r="O24" s="11"/>
      <c r="P24" s="2">
        <f>--54702.86</f>
        <v>54702.86</v>
      </c>
      <c r="Q24" s="2"/>
      <c r="R24" s="19"/>
      <c r="S24" s="2"/>
      <c r="T24" s="2">
        <f>--56618.67</f>
        <v>56618.67</v>
      </c>
      <c r="U24" s="2"/>
      <c r="V24" s="19"/>
      <c r="W24" s="2"/>
      <c r="X24" s="2">
        <f t="shared" si="2"/>
        <v>-1915.8099999999977</v>
      </c>
      <c r="Y24" s="2"/>
      <c r="Z24" s="19">
        <f t="shared" si="3"/>
        <v>-3.3837071764490363E-2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--81.65</f>
        <v>81.650000000000006</v>
      </c>
      <c r="E25" s="2"/>
      <c r="F25" s="19"/>
      <c r="G25" s="2"/>
      <c r="H25" s="2">
        <f>--6211.4</f>
        <v>6211.4</v>
      </c>
      <c r="I25" s="2"/>
      <c r="J25" s="19"/>
      <c r="K25" s="2"/>
      <c r="L25" s="2">
        <f t="shared" si="0"/>
        <v>-6129.75</v>
      </c>
      <c r="M25" s="2"/>
      <c r="N25" s="19">
        <f t="shared" si="1"/>
        <v>-0.98685481533953701</v>
      </c>
      <c r="O25" s="11"/>
      <c r="P25" s="2">
        <f>--79949.71</f>
        <v>79949.710000000006</v>
      </c>
      <c r="Q25" s="2"/>
      <c r="R25" s="19"/>
      <c r="S25" s="2"/>
      <c r="T25" s="2">
        <f>--74938.78</f>
        <v>74938.78</v>
      </c>
      <c r="U25" s="2"/>
      <c r="V25" s="19"/>
      <c r="W25" s="2"/>
      <c r="X25" s="2">
        <f t="shared" si="2"/>
        <v>5010.9300000000076</v>
      </c>
      <c r="Y25" s="2"/>
      <c r="Z25" s="19">
        <f t="shared" si="3"/>
        <v>6.6866981287926064E-2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--1399.98</f>
        <v>1399.98</v>
      </c>
      <c r="E26" s="2"/>
      <c r="F26" s="19"/>
      <c r="G26" s="2"/>
      <c r="H26" s="2">
        <f>--14945.52</f>
        <v>14945.52</v>
      </c>
      <c r="I26" s="2"/>
      <c r="J26" s="19"/>
      <c r="K26" s="2"/>
      <c r="L26" s="2">
        <f t="shared" si="0"/>
        <v>-13545.54</v>
      </c>
      <c r="M26" s="2"/>
      <c r="N26" s="19">
        <f t="shared" si="1"/>
        <v>-0.90632778250606205</v>
      </c>
      <c r="O26" s="11"/>
      <c r="P26" s="2">
        <f>--271246.56</f>
        <v>271246.56</v>
      </c>
      <c r="Q26" s="2"/>
      <c r="R26" s="19"/>
      <c r="S26" s="2"/>
      <c r="T26" s="2">
        <f>--276703.99</f>
        <v>276703.99</v>
      </c>
      <c r="U26" s="2"/>
      <c r="V26" s="19"/>
      <c r="W26" s="2"/>
      <c r="X26" s="2">
        <f t="shared" si="2"/>
        <v>-5457.429999999993</v>
      </c>
      <c r="Y26" s="2"/>
      <c r="Z26" s="19">
        <f t="shared" si="3"/>
        <v>-1.9722989899784219E-2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--168.82</f>
        <v>168.82</v>
      </c>
      <c r="E27" s="2"/>
      <c r="F27" s="19"/>
      <c r="G27" s="2"/>
      <c r="H27" s="2">
        <f>--29042.56</f>
        <v>29042.560000000001</v>
      </c>
      <c r="I27" s="2"/>
      <c r="J27" s="19"/>
      <c r="K27" s="2"/>
      <c r="L27" s="2">
        <f t="shared" si="0"/>
        <v>-28873.74</v>
      </c>
      <c r="M27" s="2"/>
      <c r="N27" s="19">
        <f t="shared" si="1"/>
        <v>-0.99418715154586923</v>
      </c>
      <c r="O27" s="11"/>
      <c r="P27" s="2">
        <f>--292765.87</f>
        <v>292765.87</v>
      </c>
      <c r="Q27" s="2"/>
      <c r="R27" s="19"/>
      <c r="S27" s="2"/>
      <c r="T27" s="2">
        <f>--334048.12</f>
        <v>334048.12</v>
      </c>
      <c r="U27" s="2"/>
      <c r="V27" s="19"/>
      <c r="W27" s="2"/>
      <c r="X27" s="2">
        <f t="shared" si="2"/>
        <v>-41282.25</v>
      </c>
      <c r="Y27" s="2"/>
      <c r="Z27" s="19">
        <f t="shared" si="3"/>
        <v>-0.12358174624661861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0</f>
        <v>0</v>
      </c>
      <c r="E28" s="2"/>
      <c r="F28" s="19"/>
      <c r="G28" s="2"/>
      <c r="H28" s="2">
        <f>--91.57</f>
        <v>91.57</v>
      </c>
      <c r="I28" s="2"/>
      <c r="J28" s="19"/>
      <c r="K28" s="2"/>
      <c r="L28" s="2">
        <f t="shared" si="0"/>
        <v>-91.57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--658.7</f>
        <v>658.7</v>
      </c>
      <c r="U28" s="2"/>
      <c r="V28" s="19"/>
      <c r="W28" s="2"/>
      <c r="X28" s="2">
        <f t="shared" si="2"/>
        <v>-172.36000000000007</v>
      </c>
      <c r="Y28" s="2"/>
      <c r="Z28" s="19">
        <f t="shared" si="3"/>
        <v>-0.26166691969029915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--1.35</f>
        <v>1.35</v>
      </c>
      <c r="E29" s="2"/>
      <c r="F29" s="19"/>
      <c r="G29" s="2"/>
      <c r="H29" s="2">
        <f>--35395.97</f>
        <v>35395.97</v>
      </c>
      <c r="I29" s="2"/>
      <c r="J29" s="19"/>
      <c r="K29" s="2"/>
      <c r="L29" s="2">
        <f t="shared" si="0"/>
        <v>-35394.620000000003</v>
      </c>
      <c r="M29" s="2"/>
      <c r="N29" s="19">
        <f t="shared" si="1"/>
        <v>-0.99996186006486054</v>
      </c>
      <c r="O29" s="11"/>
      <c r="P29" s="2">
        <f>--277654.52</f>
        <v>277654.52</v>
      </c>
      <c r="Q29" s="2"/>
      <c r="R29" s="19"/>
      <c r="S29" s="2"/>
      <c r="T29" s="2">
        <f>--341826.43</f>
        <v>341826.43</v>
      </c>
      <c r="U29" s="2"/>
      <c r="V29" s="19"/>
      <c r="W29" s="2"/>
      <c r="X29" s="2">
        <f t="shared" si="2"/>
        <v>-64171.909999999974</v>
      </c>
      <c r="Y29" s="2"/>
      <c r="Z29" s="19">
        <f t="shared" si="3"/>
        <v>-0.18773244070097206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0</f>
        <v>0</v>
      </c>
      <c r="E30" s="2"/>
      <c r="F30" s="19"/>
      <c r="G30" s="2"/>
      <c r="H30" s="2">
        <f>--38.96</f>
        <v>38.96</v>
      </c>
      <c r="I30" s="2"/>
      <c r="J30" s="19"/>
      <c r="K30" s="2"/>
      <c r="L30" s="2">
        <f t="shared" si="0"/>
        <v>-38.96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--264.05</f>
        <v>264.05</v>
      </c>
      <c r="U30" s="2"/>
      <c r="V30" s="19"/>
      <c r="W30" s="2"/>
      <c r="X30" s="2">
        <f t="shared" si="2"/>
        <v>-58.52000000000001</v>
      </c>
      <c r="Y30" s="2"/>
      <c r="Z30" s="19">
        <f t="shared" si="3"/>
        <v>-0.22162469229312634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--3.4</f>
        <v>3.4</v>
      </c>
      <c r="E31" s="2"/>
      <c r="F31" s="19"/>
      <c r="G31" s="2"/>
      <c r="H31" s="2">
        <f>--1565.32</f>
        <v>1565.32</v>
      </c>
      <c r="I31" s="2"/>
      <c r="J31" s="19"/>
      <c r="K31" s="2"/>
      <c r="L31" s="2">
        <f t="shared" si="0"/>
        <v>-1561.9199999999998</v>
      </c>
      <c r="M31" s="2"/>
      <c r="N31" s="19">
        <f t="shared" si="1"/>
        <v>-0.9978279201696777</v>
      </c>
      <c r="O31" s="11"/>
      <c r="P31" s="2">
        <f>--10925.46</f>
        <v>10925.46</v>
      </c>
      <c r="Q31" s="2"/>
      <c r="R31" s="19"/>
      <c r="S31" s="2"/>
      <c r="T31" s="2">
        <f>--10714.45</f>
        <v>10714.45</v>
      </c>
      <c r="U31" s="2"/>
      <c r="V31" s="19"/>
      <c r="W31" s="2"/>
      <c r="X31" s="2">
        <f t="shared" si="2"/>
        <v>211.0099999999984</v>
      </c>
      <c r="Y31" s="2"/>
      <c r="Z31" s="19">
        <f t="shared" si="3"/>
        <v>1.9693964692541231E-2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ref="D32:D33" si="7">0</f>
        <v>0</v>
      </c>
      <c r="E32" s="2"/>
      <c r="F32" s="19"/>
      <c r="G32" s="2"/>
      <c r="H32" s="2">
        <f>--218.46</f>
        <v>218.46</v>
      </c>
      <c r="I32" s="2"/>
      <c r="J32" s="19"/>
      <c r="K32" s="2"/>
      <c r="L32" s="2">
        <f t="shared" si="0"/>
        <v>-218.46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--2566.74</f>
        <v>2566.7399999999998</v>
      </c>
      <c r="U32" s="2"/>
      <c r="V32" s="19"/>
      <c r="W32" s="2"/>
      <c r="X32" s="2">
        <f t="shared" si="2"/>
        <v>-584.89999999999986</v>
      </c>
      <c r="Y32" s="2"/>
      <c r="Z32" s="19">
        <f t="shared" si="3"/>
        <v>-0.22787660612294192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--128.18</f>
        <v>128.18</v>
      </c>
      <c r="I33" s="2"/>
      <c r="J33" s="19"/>
      <c r="K33" s="2"/>
      <c r="L33" s="2">
        <f t="shared" si="0"/>
        <v>-128.18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--805.99</f>
        <v>805.99</v>
      </c>
      <c r="U33" s="2"/>
      <c r="V33" s="19"/>
      <c r="W33" s="2"/>
      <c r="X33" s="2">
        <f t="shared" si="2"/>
        <v>-292.48</v>
      </c>
      <c r="Y33" s="2"/>
      <c r="Z33" s="19">
        <f t="shared" si="3"/>
        <v>-0.36288291418007668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--67974.91</f>
        <v>67974.91</v>
      </c>
      <c r="E34" s="2"/>
      <c r="F34" s="19"/>
      <c r="G34" s="2"/>
      <c r="H34" s="2">
        <f>--278547.01</f>
        <v>278547.01</v>
      </c>
      <c r="I34" s="2"/>
      <c r="J34" s="19"/>
      <c r="K34" s="2"/>
      <c r="L34" s="2">
        <f t="shared" si="0"/>
        <v>-210572.1</v>
      </c>
      <c r="M34" s="2"/>
      <c r="N34" s="19">
        <f t="shared" si="1"/>
        <v>-0.75596611142944958</v>
      </c>
      <c r="O34" s="11"/>
      <c r="P34" s="2">
        <f>--1844103.4</f>
        <v>1844103.4</v>
      </c>
      <c r="Q34" s="2"/>
      <c r="R34" s="19"/>
      <c r="S34" s="2"/>
      <c r="T34" s="2">
        <f>--2128410.88</f>
        <v>2128410.88</v>
      </c>
      <c r="U34" s="2"/>
      <c r="V34" s="19"/>
      <c r="W34" s="2"/>
      <c r="X34" s="2">
        <f t="shared" si="2"/>
        <v>-284307.48</v>
      </c>
      <c r="Y34" s="2"/>
      <c r="Z34" s="19">
        <f t="shared" si="3"/>
        <v>-0.13357734762190276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--14115.57</f>
        <v>14115.57</v>
      </c>
      <c r="E35" s="2"/>
      <c r="F35" s="19"/>
      <c r="G35" s="2"/>
      <c r="H35" s="2">
        <f>--56719.49</f>
        <v>56719.49</v>
      </c>
      <c r="I35" s="2"/>
      <c r="J35" s="19"/>
      <c r="K35" s="2"/>
      <c r="L35" s="2">
        <f t="shared" si="0"/>
        <v>-42603.92</v>
      </c>
      <c r="M35" s="2"/>
      <c r="N35" s="19">
        <f t="shared" si="1"/>
        <v>-0.75113369319787604</v>
      </c>
      <c r="O35" s="11"/>
      <c r="P35" s="2">
        <f>--481133.29</f>
        <v>481133.29</v>
      </c>
      <c r="Q35" s="2"/>
      <c r="R35" s="19"/>
      <c r="S35" s="2"/>
      <c r="T35" s="2">
        <f>--663634.74</f>
        <v>663634.74</v>
      </c>
      <c r="U35" s="2"/>
      <c r="V35" s="19"/>
      <c r="W35" s="2"/>
      <c r="X35" s="2">
        <f t="shared" si="2"/>
        <v>-182501.45</v>
      </c>
      <c r="Y35" s="2"/>
      <c r="Z35" s="19">
        <f t="shared" si="3"/>
        <v>-0.27500285774671773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--1721.77</f>
        <v>1721.77</v>
      </c>
      <c r="E36" s="2"/>
      <c r="F36" s="19"/>
      <c r="G36" s="2"/>
      <c r="H36" s="2">
        <f>--41231.61</f>
        <v>41231.61</v>
      </c>
      <c r="I36" s="2"/>
      <c r="J36" s="19"/>
      <c r="K36" s="2"/>
      <c r="L36" s="2">
        <f t="shared" si="0"/>
        <v>-39509.840000000004</v>
      </c>
      <c r="M36" s="2"/>
      <c r="N36" s="19">
        <f t="shared" si="1"/>
        <v>-0.95824150451558898</v>
      </c>
      <c r="O36" s="11"/>
      <c r="P36" s="2">
        <f>--279302.18</f>
        <v>279302.18</v>
      </c>
      <c r="Q36" s="2"/>
      <c r="R36" s="19"/>
      <c r="S36" s="2"/>
      <c r="T36" s="2">
        <f>--285480.12</f>
        <v>285480.12</v>
      </c>
      <c r="U36" s="2"/>
      <c r="V36" s="19"/>
      <c r="W36" s="2"/>
      <c r="X36" s="2">
        <f t="shared" si="2"/>
        <v>-6177.9400000000023</v>
      </c>
      <c r="Y36" s="2"/>
      <c r="Z36" s="19">
        <f t="shared" si="3"/>
        <v>-2.1640526142415809E-2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--651</f>
        <v>651</v>
      </c>
      <c r="E37" s="2"/>
      <c r="F37" s="19"/>
      <c r="G37" s="2"/>
      <c r="H37" s="2">
        <f>--486.07</f>
        <v>486.07</v>
      </c>
      <c r="I37" s="2"/>
      <c r="J37" s="19"/>
      <c r="K37" s="2"/>
      <c r="L37" s="2">
        <f t="shared" si="0"/>
        <v>164.93</v>
      </c>
      <c r="M37" s="2"/>
      <c r="N37" s="19">
        <f t="shared" si="1"/>
        <v>0.33931326763634867</v>
      </c>
      <c r="O37" s="11"/>
      <c r="P37" s="2">
        <f>--77219.23</f>
        <v>77219.23</v>
      </c>
      <c r="Q37" s="2"/>
      <c r="R37" s="19"/>
      <c r="S37" s="2"/>
      <c r="T37" s="2">
        <f>--3553.38</f>
        <v>3553.38</v>
      </c>
      <c r="U37" s="2"/>
      <c r="V37" s="19"/>
      <c r="W37" s="2"/>
      <c r="X37" s="2">
        <f t="shared" si="2"/>
        <v>73665.849999999991</v>
      </c>
      <c r="Y37" s="2"/>
      <c r="Z37" s="19">
        <f t="shared" si="3"/>
        <v>20.731205218693184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--673.79</f>
        <v>673.79</v>
      </c>
      <c r="E38" s="2"/>
      <c r="F38" s="19"/>
      <c r="G38" s="2"/>
      <c r="H38" s="2">
        <f>--4813.14</f>
        <v>4813.1400000000003</v>
      </c>
      <c r="I38" s="2"/>
      <c r="J38" s="19"/>
      <c r="K38" s="2"/>
      <c r="L38" s="2">
        <f t="shared" si="0"/>
        <v>-4139.3500000000004</v>
      </c>
      <c r="M38" s="2"/>
      <c r="N38" s="19">
        <f t="shared" si="1"/>
        <v>-0.86001030512305898</v>
      </c>
      <c r="O38" s="11"/>
      <c r="P38" s="2">
        <f>--67340.52</f>
        <v>67340.52</v>
      </c>
      <c r="Q38" s="2"/>
      <c r="R38" s="19"/>
      <c r="S38" s="2"/>
      <c r="T38" s="2">
        <f>--80200.37</f>
        <v>80200.37</v>
      </c>
      <c r="U38" s="2"/>
      <c r="V38" s="19"/>
      <c r="W38" s="2"/>
      <c r="X38" s="2">
        <f t="shared" si="2"/>
        <v>-12859.849999999991</v>
      </c>
      <c r="Y38" s="2"/>
      <c r="Z38" s="19">
        <f t="shared" si="3"/>
        <v>-0.1603465171045968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--8913.15</f>
        <v>8913.15</v>
      </c>
      <c r="E39" s="2"/>
      <c r="F39" s="19"/>
      <c r="G39" s="2"/>
      <c r="H39" s="2">
        <f>--37220.65</f>
        <v>37220.65</v>
      </c>
      <c r="I39" s="2"/>
      <c r="J39" s="19"/>
      <c r="K39" s="2"/>
      <c r="L39" s="2">
        <f t="shared" si="0"/>
        <v>-28307.5</v>
      </c>
      <c r="M39" s="2"/>
      <c r="N39" s="19">
        <f t="shared" si="1"/>
        <v>-0.76053212396881831</v>
      </c>
      <c r="O39" s="11"/>
      <c r="P39" s="2">
        <f>--83313.97</f>
        <v>83313.97</v>
      </c>
      <c r="Q39" s="2"/>
      <c r="R39" s="19"/>
      <c r="S39" s="2"/>
      <c r="T39" s="2">
        <f>--132369.49</f>
        <v>132369.49</v>
      </c>
      <c r="U39" s="2"/>
      <c r="V39" s="19"/>
      <c r="W39" s="2"/>
      <c r="X39" s="2">
        <f t="shared" si="2"/>
        <v>-49055.51999999999</v>
      </c>
      <c r="Y39" s="2"/>
      <c r="Z39" s="19">
        <f t="shared" si="3"/>
        <v>-0.3705953690688088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2" si="8">0</f>
        <v>0</v>
      </c>
      <c r="E40" s="2"/>
      <c r="F40" s="19"/>
      <c r="G40" s="2"/>
      <c r="H40" s="2">
        <f>--676</f>
        <v>676</v>
      </c>
      <c r="I40" s="2"/>
      <c r="J40" s="19"/>
      <c r="K40" s="2"/>
      <c r="L40" s="2">
        <f t="shared" si="0"/>
        <v>-676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--4608.66</f>
        <v>4608.66</v>
      </c>
      <c r="U40" s="2"/>
      <c r="V40" s="19"/>
      <c r="W40" s="2"/>
      <c r="X40" s="2">
        <f t="shared" si="2"/>
        <v>-1932.52</v>
      </c>
      <c r="Y40" s="2"/>
      <c r="Z40" s="19">
        <f t="shared" si="3"/>
        <v>-0.41932362118272992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8"/>
        <v>0</v>
      </c>
      <c r="E41" s="2"/>
      <c r="F41" s="19"/>
      <c r="G41" s="2"/>
      <c r="H41" s="2">
        <f>--98374.11</f>
        <v>98374.11</v>
      </c>
      <c r="I41" s="2"/>
      <c r="J41" s="19"/>
      <c r="K41" s="2"/>
      <c r="L41" s="2">
        <f t="shared" si="0"/>
        <v>-98374.11</v>
      </c>
      <c r="M41" s="2"/>
      <c r="N41" s="19">
        <f t="shared" si="1"/>
        <v>-1</v>
      </c>
      <c r="O41" s="11"/>
      <c r="P41" s="2">
        <f>--604143.21</f>
        <v>604143.21</v>
      </c>
      <c r="Q41" s="2"/>
      <c r="R41" s="19"/>
      <c r="S41" s="2"/>
      <c r="T41" s="2">
        <f>--812113.12</f>
        <v>812113.12</v>
      </c>
      <c r="U41" s="2"/>
      <c r="V41" s="19"/>
      <c r="W41" s="2"/>
      <c r="X41" s="2">
        <f t="shared" si="2"/>
        <v>-207969.91000000003</v>
      </c>
      <c r="Y41" s="2"/>
      <c r="Z41" s="19">
        <f t="shared" si="3"/>
        <v>-0.25608490354151653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 t="shared" si="8"/>
        <v>0</v>
      </c>
      <c r="E42" s="2"/>
      <c r="F42" s="19"/>
      <c r="G42" s="2"/>
      <c r="H42" s="2">
        <f>--249445.54</f>
        <v>249445.54</v>
      </c>
      <c r="I42" s="2"/>
      <c r="J42" s="19"/>
      <c r="K42" s="2"/>
      <c r="L42" s="2">
        <f t="shared" si="0"/>
        <v>-249445.54</v>
      </c>
      <c r="M42" s="2"/>
      <c r="N42" s="19">
        <f t="shared" si="1"/>
        <v>-1</v>
      </c>
      <c r="O42" s="11"/>
      <c r="P42" s="2">
        <f>--836487.29</f>
        <v>836487.29</v>
      </c>
      <c r="Q42" s="2"/>
      <c r="R42" s="19"/>
      <c r="S42" s="2"/>
      <c r="T42" s="2">
        <f>--1357340.2</f>
        <v>1357340.2</v>
      </c>
      <c r="U42" s="2"/>
      <c r="V42" s="19"/>
      <c r="W42" s="2"/>
      <c r="X42" s="2">
        <f t="shared" si="2"/>
        <v>-520852.90999999992</v>
      </c>
      <c r="Y42" s="2"/>
      <c r="Z42" s="19">
        <f t="shared" si="3"/>
        <v>-0.38373055627469072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--46.54</f>
        <v>46.54</v>
      </c>
      <c r="E43" s="2"/>
      <c r="F43" s="19"/>
      <c r="G43" s="2"/>
      <c r="H43" s="2">
        <f>--77515.62</f>
        <v>77515.62</v>
      </c>
      <c r="I43" s="2"/>
      <c r="J43" s="19"/>
      <c r="K43" s="2"/>
      <c r="L43" s="2">
        <f t="shared" si="0"/>
        <v>-77469.08</v>
      </c>
      <c r="M43" s="2"/>
      <c r="N43" s="19">
        <f t="shared" si="1"/>
        <v>-0.99939960487963597</v>
      </c>
      <c r="O43" s="11"/>
      <c r="P43" s="2">
        <f>--279926.67</f>
        <v>279926.67</v>
      </c>
      <c r="Q43" s="2"/>
      <c r="R43" s="19"/>
      <c r="S43" s="2"/>
      <c r="T43" s="2">
        <f>--307988.7</f>
        <v>307988.7</v>
      </c>
      <c r="U43" s="2"/>
      <c r="V43" s="19"/>
      <c r="W43" s="2"/>
      <c r="X43" s="2">
        <f t="shared" si="2"/>
        <v>-28062.030000000028</v>
      </c>
      <c r="Y43" s="2"/>
      <c r="Z43" s="19">
        <f t="shared" si="3"/>
        <v>-9.1113829825574852E-2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6" si="9">0</f>
        <v>0</v>
      </c>
      <c r="E44" s="2"/>
      <c r="F44" s="19"/>
      <c r="G44" s="2"/>
      <c r="H44" s="2">
        <f>--77931.51</f>
        <v>77931.509999999995</v>
      </c>
      <c r="I44" s="2"/>
      <c r="J44" s="19"/>
      <c r="K44" s="2"/>
      <c r="L44" s="2">
        <f t="shared" si="0"/>
        <v>-77931.509999999995</v>
      </c>
      <c r="M44" s="2"/>
      <c r="N44" s="19">
        <f t="shared" si="1"/>
        <v>-1</v>
      </c>
      <c r="O44" s="11"/>
      <c r="P44" s="2">
        <f>--382379.53</f>
        <v>382379.53</v>
      </c>
      <c r="Q44" s="2"/>
      <c r="R44" s="19"/>
      <c r="S44" s="2"/>
      <c r="T44" s="2">
        <f>--566933.66</f>
        <v>566933.66</v>
      </c>
      <c r="U44" s="2"/>
      <c r="V44" s="19"/>
      <c r="W44" s="2"/>
      <c r="X44" s="2">
        <f t="shared" si="2"/>
        <v>-184554.13</v>
      </c>
      <c r="Y44" s="2"/>
      <c r="Z44" s="19">
        <f t="shared" si="3"/>
        <v>-0.32553038039759358</v>
      </c>
    </row>
    <row r="45" spans="1:26" s="24" customFormat="1" hidden="1" outlineLevel="1" x14ac:dyDescent="0.25">
      <c r="A45" s="44"/>
      <c r="B45" s="11" t="str">
        <f>CONCATENATE("          ", "4057", " - ", "TAXABLE SALES-FOOD")</f>
        <v xml:space="preserve">          4057 - TAXABLE SALES-FOOD</v>
      </c>
      <c r="C45" s="11"/>
      <c r="D45" s="2">
        <f t="shared" si="9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0</f>
        <v>0</v>
      </c>
      <c r="Q45" s="2"/>
      <c r="R45" s="19"/>
      <c r="S45" s="2"/>
      <c r="T45" s="2">
        <f>--11506.08</f>
        <v>11506.08</v>
      </c>
      <c r="U45" s="2"/>
      <c r="V45" s="19"/>
      <c r="W45" s="2"/>
      <c r="X45" s="2">
        <f t="shared" si="2"/>
        <v>-11506.08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"4058", " - ", "TAXABLE SALES-FOOD")</f>
        <v xml:space="preserve">          4058 - TAXABLE SALES-FOOD</v>
      </c>
      <c r="C46" s="11"/>
      <c r="D46" s="2">
        <f t="shared" si="9"/>
        <v>0</v>
      </c>
      <c r="E46" s="2"/>
      <c r="F46" s="19"/>
      <c r="G46" s="2"/>
      <c r="H46" s="2">
        <f>--25564.27</f>
        <v>25564.27</v>
      </c>
      <c r="I46" s="2"/>
      <c r="J46" s="19"/>
      <c r="K46" s="2"/>
      <c r="L46" s="2">
        <f t="shared" si="0"/>
        <v>-25564.27</v>
      </c>
      <c r="M46" s="2"/>
      <c r="N46" s="19">
        <f t="shared" si="1"/>
        <v>-1</v>
      </c>
      <c r="O46" s="11"/>
      <c r="P46" s="2">
        <f>--117077.57</f>
        <v>117077.57</v>
      </c>
      <c r="Q46" s="2"/>
      <c r="R46" s="19"/>
      <c r="S46" s="2"/>
      <c r="T46" s="2">
        <f>--194463.42</f>
        <v>194463.42</v>
      </c>
      <c r="U46" s="2"/>
      <c r="V46" s="19"/>
      <c r="W46" s="2"/>
      <c r="X46" s="2">
        <f t="shared" si="2"/>
        <v>-77385.850000000006</v>
      </c>
      <c r="Y46" s="2"/>
      <c r="Z46" s="19">
        <f t="shared" si="3"/>
        <v>-0.3979455364921588</v>
      </c>
    </row>
    <row r="47" spans="1:26" s="24" customFormat="1" hidden="1" outlineLevel="1" x14ac:dyDescent="0.25">
      <c r="A47" s="44"/>
      <c r="B47" s="11" t="str">
        <f>CONCATENATE("          ", "4081", " - ", "TAXABLE SALES-ELECTRONICS")</f>
        <v xml:space="preserve">          4081 - TAXABLE SALES-ELECTRONICS</v>
      </c>
      <c r="C47" s="11"/>
      <c r="D47" s="2">
        <f>--705.97</f>
        <v>705.97</v>
      </c>
      <c r="E47" s="2"/>
      <c r="F47" s="19"/>
      <c r="G47" s="2"/>
      <c r="H47" s="2">
        <f>--8054.22</f>
        <v>8054.22</v>
      </c>
      <c r="I47" s="2"/>
      <c r="J47" s="19"/>
      <c r="K47" s="2"/>
      <c r="L47" s="2">
        <f t="shared" si="0"/>
        <v>-7348.25</v>
      </c>
      <c r="M47" s="2"/>
      <c r="N47" s="19">
        <f t="shared" si="1"/>
        <v>-0.91234781269942955</v>
      </c>
      <c r="O47" s="11"/>
      <c r="P47" s="2">
        <f>--315078.02</f>
        <v>315078.02</v>
      </c>
      <c r="Q47" s="2"/>
      <c r="R47" s="19"/>
      <c r="S47" s="2"/>
      <c r="T47" s="2">
        <f>--229303.08</f>
        <v>229303.08</v>
      </c>
      <c r="U47" s="2"/>
      <c r="V47" s="19"/>
      <c r="W47" s="2"/>
      <c r="X47" s="2">
        <f t="shared" si="2"/>
        <v>85774.940000000031</v>
      </c>
      <c r="Y47" s="2"/>
      <c r="Z47" s="19">
        <f t="shared" si="3"/>
        <v>0.37406798024692922</v>
      </c>
    </row>
    <row r="48" spans="1:26" s="24" customFormat="1" hidden="1" outlineLevel="1" x14ac:dyDescent="0.25">
      <c r="A48" s="44"/>
      <c r="B48" s="11" t="str">
        <f>CONCATENATE("          ", "4082", " - ", "TAXABLE SALES-COMPUTER HARDWAR")</f>
        <v xml:space="preserve">          4082 - TAXABLE SALES-COMPUTER HARDWAR</v>
      </c>
      <c r="C48" s="11"/>
      <c r="D48" s="2">
        <f>--265200.65</f>
        <v>265200.65000000002</v>
      </c>
      <c r="E48" s="2"/>
      <c r="F48" s="19"/>
      <c r="G48" s="2"/>
      <c r="H48" s="2">
        <f>--201981.6</f>
        <v>201981.6</v>
      </c>
      <c r="I48" s="2"/>
      <c r="J48" s="19"/>
      <c r="K48" s="2"/>
      <c r="L48" s="2">
        <f t="shared" si="0"/>
        <v>63219.050000000017</v>
      </c>
      <c r="M48" s="2"/>
      <c r="N48" s="19">
        <f t="shared" si="1"/>
        <v>0.31299410441347142</v>
      </c>
      <c r="O48" s="11"/>
      <c r="P48" s="2">
        <f>--1926673.62</f>
        <v>1926673.62</v>
      </c>
      <c r="Q48" s="2"/>
      <c r="R48" s="19"/>
      <c r="S48" s="2"/>
      <c r="T48" s="2">
        <f>--1740017.57</f>
        <v>1740017.57</v>
      </c>
      <c r="U48" s="2"/>
      <c r="V48" s="19"/>
      <c r="W48" s="2"/>
      <c r="X48" s="2">
        <f t="shared" si="2"/>
        <v>186656.05000000005</v>
      </c>
      <c r="Y48" s="2"/>
      <c r="Z48" s="19">
        <f t="shared" si="3"/>
        <v>0.10727250874828813</v>
      </c>
    </row>
    <row r="49" spans="1:26" s="24" customFormat="1" hidden="1" outlineLevel="1" x14ac:dyDescent="0.25">
      <c r="A49" s="44"/>
      <c r="B49" s="11" t="str">
        <f>CONCATENATE("          ", "4083", " - ", "TAXABLE SALES-COMPUTER EQUIPME")</f>
        <v xml:space="preserve">          4083 - TAXABLE SALES-COMPUTER EQUIPME</v>
      </c>
      <c r="C49" s="11"/>
      <c r="D49" s="2">
        <f>--2895.75</f>
        <v>2895.75</v>
      </c>
      <c r="E49" s="2"/>
      <c r="F49" s="19"/>
      <c r="G49" s="2"/>
      <c r="H49" s="2">
        <f>--5488.79</f>
        <v>5488.79</v>
      </c>
      <c r="I49" s="2"/>
      <c r="J49" s="19"/>
      <c r="K49" s="2"/>
      <c r="L49" s="2">
        <f t="shared" si="0"/>
        <v>-2593.04</v>
      </c>
      <c r="M49" s="2"/>
      <c r="N49" s="19">
        <f t="shared" si="1"/>
        <v>-0.47242470562728761</v>
      </c>
      <c r="O49" s="11"/>
      <c r="P49" s="2">
        <f>--103778.4</f>
        <v>103778.4</v>
      </c>
      <c r="Q49" s="2"/>
      <c r="R49" s="19"/>
      <c r="S49" s="2"/>
      <c r="T49" s="2">
        <f>--123135.33</f>
        <v>123135.33</v>
      </c>
      <c r="U49" s="2"/>
      <c r="V49" s="19"/>
      <c r="W49" s="2"/>
      <c r="X49" s="2">
        <f t="shared" si="2"/>
        <v>-19356.930000000008</v>
      </c>
      <c r="Y49" s="2"/>
      <c r="Z49" s="19">
        <f t="shared" si="3"/>
        <v>-0.15720045579120148</v>
      </c>
    </row>
    <row r="50" spans="1:26" s="24" customFormat="1" hidden="1" outlineLevel="1" x14ac:dyDescent="0.25">
      <c r="A50" s="44"/>
      <c r="B50" s="11" t="str">
        <f>CONCATENATE("          ", "4084", " - ", "TAXABLE SALES-SOFTWARE LICENSE")</f>
        <v xml:space="preserve">          4084 - TAXABLE SALES-SOFTWARE LICENSE</v>
      </c>
      <c r="C50" s="11"/>
      <c r="D50" s="2">
        <f>0</f>
        <v>0</v>
      </c>
      <c r="E50" s="2"/>
      <c r="F50" s="19"/>
      <c r="G50" s="2"/>
      <c r="H50" s="2">
        <f>--79</f>
        <v>79</v>
      </c>
      <c r="I50" s="2"/>
      <c r="J50" s="19"/>
      <c r="K50" s="2"/>
      <c r="L50" s="2">
        <f t="shared" si="0"/>
        <v>-79</v>
      </c>
      <c r="M50" s="2"/>
      <c r="N50" s="19">
        <f t="shared" si="1"/>
        <v>-1</v>
      </c>
      <c r="O50" s="11"/>
      <c r="P50" s="2">
        <f>--129</f>
        <v>129</v>
      </c>
      <c r="Q50" s="2"/>
      <c r="R50" s="19"/>
      <c r="S50" s="2"/>
      <c r="T50" s="2">
        <f>--1563.99</f>
        <v>1563.99</v>
      </c>
      <c r="U50" s="2"/>
      <c r="V50" s="19"/>
      <c r="W50" s="2"/>
      <c r="X50" s="2">
        <f t="shared" si="2"/>
        <v>-1434.99</v>
      </c>
      <c r="Y50" s="2"/>
      <c r="Z50" s="19">
        <f t="shared" si="3"/>
        <v>-0.91751865421134404</v>
      </c>
    </row>
    <row r="51" spans="1:26" s="24" customFormat="1" hidden="1" outlineLevel="1" x14ac:dyDescent="0.25">
      <c r="A51" s="44"/>
      <c r="B51" s="11" t="str">
        <f>CONCATENATE("          ", "4085", " - ", "TAXABLE SALES-SOFTWARE")</f>
        <v xml:space="preserve">          4085 - TAXABLE SALES-SOFTWARE</v>
      </c>
      <c r="C51" s="11"/>
      <c r="D51" s="2">
        <f>--10</f>
        <v>10</v>
      </c>
      <c r="E51" s="2"/>
      <c r="F51" s="19"/>
      <c r="G51" s="2"/>
      <c r="H51" s="2">
        <f>--1078.91</f>
        <v>1078.9100000000001</v>
      </c>
      <c r="I51" s="2"/>
      <c r="J51" s="19"/>
      <c r="K51" s="2"/>
      <c r="L51" s="2">
        <f t="shared" si="0"/>
        <v>-1068.9100000000001</v>
      </c>
      <c r="M51" s="2"/>
      <c r="N51" s="19">
        <f t="shared" si="1"/>
        <v>-0.99073138630655011</v>
      </c>
      <c r="O51" s="11"/>
      <c r="P51" s="2">
        <f>--4567.93</f>
        <v>4567.93</v>
      </c>
      <c r="Q51" s="2"/>
      <c r="R51" s="19"/>
      <c r="S51" s="2"/>
      <c r="T51" s="2">
        <f>--13358.65</f>
        <v>13358.65</v>
      </c>
      <c r="U51" s="2"/>
      <c r="V51" s="19"/>
      <c r="W51" s="2"/>
      <c r="X51" s="2">
        <f t="shared" si="2"/>
        <v>-8790.7199999999993</v>
      </c>
      <c r="Y51" s="2"/>
      <c r="Z51" s="19">
        <f t="shared" si="3"/>
        <v>-0.65805451898208278</v>
      </c>
    </row>
    <row r="52" spans="1:26" s="24" customFormat="1" hidden="1" outlineLevel="1" x14ac:dyDescent="0.25">
      <c r="A52" s="44"/>
      <c r="B52" s="11" t="str">
        <f>CONCATENATE("          ", "4086", " - ", "TAXABLE SALES-COMPUTER SUPPLIE")</f>
        <v xml:space="preserve">          4086 - TAXABLE SALES-COMPUTER SUPPLIE</v>
      </c>
      <c r="C52" s="11"/>
      <c r="D52" s="2">
        <f>--91.96</f>
        <v>91.96</v>
      </c>
      <c r="E52" s="2"/>
      <c r="F52" s="19"/>
      <c r="G52" s="2"/>
      <c r="H52" s="2">
        <f>--10962.03</f>
        <v>10962.03</v>
      </c>
      <c r="I52" s="2"/>
      <c r="J52" s="19"/>
      <c r="K52" s="2"/>
      <c r="L52" s="2">
        <f t="shared" si="0"/>
        <v>-10870.070000000002</v>
      </c>
      <c r="M52" s="2"/>
      <c r="N52" s="19">
        <f t="shared" si="1"/>
        <v>-0.99161104284516655</v>
      </c>
      <c r="O52" s="11"/>
      <c r="P52" s="2">
        <f>--49172.02</f>
        <v>49172.02</v>
      </c>
      <c r="Q52" s="2"/>
      <c r="R52" s="19"/>
      <c r="S52" s="2"/>
      <c r="T52" s="2">
        <f>--86847.28</f>
        <v>86847.28</v>
      </c>
      <c r="U52" s="2"/>
      <c r="V52" s="19"/>
      <c r="W52" s="2"/>
      <c r="X52" s="2">
        <f t="shared" si="2"/>
        <v>-37675.26</v>
      </c>
      <c r="Y52" s="2"/>
      <c r="Z52" s="19">
        <f t="shared" si="3"/>
        <v>-0.43381047742658152</v>
      </c>
    </row>
    <row r="53" spans="1:26" s="24" customFormat="1" hidden="1" outlineLevel="1" x14ac:dyDescent="0.25">
      <c r="A53" s="44"/>
      <c r="B53" s="11" t="str">
        <f>CONCATENATE("          ", "4088", " - ", "TAXABLE SALES-MUSIC")</f>
        <v xml:space="preserve">          4088 - TAXABLE SALES-MUSIC</v>
      </c>
      <c r="C53" s="11"/>
      <c r="D53" s="2">
        <f>--379.98</f>
        <v>379.98</v>
      </c>
      <c r="E53" s="2"/>
      <c r="F53" s="19"/>
      <c r="G53" s="2"/>
      <c r="H53" s="2">
        <f>--307</f>
        <v>307</v>
      </c>
      <c r="I53" s="2"/>
      <c r="J53" s="19"/>
      <c r="K53" s="2"/>
      <c r="L53" s="2">
        <f t="shared" si="0"/>
        <v>72.980000000000018</v>
      </c>
      <c r="M53" s="2"/>
      <c r="N53" s="19">
        <f t="shared" si="1"/>
        <v>0.23771986970684045</v>
      </c>
      <c r="O53" s="11"/>
      <c r="P53" s="2">
        <f>--1674.81</f>
        <v>1674.81</v>
      </c>
      <c r="Q53" s="2"/>
      <c r="R53" s="19"/>
      <c r="S53" s="2"/>
      <c r="T53" s="2">
        <f>--2060.78</f>
        <v>2060.7800000000002</v>
      </c>
      <c r="U53" s="2"/>
      <c r="V53" s="19"/>
      <c r="W53" s="2"/>
      <c r="X53" s="2">
        <f t="shared" si="2"/>
        <v>-385.97000000000025</v>
      </c>
      <c r="Y53" s="2"/>
      <c r="Z53" s="19">
        <f t="shared" si="3"/>
        <v>-0.18729316084201139</v>
      </c>
    </row>
    <row r="54" spans="1:26" s="24" customFormat="1" hidden="1" outlineLevel="1" x14ac:dyDescent="0.25">
      <c r="A54" s="44"/>
      <c r="B54" s="11" t="str">
        <f>CONCATENATE("          ", "4091", " - ", "TAXABLE SALES-GRAD ANNOUNCEMEN")</f>
        <v xml:space="preserve">          4091 - TAXABLE SALES-GRAD ANNOUNCEMEN</v>
      </c>
      <c r="C54" s="11"/>
      <c r="D54" s="2">
        <f>0</f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0</f>
        <v>0</v>
      </c>
      <c r="Q54" s="2"/>
      <c r="R54" s="19"/>
      <c r="S54" s="2"/>
      <c r="T54" s="2">
        <f>--471.6</f>
        <v>471.6</v>
      </c>
      <c r="U54" s="2"/>
      <c r="V54" s="19"/>
      <c r="W54" s="2"/>
      <c r="X54" s="2">
        <f t="shared" si="2"/>
        <v>-471.6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"4092", " - ", "TAXABLE SALES-GRAD MERCH")</f>
        <v xml:space="preserve">          4092 - TAXABLE SALES-GRAD MERCH</v>
      </c>
      <c r="C55" s="11"/>
      <c r="D55" s="2">
        <f>--3214.15</f>
        <v>3214.15</v>
      </c>
      <c r="E55" s="2"/>
      <c r="F55" s="19"/>
      <c r="G55" s="2"/>
      <c r="H55" s="2">
        <f>--39254.68</f>
        <v>39254.68</v>
      </c>
      <c r="I55" s="2"/>
      <c r="J55" s="19"/>
      <c r="K55" s="2"/>
      <c r="L55" s="2">
        <f t="shared" si="0"/>
        <v>-36040.53</v>
      </c>
      <c r="M55" s="2"/>
      <c r="N55" s="19">
        <f t="shared" si="1"/>
        <v>-0.91812059097157328</v>
      </c>
      <c r="O55" s="11"/>
      <c r="P55" s="2">
        <f>--21826.42</f>
        <v>21826.42</v>
      </c>
      <c r="Q55" s="2"/>
      <c r="R55" s="19"/>
      <c r="S55" s="2"/>
      <c r="T55" s="2">
        <f>--123023.99</f>
        <v>123023.99</v>
      </c>
      <c r="U55" s="2"/>
      <c r="V55" s="19"/>
      <c r="W55" s="2"/>
      <c r="X55" s="2">
        <f t="shared" si="2"/>
        <v>-101197.57</v>
      </c>
      <c r="Y55" s="2"/>
      <c r="Z55" s="19">
        <f t="shared" si="3"/>
        <v>-0.8225840342196673</v>
      </c>
    </row>
    <row r="56" spans="1:26" s="24" customFormat="1" hidden="1" outlineLevel="1" x14ac:dyDescent="0.25">
      <c r="A56" s="44"/>
      <c r="B56" s="11" t="str">
        <f>CONCATENATE("          ", "4095", " - ", "TAXABLE SALES-CUSTOMER SERVICE")</f>
        <v xml:space="preserve">          4095 - TAXABLE SALES-CUSTOMER SERVICE</v>
      </c>
      <c r="C56" s="11"/>
      <c r="D56" s="2">
        <f>0</f>
        <v>0</v>
      </c>
      <c r="E56" s="2"/>
      <c r="F56" s="19"/>
      <c r="G56" s="2"/>
      <c r="H56" s="2">
        <f>--114.84</f>
        <v>114.84</v>
      </c>
      <c r="I56" s="2"/>
      <c r="J56" s="19"/>
      <c r="K56" s="2"/>
      <c r="L56" s="2">
        <f t="shared" si="0"/>
        <v>-114.84</v>
      </c>
      <c r="M56" s="2"/>
      <c r="N56" s="19">
        <f t="shared" si="1"/>
        <v>-1</v>
      </c>
      <c r="O56" s="11"/>
      <c r="P56" s="2">
        <f>--309.26</f>
        <v>309.26</v>
      </c>
      <c r="Q56" s="2"/>
      <c r="R56" s="19"/>
      <c r="S56" s="2"/>
      <c r="T56" s="2">
        <f>--2045.04</f>
        <v>2045.04</v>
      </c>
      <c r="U56" s="2"/>
      <c r="V56" s="19"/>
      <c r="W56" s="2"/>
      <c r="X56" s="2">
        <f t="shared" si="2"/>
        <v>-1735.78</v>
      </c>
      <c r="Y56" s="2"/>
      <c r="Z56" s="19">
        <f t="shared" si="3"/>
        <v>-0.84877557407190085</v>
      </c>
    </row>
    <row r="57" spans="1:26" s="24" customFormat="1" hidden="1" outlineLevel="1" x14ac:dyDescent="0.25">
      <c r="A57" s="44"/>
      <c r="B57" s="11" t="str">
        <f>CONCATENATE("          ", "4100", " - ", "NON-TAXABLE SALES")</f>
        <v xml:space="preserve">          4100 - NON-TAXABLE SALES</v>
      </c>
      <c r="C57" s="11"/>
      <c r="D57" s="2">
        <f>--53311.82</f>
        <v>53311.82</v>
      </c>
      <c r="E57" s="2"/>
      <c r="F57" s="19"/>
      <c r="G57" s="2"/>
      <c r="H57" s="2">
        <f>--139633.32</f>
        <v>139633.32</v>
      </c>
      <c r="I57" s="2"/>
      <c r="J57" s="19"/>
      <c r="K57" s="2"/>
      <c r="L57" s="2">
        <f t="shared" si="0"/>
        <v>-86321.5</v>
      </c>
      <c r="M57" s="2"/>
      <c r="N57" s="19">
        <f t="shared" si="1"/>
        <v>-0.61820130037730248</v>
      </c>
      <c r="O57" s="11"/>
      <c r="P57" s="2">
        <f>--1007124.47</f>
        <v>1007124.47</v>
      </c>
      <c r="Q57" s="2"/>
      <c r="R57" s="19"/>
      <c r="S57" s="2"/>
      <c r="T57" s="2">
        <f>--1198315.89</f>
        <v>1198315.8899999999</v>
      </c>
      <c r="U57" s="2"/>
      <c r="V57" s="19"/>
      <c r="W57" s="2"/>
      <c r="X57" s="2">
        <f t="shared" si="2"/>
        <v>-191191.41999999993</v>
      </c>
      <c r="Y57" s="2"/>
      <c r="Z57" s="19">
        <f t="shared" si="3"/>
        <v>-0.15955009993233082</v>
      </c>
    </row>
    <row r="58" spans="1:26" s="24" customFormat="1" hidden="1" outlineLevel="1" x14ac:dyDescent="0.25">
      <c r="A58" s="44"/>
      <c r="B58" s="11" t="str">
        <f>CONCATENATE("          ", "4101", " - ", "NON-TAXABLE SALES-NEW TEXT")</f>
        <v xml:space="preserve">          4101 - NON-TAXABLE SALES-NEW TEXT</v>
      </c>
      <c r="C58" s="11"/>
      <c r="D58" s="2">
        <f>--1972.02</f>
        <v>1972.02</v>
      </c>
      <c r="E58" s="2"/>
      <c r="F58" s="19"/>
      <c r="G58" s="2"/>
      <c r="H58" s="2">
        <f>--5697.7</f>
        <v>5697.7</v>
      </c>
      <c r="I58" s="2"/>
      <c r="J58" s="19"/>
      <c r="K58" s="2"/>
      <c r="L58" s="2">
        <f t="shared" si="0"/>
        <v>-3725.68</v>
      </c>
      <c r="M58" s="2"/>
      <c r="N58" s="19">
        <f t="shared" si="1"/>
        <v>-0.65389192130157781</v>
      </c>
      <c r="O58" s="11"/>
      <c r="P58" s="2">
        <f>--144163.44</f>
        <v>144163.44</v>
      </c>
      <c r="Q58" s="2"/>
      <c r="R58" s="19"/>
      <c r="S58" s="2"/>
      <c r="T58" s="2">
        <f>--266114.47</f>
        <v>266114.46999999997</v>
      </c>
      <c r="U58" s="2"/>
      <c r="V58" s="19"/>
      <c r="W58" s="2"/>
      <c r="X58" s="2">
        <f t="shared" si="2"/>
        <v>-121951.02999999997</v>
      </c>
      <c r="Y58" s="2"/>
      <c r="Z58" s="19">
        <f t="shared" si="3"/>
        <v>-0.45826530966166545</v>
      </c>
    </row>
    <row r="59" spans="1:26" s="24" customFormat="1" hidden="1" outlineLevel="1" x14ac:dyDescent="0.25">
      <c r="A59" s="44"/>
      <c r="B59" s="11" t="str">
        <f>CONCATENATE("          ", "4102", " - ", "NON-TAXABLE SALES-USED TEXT")</f>
        <v xml:space="preserve">          4102 - NON-TAXABLE SALES-USED TEXT</v>
      </c>
      <c r="C59" s="11"/>
      <c r="D59" s="2">
        <f>--804.2</f>
        <v>804.2</v>
      </c>
      <c r="E59" s="2"/>
      <c r="F59" s="19"/>
      <c r="G59" s="2"/>
      <c r="H59" s="2">
        <f>--6881.14</f>
        <v>6881.14</v>
      </c>
      <c r="I59" s="2"/>
      <c r="J59" s="19"/>
      <c r="K59" s="2"/>
      <c r="L59" s="2">
        <f t="shared" si="0"/>
        <v>-6076.9400000000005</v>
      </c>
      <c r="M59" s="2"/>
      <c r="N59" s="19">
        <f t="shared" si="1"/>
        <v>-0.88312983023161862</v>
      </c>
      <c r="O59" s="11"/>
      <c r="P59" s="2">
        <f>--69659.9</f>
        <v>69659.899999999994</v>
      </c>
      <c r="Q59" s="2"/>
      <c r="R59" s="19"/>
      <c r="S59" s="2"/>
      <c r="T59" s="2">
        <f>--92597.47</f>
        <v>92597.47</v>
      </c>
      <c r="U59" s="2"/>
      <c r="V59" s="19"/>
      <c r="W59" s="2"/>
      <c r="X59" s="2">
        <f t="shared" si="2"/>
        <v>-22937.570000000007</v>
      </c>
      <c r="Y59" s="2"/>
      <c r="Z59" s="19">
        <f t="shared" si="3"/>
        <v>-0.24771270748542057</v>
      </c>
    </row>
    <row r="60" spans="1:26" s="24" customFormat="1" hidden="1" outlineLevel="1" x14ac:dyDescent="0.25">
      <c r="A60" s="44"/>
      <c r="B60" s="11" t="str">
        <f>CONCATENATE("          ", "4103", " - ", "NON-TAXABLE SALES-RENTAL TEXT")</f>
        <v xml:space="preserve">          4103 - NON-TAXABLE SALES-RENTAL TEXT</v>
      </c>
      <c r="C60" s="11"/>
      <c r="D60" s="2">
        <f>0</f>
        <v>0</v>
      </c>
      <c r="E60" s="2"/>
      <c r="F60" s="19"/>
      <c r="G60" s="2"/>
      <c r="H60" s="2">
        <f>0</f>
        <v>0</v>
      </c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--664.97</f>
        <v>664.97</v>
      </c>
      <c r="Q60" s="2"/>
      <c r="R60" s="19"/>
      <c r="S60" s="2"/>
      <c r="T60" s="2">
        <f>--509.85</f>
        <v>509.85</v>
      </c>
      <c r="U60" s="2"/>
      <c r="V60" s="19"/>
      <c r="W60" s="2"/>
      <c r="X60" s="2">
        <f t="shared" si="2"/>
        <v>155.12</v>
      </c>
      <c r="Y60" s="2"/>
      <c r="Z60" s="19">
        <f t="shared" si="3"/>
        <v>0.30424634696479358</v>
      </c>
    </row>
    <row r="61" spans="1:26" s="24" customFormat="1" hidden="1" outlineLevel="1" x14ac:dyDescent="0.25">
      <c r="A61" s="44"/>
      <c r="B61" s="11" t="str">
        <f>CONCATENATE("          ", "4104", " - ", "NON-TAXABLE SALES-DIGITAL TEXT")</f>
        <v xml:space="preserve">          4104 - NON-TAXABLE SALES-DIGITAL TEXT</v>
      </c>
      <c r="C61" s="11"/>
      <c r="D61" s="2">
        <f>--2502.44</f>
        <v>2502.44</v>
      </c>
      <c r="E61" s="2"/>
      <c r="F61" s="19"/>
      <c r="G61" s="2"/>
      <c r="H61" s="2">
        <f>--2347.02</f>
        <v>2347.02</v>
      </c>
      <c r="I61" s="2"/>
      <c r="J61" s="19"/>
      <c r="K61" s="2"/>
      <c r="L61" s="2">
        <f t="shared" si="0"/>
        <v>155.42000000000007</v>
      </c>
      <c r="M61" s="2"/>
      <c r="N61" s="19">
        <f t="shared" si="1"/>
        <v>6.6220142989833947E-2</v>
      </c>
      <c r="O61" s="11"/>
      <c r="P61" s="2">
        <f>--526854.09</f>
        <v>526854.09</v>
      </c>
      <c r="Q61" s="2"/>
      <c r="R61" s="19"/>
      <c r="S61" s="2"/>
      <c r="T61" s="2">
        <f>--528735.29</f>
        <v>528735.29</v>
      </c>
      <c r="U61" s="2"/>
      <c r="V61" s="19"/>
      <c r="W61" s="2"/>
      <c r="X61" s="2">
        <f t="shared" si="2"/>
        <v>-1881.2000000000698</v>
      </c>
      <c r="Y61" s="2"/>
      <c r="Z61" s="19">
        <f t="shared" si="3"/>
        <v>-3.5579240417261911E-3</v>
      </c>
    </row>
    <row r="62" spans="1:26" s="24" customFormat="1" hidden="1" outlineLevel="1" x14ac:dyDescent="0.25">
      <c r="A62" s="44"/>
      <c r="B62" s="11" t="str">
        <f>CONCATENATE("          ", "4111", " - ", "NON-TAXABLE SALES-NO VALUE TEX")</f>
        <v xml:space="preserve">          4111 - NON-TAXABLE SALES-NO VALUE TEX</v>
      </c>
      <c r="C62" s="11"/>
      <c r="D62" s="2">
        <f>--593.67</f>
        <v>593.66999999999996</v>
      </c>
      <c r="E62" s="2"/>
      <c r="F62" s="19"/>
      <c r="G62" s="2"/>
      <c r="H62" s="2">
        <f>--2525.72</f>
        <v>2525.7199999999998</v>
      </c>
      <c r="I62" s="2"/>
      <c r="J62" s="19"/>
      <c r="K62" s="2"/>
      <c r="L62" s="2">
        <f t="shared" si="0"/>
        <v>-1932.0499999999997</v>
      </c>
      <c r="M62" s="2"/>
      <c r="N62" s="19">
        <f t="shared" si="1"/>
        <v>-0.76495019242037909</v>
      </c>
      <c r="O62" s="11"/>
      <c r="P62" s="2">
        <f>--15323</f>
        <v>15323</v>
      </c>
      <c r="Q62" s="2"/>
      <c r="R62" s="19"/>
      <c r="S62" s="2"/>
      <c r="T62" s="2">
        <f>--19614.24</f>
        <v>19614.240000000002</v>
      </c>
      <c r="U62" s="2"/>
      <c r="V62" s="19"/>
      <c r="W62" s="2"/>
      <c r="X62" s="2">
        <f t="shared" si="2"/>
        <v>-4291.2400000000016</v>
      </c>
      <c r="Y62" s="2"/>
      <c r="Z62" s="19">
        <f t="shared" si="3"/>
        <v>-0.2187818646044915</v>
      </c>
    </row>
    <row r="63" spans="1:26" s="24" customFormat="1" hidden="1" outlineLevel="1" x14ac:dyDescent="0.25">
      <c r="A63" s="44"/>
      <c r="B63" s="11" t="str">
        <f>CONCATENATE("          ", "4113", " - ", "NON-TAXABLE SALES-TRADE BOOKS")</f>
        <v xml:space="preserve">          4113 - NON-TAXABLE SALES-TRADE BOOKS</v>
      </c>
      <c r="C63" s="11"/>
      <c r="D63" s="2">
        <f>--2440</f>
        <v>2440</v>
      </c>
      <c r="E63" s="2"/>
      <c r="F63" s="19"/>
      <c r="G63" s="2"/>
      <c r="H63" s="2">
        <f>--378</f>
        <v>378</v>
      </c>
      <c r="I63" s="2"/>
      <c r="J63" s="19"/>
      <c r="K63" s="2"/>
      <c r="L63" s="2">
        <f t="shared" si="0"/>
        <v>2062</v>
      </c>
      <c r="M63" s="2"/>
      <c r="N63" s="19">
        <f t="shared" si="1"/>
        <v>5.4550264550264549</v>
      </c>
      <c r="O63" s="11"/>
      <c r="P63" s="2">
        <f>--8241.92</f>
        <v>8241.92</v>
      </c>
      <c r="Q63" s="2"/>
      <c r="R63" s="19"/>
      <c r="S63" s="2"/>
      <c r="T63" s="2">
        <f>--3773</f>
        <v>3773</v>
      </c>
      <c r="U63" s="2"/>
      <c r="V63" s="19"/>
      <c r="W63" s="2"/>
      <c r="X63" s="2">
        <f t="shared" si="2"/>
        <v>4468.92</v>
      </c>
      <c r="Y63" s="2"/>
      <c r="Z63" s="19">
        <f t="shared" si="3"/>
        <v>1.1844473893453487</v>
      </c>
    </row>
    <row r="64" spans="1:26" s="24" customFormat="1" hidden="1" outlineLevel="1" x14ac:dyDescent="0.25">
      <c r="A64" s="44"/>
      <c r="B64" s="11" t="str">
        <f>CONCATENATE("          ", "4118", " - ", "NON-TAXABLE SALES-STUDY GUIDES")</f>
        <v xml:space="preserve">          4118 - NON-TAXABLE SALES-STUDY GUIDES</v>
      </c>
      <c r="C64" s="11"/>
      <c r="D64" s="2">
        <f>--7.02</f>
        <v>7.02</v>
      </c>
      <c r="E64" s="2"/>
      <c r="F64" s="19"/>
      <c r="G64" s="2"/>
      <c r="H64" s="2">
        <f t="shared" ref="H64:H65" si="10">0</f>
        <v>0</v>
      </c>
      <c r="I64" s="2"/>
      <c r="J64" s="19"/>
      <c r="K64" s="2"/>
      <c r="L64" s="2">
        <f t="shared" si="0"/>
        <v>7.02</v>
      </c>
      <c r="M64" s="2"/>
      <c r="N64" s="19">
        <f t="shared" si="1"/>
        <v>0</v>
      </c>
      <c r="O64" s="11"/>
      <c r="P64" s="2">
        <f>--75.94</f>
        <v>75.94</v>
      </c>
      <c r="Q64" s="2"/>
      <c r="R64" s="19"/>
      <c r="S64" s="2"/>
      <c r="T64" s="2">
        <f>--266.48</f>
        <v>266.48</v>
      </c>
      <c r="U64" s="2"/>
      <c r="V64" s="19"/>
      <c r="W64" s="2"/>
      <c r="X64" s="2">
        <f t="shared" si="2"/>
        <v>-190.54000000000002</v>
      </c>
      <c r="Y64" s="2"/>
      <c r="Z64" s="19">
        <f t="shared" si="3"/>
        <v>-0.71502551786250379</v>
      </c>
    </row>
    <row r="65" spans="1:26" s="24" customFormat="1" hidden="1" outlineLevel="1" x14ac:dyDescent="0.25">
      <c r="A65" s="44"/>
      <c r="B65" s="11" t="str">
        <f>CONCATENATE("          ", "4125", " - ", "NON-TAXABLE SALES-TEST FORMS")</f>
        <v xml:space="preserve">          4125 - NON-TAXABLE SALES-TEST FORMS</v>
      </c>
      <c r="C65" s="11"/>
      <c r="D65" s="2">
        <f>0</f>
        <v>0</v>
      </c>
      <c r="E65" s="2"/>
      <c r="F65" s="19"/>
      <c r="G65" s="2"/>
      <c r="H65" s="2">
        <f t="shared" si="10"/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--267.61</f>
        <v>267.61</v>
      </c>
      <c r="Q65" s="2"/>
      <c r="R65" s="19"/>
      <c r="S65" s="2"/>
      <c r="T65" s="2">
        <f>--305.19</f>
        <v>305.19</v>
      </c>
      <c r="U65" s="2"/>
      <c r="V65" s="19"/>
      <c r="W65" s="2"/>
      <c r="X65" s="2">
        <f t="shared" si="2"/>
        <v>-37.579999999999984</v>
      </c>
      <c r="Y65" s="2"/>
      <c r="Z65" s="19">
        <f t="shared" si="3"/>
        <v>-0.123136406828533</v>
      </c>
    </row>
    <row r="66" spans="1:26" s="24" customFormat="1" hidden="1" outlineLevel="1" x14ac:dyDescent="0.25">
      <c r="A66" s="44"/>
      <c r="B66" s="11" t="str">
        <f>CONCATENATE("          ", "4126", " - ", "NON-TAXABLE SALES-WRITING INST")</f>
        <v xml:space="preserve">          4126 - NON-TAXABLE SALES-WRITING INST</v>
      </c>
      <c r="C66" s="11"/>
      <c r="D66" s="2">
        <f>--5.57</f>
        <v>5.57</v>
      </c>
      <c r="E66" s="2"/>
      <c r="F66" s="19"/>
      <c r="G66" s="2"/>
      <c r="H66" s="2">
        <f>--100.47</f>
        <v>100.47</v>
      </c>
      <c r="I66" s="2"/>
      <c r="J66" s="19"/>
      <c r="K66" s="2"/>
      <c r="L66" s="2">
        <f t="shared" si="0"/>
        <v>-94.9</v>
      </c>
      <c r="M66" s="2"/>
      <c r="N66" s="19">
        <f t="shared" si="1"/>
        <v>-0.94456056534288846</v>
      </c>
      <c r="O66" s="11"/>
      <c r="P66" s="2">
        <f>--3022.86</f>
        <v>3022.86</v>
      </c>
      <c r="Q66" s="2"/>
      <c r="R66" s="19"/>
      <c r="S66" s="2"/>
      <c r="T66" s="2">
        <f>--3659.14</f>
        <v>3659.14</v>
      </c>
      <c r="U66" s="2"/>
      <c r="V66" s="19"/>
      <c r="W66" s="2"/>
      <c r="X66" s="2">
        <f t="shared" si="2"/>
        <v>-636.27999999999975</v>
      </c>
      <c r="Y66" s="2"/>
      <c r="Z66" s="19">
        <f t="shared" si="3"/>
        <v>-0.17388785343004087</v>
      </c>
    </row>
    <row r="67" spans="1:26" s="24" customFormat="1" hidden="1" outlineLevel="1" x14ac:dyDescent="0.25">
      <c r="A67" s="44"/>
      <c r="B67" s="11" t="str">
        <f>CONCATENATE("          ", "4127", " - ", "NON-TAXABLE SALES-SCHOOL SUPPL")</f>
        <v xml:space="preserve">          4127 - NON-TAXABLE SALES-SCHOOL SUPPL</v>
      </c>
      <c r="C67" s="11"/>
      <c r="D67" s="2">
        <f>--1430.65</f>
        <v>1430.65</v>
      </c>
      <c r="E67" s="2"/>
      <c r="F67" s="19"/>
      <c r="G67" s="2"/>
      <c r="H67" s="2">
        <f>--4.99</f>
        <v>4.99</v>
      </c>
      <c r="I67" s="2"/>
      <c r="J67" s="19"/>
      <c r="K67" s="2"/>
      <c r="L67" s="2">
        <f t="shared" si="0"/>
        <v>1425.66</v>
      </c>
      <c r="M67" s="2"/>
      <c r="N67" s="19">
        <f t="shared" si="1"/>
        <v>285.70340681362728</v>
      </c>
      <c r="O67" s="11"/>
      <c r="P67" s="2">
        <f>--6146.87</f>
        <v>6146.87</v>
      </c>
      <c r="Q67" s="2"/>
      <c r="R67" s="19"/>
      <c r="S67" s="2"/>
      <c r="T67" s="2">
        <f>--12330.36</f>
        <v>12330.36</v>
      </c>
      <c r="U67" s="2"/>
      <c r="V67" s="19"/>
      <c r="W67" s="2"/>
      <c r="X67" s="2">
        <f t="shared" si="2"/>
        <v>-6183.4900000000007</v>
      </c>
      <c r="Y67" s="2"/>
      <c r="Z67" s="19">
        <f t="shared" si="3"/>
        <v>-0.50148495258857007</v>
      </c>
    </row>
    <row r="68" spans="1:26" s="24" customFormat="1" hidden="1" outlineLevel="1" x14ac:dyDescent="0.25">
      <c r="A68" s="44"/>
      <c r="B68" s="11" t="str">
        <f>CONCATENATE("          ", "4128", " - ", "NON-TAXABLE SALES-ART/TECH")</f>
        <v xml:space="preserve">          4128 - NON-TAXABLE SALES-ART/TECH</v>
      </c>
      <c r="C68" s="11"/>
      <c r="D68" s="2">
        <f>0</f>
        <v>0</v>
      </c>
      <c r="E68" s="2"/>
      <c r="F68" s="19"/>
      <c r="G68" s="2"/>
      <c r="H68" s="2">
        <f>--7.45</f>
        <v>7.45</v>
      </c>
      <c r="I68" s="2"/>
      <c r="J68" s="19"/>
      <c r="K68" s="2"/>
      <c r="L68" s="2">
        <f t="shared" si="0"/>
        <v>-7.45</v>
      </c>
      <c r="M68" s="2"/>
      <c r="N68" s="19">
        <f t="shared" si="1"/>
        <v>-1</v>
      </c>
      <c r="O68" s="11"/>
      <c r="P68" s="2">
        <f>--730.62</f>
        <v>730.62</v>
      </c>
      <c r="Q68" s="2"/>
      <c r="R68" s="19"/>
      <c r="S68" s="2"/>
      <c r="T68" s="2">
        <f>--852.82</f>
        <v>852.82</v>
      </c>
      <c r="U68" s="2"/>
      <c r="V68" s="19"/>
      <c r="W68" s="2"/>
      <c r="X68" s="2">
        <f t="shared" si="2"/>
        <v>-122.20000000000005</v>
      </c>
      <c r="Y68" s="2"/>
      <c r="Z68" s="19">
        <f t="shared" si="3"/>
        <v>-0.14328932248305626</v>
      </c>
    </row>
    <row r="69" spans="1:26" s="24" customFormat="1" hidden="1" outlineLevel="1" x14ac:dyDescent="0.25">
      <c r="A69" s="44"/>
      <c r="B69" s="11" t="str">
        <f>CONCATENATE("          ", "4131", " - ", "NON-TAXABLE SALES-FOOD")</f>
        <v xml:space="preserve">          4131 - NON-TAXABLE SALES-FOOD</v>
      </c>
      <c r="C69" s="11"/>
      <c r="D69" s="2">
        <f>--3.97</f>
        <v>3.97</v>
      </c>
      <c r="E69" s="2"/>
      <c r="F69" s="19"/>
      <c r="G69" s="2"/>
      <c r="H69" s="2">
        <f>--9031.87</f>
        <v>9031.8700000000008</v>
      </c>
      <c r="I69" s="2"/>
      <c r="J69" s="19"/>
      <c r="K69" s="2"/>
      <c r="L69" s="2">
        <f t="shared" si="0"/>
        <v>-9027.9000000000015</v>
      </c>
      <c r="M69" s="2"/>
      <c r="N69" s="19">
        <f t="shared" si="1"/>
        <v>-0.99956044540056499</v>
      </c>
      <c r="O69" s="11"/>
      <c r="P69" s="2">
        <f>--57887.54</f>
        <v>57887.54</v>
      </c>
      <c r="Q69" s="2"/>
      <c r="R69" s="19"/>
      <c r="S69" s="2"/>
      <c r="T69" s="2">
        <f>--71045.88</f>
        <v>71045.88</v>
      </c>
      <c r="U69" s="2"/>
      <c r="V69" s="19"/>
      <c r="W69" s="2"/>
      <c r="X69" s="2">
        <f t="shared" si="2"/>
        <v>-13158.340000000004</v>
      </c>
      <c r="Y69" s="2"/>
      <c r="Z69" s="19">
        <f t="shared" si="3"/>
        <v>-0.18520905082743719</v>
      </c>
    </row>
    <row r="70" spans="1:26" s="24" customFormat="1" hidden="1" outlineLevel="1" x14ac:dyDescent="0.25">
      <c r="A70" s="44"/>
      <c r="B70" s="11" t="str">
        <f>CONCATENATE("          ", "4132", " - ", "NON-TAXABLE SALES-JUICE")</f>
        <v xml:space="preserve">          4132 - NON-TAXABLE SALES-JUICE</v>
      </c>
      <c r="C70" s="11"/>
      <c r="D70" s="2">
        <f>--0.05</f>
        <v>0.05</v>
      </c>
      <c r="E70" s="2"/>
      <c r="F70" s="19"/>
      <c r="G70" s="2"/>
      <c r="H70" s="2">
        <f>--154985.37</f>
        <v>154985.37</v>
      </c>
      <c r="I70" s="2"/>
      <c r="J70" s="19"/>
      <c r="K70" s="2"/>
      <c r="L70" s="2">
        <f t="shared" si="0"/>
        <v>-154985.32</v>
      </c>
      <c r="M70" s="2"/>
      <c r="N70" s="19">
        <f t="shared" si="1"/>
        <v>-0.99999967738890461</v>
      </c>
      <c r="O70" s="11"/>
      <c r="P70" s="2">
        <f>--1109977.78</f>
        <v>1109977.78</v>
      </c>
      <c r="Q70" s="2"/>
      <c r="R70" s="19"/>
      <c r="S70" s="2"/>
      <c r="T70" s="2">
        <f>--1236537.04</f>
        <v>1236537.04</v>
      </c>
      <c r="U70" s="2"/>
      <c r="V70" s="19"/>
      <c r="W70" s="2"/>
      <c r="X70" s="2">
        <f t="shared" si="2"/>
        <v>-126559.26000000001</v>
      </c>
      <c r="Y70" s="2"/>
      <c r="Z70" s="19">
        <f t="shared" si="3"/>
        <v>-0.10234975249912449</v>
      </c>
    </row>
    <row r="71" spans="1:26" s="24" customFormat="1" hidden="1" outlineLevel="1" x14ac:dyDescent="0.25">
      <c r="A71" s="44"/>
      <c r="B71" s="11" t="str">
        <f>CONCATENATE("          ", "4133", " - ", "NON-TAXABLE SALES-CANDY")</f>
        <v xml:space="preserve">          4133 - NON-TAXABLE SALES-CANDY</v>
      </c>
      <c r="C71" s="11"/>
      <c r="D71" s="2">
        <f>--4.17</f>
        <v>4.17</v>
      </c>
      <c r="E71" s="2"/>
      <c r="F71" s="19"/>
      <c r="G71" s="2"/>
      <c r="H71" s="2">
        <f>--2570.67</f>
        <v>2570.67</v>
      </c>
      <c r="I71" s="2"/>
      <c r="J71" s="19"/>
      <c r="K71" s="2"/>
      <c r="L71" s="2">
        <f t="shared" si="0"/>
        <v>-2566.5</v>
      </c>
      <c r="M71" s="2"/>
      <c r="N71" s="19">
        <f t="shared" si="1"/>
        <v>-0.99837785480049945</v>
      </c>
      <c r="O71" s="11"/>
      <c r="P71" s="2">
        <f>--18090.05</f>
        <v>18090.05</v>
      </c>
      <c r="Q71" s="2"/>
      <c r="R71" s="19"/>
      <c r="S71" s="2"/>
      <c r="T71" s="2">
        <f>--19959.46</f>
        <v>19959.46</v>
      </c>
      <c r="U71" s="2"/>
      <c r="V71" s="19"/>
      <c r="W71" s="2"/>
      <c r="X71" s="2">
        <f t="shared" si="2"/>
        <v>-1869.4099999999999</v>
      </c>
      <c r="Y71" s="2"/>
      <c r="Z71" s="19">
        <f t="shared" si="3"/>
        <v>-9.3660349528494252E-2</v>
      </c>
    </row>
    <row r="72" spans="1:26" s="24" customFormat="1" hidden="1" outlineLevel="1" x14ac:dyDescent="0.25">
      <c r="A72" s="44"/>
      <c r="B72" s="11" t="str">
        <f>CONCATENATE("          ", "4134", " - ", "NON-TAXABLE SALES-SODA")</f>
        <v xml:space="preserve">          4134 - NON-TAXABLE SALES-SODA</v>
      </c>
      <c r="C72" s="11"/>
      <c r="D72" s="2">
        <f>--35.86</f>
        <v>35.86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35.86</v>
      </c>
      <c r="M72" s="2"/>
      <c r="N72" s="19">
        <f t="shared" si="1"/>
        <v>0</v>
      </c>
      <c r="O72" s="11"/>
      <c r="P72" s="2">
        <f>--73.09</f>
        <v>73.09</v>
      </c>
      <c r="Q72" s="2"/>
      <c r="R72" s="19"/>
      <c r="S72" s="2"/>
      <c r="T72" s="2">
        <f>--165.3</f>
        <v>165.3</v>
      </c>
      <c r="U72" s="2"/>
      <c r="V72" s="19"/>
      <c r="W72" s="2"/>
      <c r="X72" s="2">
        <f t="shared" si="2"/>
        <v>-92.210000000000008</v>
      </c>
      <c r="Y72" s="2"/>
      <c r="Z72" s="19">
        <f t="shared" si="3"/>
        <v>-0.55783424077434973</v>
      </c>
    </row>
    <row r="73" spans="1:26" s="24" customFormat="1" hidden="1" outlineLevel="1" x14ac:dyDescent="0.25">
      <c r="A73" s="44"/>
      <c r="B73" s="11" t="str">
        <f>CONCATENATE("          ", "4135", " - ", "NON-TAXABLE SALES")</f>
        <v xml:space="preserve">          4135 - NON-TAXABLE SALES</v>
      </c>
      <c r="C73" s="11"/>
      <c r="D73" s="2">
        <f>0</f>
        <v>0</v>
      </c>
      <c r="E73" s="2"/>
      <c r="F73" s="19"/>
      <c r="G73" s="2"/>
      <c r="H73" s="2">
        <f>--34.82</f>
        <v>34.82</v>
      </c>
      <c r="I73" s="2"/>
      <c r="J73" s="19"/>
      <c r="K73" s="2"/>
      <c r="L73" s="2">
        <f t="shared" si="0"/>
        <v>-34.82</v>
      </c>
      <c r="M73" s="2"/>
      <c r="N73" s="19">
        <f t="shared" si="1"/>
        <v>-1</v>
      </c>
      <c r="O73" s="11"/>
      <c r="P73" s="2">
        <f>--161.4</f>
        <v>161.4</v>
      </c>
      <c r="Q73" s="2"/>
      <c r="R73" s="19"/>
      <c r="S73" s="2"/>
      <c r="T73" s="2">
        <f>--370.53</f>
        <v>370.53</v>
      </c>
      <c r="U73" s="2"/>
      <c r="V73" s="19"/>
      <c r="W73" s="2"/>
      <c r="X73" s="2">
        <f t="shared" si="2"/>
        <v>-209.12999999999997</v>
      </c>
      <c r="Y73" s="2"/>
      <c r="Z73" s="19">
        <f t="shared" si="3"/>
        <v>-0.56440774026394624</v>
      </c>
    </row>
    <row r="74" spans="1:26" s="24" customFormat="1" hidden="1" outlineLevel="1" x14ac:dyDescent="0.25">
      <c r="A74" s="44"/>
      <c r="B74" s="11" t="str">
        <f>CONCATENATE("          ", "4137", " - ", "NON-TAXABLE SALES-WATER")</f>
        <v xml:space="preserve">          4137 - NON-TAXABLE SALES-WATER</v>
      </c>
      <c r="C74" s="11"/>
      <c r="D74" s="2">
        <f>--4.65</f>
        <v>4.6500000000000004</v>
      </c>
      <c r="E74" s="2"/>
      <c r="F74" s="19"/>
      <c r="G74" s="2"/>
      <c r="H74" s="2">
        <f>--1463.31</f>
        <v>1463.31</v>
      </c>
      <c r="I74" s="2"/>
      <c r="J74" s="19"/>
      <c r="K74" s="2"/>
      <c r="L74" s="2">
        <f t="shared" si="0"/>
        <v>-1458.6599999999999</v>
      </c>
      <c r="M74" s="2"/>
      <c r="N74" s="19">
        <f t="shared" si="1"/>
        <v>-0.99682227279250457</v>
      </c>
      <c r="O74" s="11"/>
      <c r="P74" s="2">
        <f>--10092.5</f>
        <v>10092.5</v>
      </c>
      <c r="Q74" s="2"/>
      <c r="R74" s="19"/>
      <c r="S74" s="2"/>
      <c r="T74" s="2">
        <f>--11822.53</f>
        <v>11822.53</v>
      </c>
      <c r="U74" s="2"/>
      <c r="V74" s="19"/>
      <c r="W74" s="2"/>
      <c r="X74" s="2">
        <f t="shared" si="2"/>
        <v>-1730.0300000000007</v>
      </c>
      <c r="Y74" s="2"/>
      <c r="Z74" s="19">
        <f t="shared" si="3"/>
        <v>-0.14633331444284772</v>
      </c>
    </row>
    <row r="75" spans="1:26" s="24" customFormat="1" hidden="1" outlineLevel="1" x14ac:dyDescent="0.25">
      <c r="A75" s="44"/>
      <c r="B75" s="11" t="str">
        <f>CONCATENATE("          ", "4140", " - ", "NON-TAXABLE SALES-LOGO CLOTHIN")</f>
        <v xml:space="preserve">          4140 - NON-TAXABLE SALES-LOGO CLOTHIN</v>
      </c>
      <c r="C75" s="11"/>
      <c r="D75" s="2">
        <f>--30875.73</f>
        <v>30875.73</v>
      </c>
      <c r="E75" s="2"/>
      <c r="F75" s="19"/>
      <c r="G75" s="2"/>
      <c r="H75" s="2">
        <f>--11589.38</f>
        <v>11589.38</v>
      </c>
      <c r="I75" s="2"/>
      <c r="J75" s="19"/>
      <c r="K75" s="2"/>
      <c r="L75" s="2">
        <f t="shared" si="0"/>
        <v>19286.349999999999</v>
      </c>
      <c r="M75" s="2"/>
      <c r="N75" s="19">
        <f t="shared" si="1"/>
        <v>1.6641399281065941</v>
      </c>
      <c r="O75" s="11"/>
      <c r="P75" s="2">
        <f>--78924.71</f>
        <v>78924.710000000006</v>
      </c>
      <c r="Q75" s="2"/>
      <c r="R75" s="19"/>
      <c r="S75" s="2"/>
      <c r="T75" s="2">
        <f>--47255.77</f>
        <v>47255.77</v>
      </c>
      <c r="U75" s="2"/>
      <c r="V75" s="19"/>
      <c r="W75" s="2"/>
      <c r="X75" s="2">
        <f t="shared" si="2"/>
        <v>31668.94000000001</v>
      </c>
      <c r="Y75" s="2"/>
      <c r="Z75" s="19">
        <f t="shared" si="3"/>
        <v>0.67016027884002338</v>
      </c>
    </row>
    <row r="76" spans="1:26" s="24" customFormat="1" hidden="1" outlineLevel="1" x14ac:dyDescent="0.25">
      <c r="A76" s="44"/>
      <c r="B76" s="11" t="str">
        <f>CONCATENATE("          ", "4141", " - ", "NON-TAXABLE SALES-LOGO GIFTS")</f>
        <v xml:space="preserve">          4141 - NON-TAXABLE SALES-LOGO GIFTS</v>
      </c>
      <c r="C76" s="11"/>
      <c r="D76" s="2">
        <f>--1860.77</f>
        <v>1860.77</v>
      </c>
      <c r="E76" s="2"/>
      <c r="F76" s="19"/>
      <c r="G76" s="2"/>
      <c r="H76" s="2">
        <f>--727.75</f>
        <v>727.75</v>
      </c>
      <c r="I76" s="2"/>
      <c r="J76" s="19"/>
      <c r="K76" s="2"/>
      <c r="L76" s="2">
        <f t="shared" si="0"/>
        <v>1133.02</v>
      </c>
      <c r="M76" s="2"/>
      <c r="N76" s="19">
        <f t="shared" si="1"/>
        <v>1.5568807969769838</v>
      </c>
      <c r="O76" s="11"/>
      <c r="P76" s="2">
        <f>--12775.33</f>
        <v>12775.33</v>
      </c>
      <c r="Q76" s="2"/>
      <c r="R76" s="19"/>
      <c r="S76" s="2"/>
      <c r="T76" s="2">
        <f>--6003.33</f>
        <v>6003.33</v>
      </c>
      <c r="U76" s="2"/>
      <c r="V76" s="19"/>
      <c r="W76" s="2"/>
      <c r="X76" s="2">
        <f t="shared" si="2"/>
        <v>6772</v>
      </c>
      <c r="Y76" s="2"/>
      <c r="Z76" s="19">
        <f t="shared" si="3"/>
        <v>1.1280406041313737</v>
      </c>
    </row>
    <row r="77" spans="1:26" s="24" customFormat="1" hidden="1" outlineLevel="1" x14ac:dyDescent="0.25">
      <c r="A77" s="44"/>
      <c r="B77" s="11" t="str">
        <f>CONCATENATE("          ", "4142", " - ", "NON-TAXABLE SALES-EVERYDAY GIF")</f>
        <v xml:space="preserve">          4142 - NON-TAXABLE SALES-EVERYDAY GIF</v>
      </c>
      <c r="C77" s="11"/>
      <c r="D77" s="2">
        <f>--386.65</f>
        <v>386.65</v>
      </c>
      <c r="E77" s="2"/>
      <c r="F77" s="19"/>
      <c r="G77" s="2"/>
      <c r="H77" s="2">
        <f>--2399.88</f>
        <v>2399.88</v>
      </c>
      <c r="I77" s="2"/>
      <c r="J77" s="19"/>
      <c r="K77" s="2"/>
      <c r="L77" s="2">
        <f t="shared" si="0"/>
        <v>-2013.23</v>
      </c>
      <c r="M77" s="2"/>
      <c r="N77" s="19">
        <f t="shared" si="1"/>
        <v>-0.83888777772221945</v>
      </c>
      <c r="O77" s="11"/>
      <c r="P77" s="2">
        <f>--14128.08</f>
        <v>14128.08</v>
      </c>
      <c r="Q77" s="2"/>
      <c r="R77" s="19"/>
      <c r="S77" s="2"/>
      <c r="T77" s="2">
        <f>--19569.19</f>
        <v>19569.189999999999</v>
      </c>
      <c r="U77" s="2"/>
      <c r="V77" s="19"/>
      <c r="W77" s="2"/>
      <c r="X77" s="2">
        <f t="shared" si="2"/>
        <v>-5441.1099999999988</v>
      </c>
      <c r="Y77" s="2"/>
      <c r="Z77" s="19">
        <f t="shared" si="3"/>
        <v>-0.27804472234159916</v>
      </c>
    </row>
    <row r="78" spans="1:26" s="24" customFormat="1" hidden="1" outlineLevel="1" x14ac:dyDescent="0.25">
      <c r="A78" s="44"/>
      <c r="B78" s="11" t="str">
        <f>CONCATENATE("          ", "4143", " - ", "NON-TAXABLE SALES-CARDS")</f>
        <v xml:space="preserve">          4143 - NON-TAXABLE SALES-CARDS</v>
      </c>
      <c r="C78" s="11"/>
      <c r="D78" s="2">
        <f>-9.99</f>
        <v>-9.99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-9.99</v>
      </c>
      <c r="M78" s="2"/>
      <c r="N78" s="19">
        <f t="shared" si="1"/>
        <v>0</v>
      </c>
      <c r="O78" s="11"/>
      <c r="P78" s="2">
        <f>0</f>
        <v>0</v>
      </c>
      <c r="Q78" s="2"/>
      <c r="R78" s="19"/>
      <c r="S78" s="2"/>
      <c r="T78" s="2">
        <f>0</f>
        <v>0</v>
      </c>
      <c r="U78" s="2"/>
      <c r="V78" s="19"/>
      <c r="W78" s="2"/>
      <c r="X78" s="2">
        <f t="shared" si="2"/>
        <v>0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"4144", " - ", "NON-TAXABLE SALES-ACCESSORIES")</f>
        <v xml:space="preserve">          4144 - NON-TAXABLE SALES-ACCESSORIES</v>
      </c>
      <c r="C79" s="11"/>
      <c r="D79" s="2">
        <f>--299.4</f>
        <v>299.39999999999998</v>
      </c>
      <c r="E79" s="2"/>
      <c r="F79" s="19"/>
      <c r="G79" s="2"/>
      <c r="H79" s="2">
        <f>--74.8</f>
        <v>74.8</v>
      </c>
      <c r="I79" s="2"/>
      <c r="J79" s="19"/>
      <c r="K79" s="2"/>
      <c r="L79" s="2">
        <f t="shared" si="0"/>
        <v>224.59999999999997</v>
      </c>
      <c r="M79" s="2"/>
      <c r="N79" s="19">
        <f t="shared" si="1"/>
        <v>3.0026737967914436</v>
      </c>
      <c r="O79" s="11"/>
      <c r="P79" s="2">
        <f>--2339.67</f>
        <v>2339.67</v>
      </c>
      <c r="Q79" s="2"/>
      <c r="R79" s="19"/>
      <c r="S79" s="2"/>
      <c r="T79" s="2">
        <f>--580.04</f>
        <v>580.04</v>
      </c>
      <c r="U79" s="2"/>
      <c r="V79" s="19"/>
      <c r="W79" s="2"/>
      <c r="X79" s="2">
        <f t="shared" si="2"/>
        <v>1759.63</v>
      </c>
      <c r="Y79" s="2"/>
      <c r="Z79" s="19">
        <f t="shared" si="3"/>
        <v>3.0336356113371497</v>
      </c>
    </row>
    <row r="80" spans="1:26" s="24" customFormat="1" hidden="1" outlineLevel="1" x14ac:dyDescent="0.25">
      <c r="A80" s="44"/>
      <c r="B80" s="11" t="str">
        <f>CONCATENATE("          ", "4145", " - ", "NON-TAXABLE SALES-SPECIAL ORDE")</f>
        <v xml:space="preserve">          4145 - NON-TAXABLE SALES-SPECIAL ORDE</v>
      </c>
      <c r="C80" s="11"/>
      <c r="D80" s="2">
        <f>0</f>
        <v>0</v>
      </c>
      <c r="E80" s="2"/>
      <c r="F80" s="19"/>
      <c r="G80" s="2"/>
      <c r="H80" s="2">
        <f>--29.95</f>
        <v>29.95</v>
      </c>
      <c r="I80" s="2"/>
      <c r="J80" s="19"/>
      <c r="K80" s="2"/>
      <c r="L80" s="2">
        <f t="shared" si="0"/>
        <v>-29.95</v>
      </c>
      <c r="M80" s="2"/>
      <c r="N80" s="19">
        <f t="shared" si="1"/>
        <v>-1</v>
      </c>
      <c r="O80" s="11"/>
      <c r="P80" s="2">
        <f>--140</f>
        <v>140</v>
      </c>
      <c r="Q80" s="2"/>
      <c r="R80" s="19"/>
      <c r="S80" s="2"/>
      <c r="T80" s="2">
        <f>--1950.95</f>
        <v>1950.95</v>
      </c>
      <c r="U80" s="2"/>
      <c r="V80" s="19"/>
      <c r="W80" s="2"/>
      <c r="X80" s="2">
        <f t="shared" si="2"/>
        <v>-1810.95</v>
      </c>
      <c r="Y80" s="2"/>
      <c r="Z80" s="19">
        <f t="shared" si="3"/>
        <v>-0.9282400881621774</v>
      </c>
    </row>
    <row r="81" spans="1:26" s="24" customFormat="1" hidden="1" outlineLevel="1" x14ac:dyDescent="0.25">
      <c r="A81" s="44"/>
      <c r="B81" s="11" t="str">
        <f>CONCATENATE("          ", "4146", " - ", "NON-TAXABLE SALES-COIN OP MACH")</f>
        <v xml:space="preserve">          4146 - NON-TAXABLE SALES-COIN OP MACH</v>
      </c>
      <c r="C81" s="11"/>
      <c r="D81" s="2">
        <f>--121.7</f>
        <v>121.7</v>
      </c>
      <c r="E81" s="2"/>
      <c r="F81" s="19"/>
      <c r="G81" s="2"/>
      <c r="H81" s="2">
        <f>--28198.35</f>
        <v>28198.35</v>
      </c>
      <c r="I81" s="2"/>
      <c r="J81" s="19"/>
      <c r="K81" s="2"/>
      <c r="L81" s="2">
        <f t="shared" si="0"/>
        <v>-28076.649999999998</v>
      </c>
      <c r="M81" s="2"/>
      <c r="N81" s="19">
        <f t="shared" si="1"/>
        <v>-0.99568414463966859</v>
      </c>
      <c r="O81" s="11"/>
      <c r="P81" s="2">
        <f>--205908.65</f>
        <v>205908.65</v>
      </c>
      <c r="Q81" s="2"/>
      <c r="R81" s="19"/>
      <c r="S81" s="2"/>
      <c r="T81" s="2">
        <f>--260558.54</f>
        <v>260558.54</v>
      </c>
      <c r="U81" s="2"/>
      <c r="V81" s="19"/>
      <c r="W81" s="2"/>
      <c r="X81" s="2">
        <f t="shared" si="2"/>
        <v>-54649.890000000014</v>
      </c>
      <c r="Y81" s="2"/>
      <c r="Z81" s="19">
        <f t="shared" si="3"/>
        <v>-0.20974131187563461</v>
      </c>
    </row>
    <row r="82" spans="1:26" s="24" customFormat="1" hidden="1" outlineLevel="1" x14ac:dyDescent="0.25">
      <c r="A82" s="44"/>
      <c r="B82" s="11" t="str">
        <f>CONCATENATE("          ", "4147", " - ", "NON-TAXABLE SALES-MISC")</f>
        <v xml:space="preserve">          4147 - NON-TAXABLE SALES-MISC</v>
      </c>
      <c r="C82" s="11"/>
      <c r="D82" s="2">
        <f>0</f>
        <v>0</v>
      </c>
      <c r="E82" s="2"/>
      <c r="F82" s="19"/>
      <c r="G82" s="2"/>
      <c r="H82" s="2">
        <f>--167.5</f>
        <v>167.5</v>
      </c>
      <c r="I82" s="2"/>
      <c r="J82" s="19"/>
      <c r="K82" s="2"/>
      <c r="L82" s="2">
        <f t="shared" si="0"/>
        <v>-167.5</v>
      </c>
      <c r="M82" s="2"/>
      <c r="N82" s="19">
        <f t="shared" si="1"/>
        <v>-1</v>
      </c>
      <c r="O82" s="11"/>
      <c r="P82" s="2">
        <f>--3436.37</f>
        <v>3436.37</v>
      </c>
      <c r="Q82" s="2"/>
      <c r="R82" s="19"/>
      <c r="S82" s="2"/>
      <c r="T82" s="2">
        <f>--898.23</f>
        <v>898.23</v>
      </c>
      <c r="U82" s="2"/>
      <c r="V82" s="19"/>
      <c r="W82" s="2"/>
      <c r="X82" s="2">
        <f t="shared" si="2"/>
        <v>2538.14</v>
      </c>
      <c r="Y82" s="2"/>
      <c r="Z82" s="19">
        <f t="shared" si="3"/>
        <v>2.8257127907106194</v>
      </c>
    </row>
    <row r="83" spans="1:26" s="24" customFormat="1" hidden="1" outlineLevel="1" x14ac:dyDescent="0.25">
      <c r="A83" s="44"/>
      <c r="B83" s="11" t="str">
        <f>CONCATENATE("          ", "4151", " - ", "NON-TAXABLE SALES-FOOD")</f>
        <v xml:space="preserve">          4151 - NON-TAXABLE SALES-FOOD</v>
      </c>
      <c r="C83" s="11"/>
      <c r="D83" s="2">
        <f>--1200</f>
        <v>1200</v>
      </c>
      <c r="E83" s="2"/>
      <c r="F83" s="19"/>
      <c r="G83" s="2"/>
      <c r="H83" s="2">
        <f>--1524368.61</f>
        <v>1524368.61</v>
      </c>
      <c r="I83" s="2"/>
      <c r="J83" s="19"/>
      <c r="K83" s="2"/>
      <c r="L83" s="2">
        <f t="shared" si="0"/>
        <v>-1523168.61</v>
      </c>
      <c r="M83" s="2"/>
      <c r="N83" s="19">
        <f t="shared" si="1"/>
        <v>-0.999212788828025</v>
      </c>
      <c r="O83" s="11"/>
      <c r="P83" s="2">
        <f>--10905580.56</f>
        <v>10905580.560000001</v>
      </c>
      <c r="Q83" s="2"/>
      <c r="R83" s="19"/>
      <c r="S83" s="2"/>
      <c r="T83" s="2">
        <f>--12451458.85</f>
        <v>12451458.85</v>
      </c>
      <c r="U83" s="2"/>
      <c r="V83" s="19"/>
      <c r="W83" s="2"/>
      <c r="X83" s="2">
        <f t="shared" si="2"/>
        <v>-1545878.2899999991</v>
      </c>
      <c r="Y83" s="2"/>
      <c r="Z83" s="19">
        <f t="shared" si="3"/>
        <v>-0.12415238315629169</v>
      </c>
    </row>
    <row r="84" spans="1:26" s="24" customFormat="1" hidden="1" outlineLevel="1" x14ac:dyDescent="0.25">
      <c r="A84" s="44"/>
      <c r="B84" s="11" t="str">
        <f>CONCATENATE("          ", "4152", " - ", "NON-TAXABLE SALES-FOOD")</f>
        <v xml:space="preserve">          4152 - NON-TAXABLE SALES-FOOD</v>
      </c>
      <c r="C84" s="11"/>
      <c r="D84" s="2">
        <f>0</f>
        <v>0</v>
      </c>
      <c r="E84" s="2"/>
      <c r="F84" s="19"/>
      <c r="G84" s="2"/>
      <c r="H84" s="2">
        <f>--8154.41</f>
        <v>8154.41</v>
      </c>
      <c r="I84" s="2"/>
      <c r="J84" s="19"/>
      <c r="K84" s="2"/>
      <c r="L84" s="2">
        <f t="shared" si="0"/>
        <v>-8154.41</v>
      </c>
      <c r="M84" s="2"/>
      <c r="N84" s="19">
        <f t="shared" si="1"/>
        <v>-1</v>
      </c>
      <c r="O84" s="11"/>
      <c r="P84" s="2">
        <f>--51415.27</f>
        <v>51415.27</v>
      </c>
      <c r="Q84" s="2"/>
      <c r="R84" s="19"/>
      <c r="S84" s="2"/>
      <c r="T84" s="2">
        <f>--70563.55</f>
        <v>70563.55</v>
      </c>
      <c r="U84" s="2"/>
      <c r="V84" s="19"/>
      <c r="W84" s="2"/>
      <c r="X84" s="2">
        <f t="shared" si="2"/>
        <v>-19148.280000000006</v>
      </c>
      <c r="Y84" s="2"/>
      <c r="Z84" s="19">
        <f t="shared" si="3"/>
        <v>-0.27136219762186009</v>
      </c>
    </row>
    <row r="85" spans="1:26" s="24" customFormat="1" hidden="1" outlineLevel="1" x14ac:dyDescent="0.25">
      <c r="A85" s="44"/>
      <c r="B85" s="11" t="str">
        <f>CONCATENATE("          ", "4153", " - ", "NON-TAXABLE SALES-FOOD")</f>
        <v xml:space="preserve">          4153 - NON-TAXABLE SALES-FOOD</v>
      </c>
      <c r="C85" s="11"/>
      <c r="D85" s="2">
        <f>--3102.16</f>
        <v>3102.16</v>
      </c>
      <c r="E85" s="2"/>
      <c r="F85" s="19"/>
      <c r="G85" s="2"/>
      <c r="H85" s="2">
        <f>--19712.57</f>
        <v>19712.57</v>
      </c>
      <c r="I85" s="2"/>
      <c r="J85" s="19"/>
      <c r="K85" s="2"/>
      <c r="L85" s="2">
        <f t="shared" si="0"/>
        <v>-16610.41</v>
      </c>
      <c r="M85" s="2"/>
      <c r="N85" s="19">
        <f t="shared" si="1"/>
        <v>-0.84263036225109156</v>
      </c>
      <c r="O85" s="11"/>
      <c r="P85" s="2">
        <f>--316432.68</f>
        <v>316432.68</v>
      </c>
      <c r="Q85" s="2"/>
      <c r="R85" s="19"/>
      <c r="S85" s="2"/>
      <c r="T85" s="2">
        <f>--319375.8</f>
        <v>319375.8</v>
      </c>
      <c r="U85" s="2"/>
      <c r="V85" s="19"/>
      <c r="W85" s="2"/>
      <c r="X85" s="2">
        <f t="shared" si="2"/>
        <v>-2943.1199999999953</v>
      </c>
      <c r="Y85" s="2"/>
      <c r="Z85" s="19">
        <f t="shared" si="3"/>
        <v>-9.2152254491417174E-3</v>
      </c>
    </row>
    <row r="86" spans="1:26" s="24" customFormat="1" hidden="1" outlineLevel="1" x14ac:dyDescent="0.25">
      <c r="A86" s="44"/>
      <c r="B86" s="11" t="str">
        <f>CONCATENATE("          ", "4155", " - ", "NON-TAXABLE SALES-FOOD")</f>
        <v xml:space="preserve">          4155 - NON-TAXABLE SALES-FOOD</v>
      </c>
      <c r="C86" s="11"/>
      <c r="D86" s="2">
        <f t="shared" ref="D86:D89" si="11">0</f>
        <v>0</v>
      </c>
      <c r="E86" s="2"/>
      <c r="F86" s="19"/>
      <c r="G86" s="2"/>
      <c r="H86" s="2">
        <f>--113137.81</f>
        <v>113137.81</v>
      </c>
      <c r="I86" s="2"/>
      <c r="J86" s="19"/>
      <c r="K86" s="2"/>
      <c r="L86" s="2">
        <f t="shared" si="0"/>
        <v>-113137.81</v>
      </c>
      <c r="M86" s="2"/>
      <c r="N86" s="19">
        <f t="shared" si="1"/>
        <v>-1</v>
      </c>
      <c r="O86" s="11"/>
      <c r="P86" s="2">
        <f>--691123.63</f>
        <v>691123.63</v>
      </c>
      <c r="Q86" s="2"/>
      <c r="R86" s="19"/>
      <c r="S86" s="2"/>
      <c r="T86" s="2">
        <f>--834207.3</f>
        <v>834207.3</v>
      </c>
      <c r="U86" s="2"/>
      <c r="V86" s="19"/>
      <c r="W86" s="2"/>
      <c r="X86" s="2">
        <f t="shared" si="2"/>
        <v>-143083.67000000004</v>
      </c>
      <c r="Y86" s="2"/>
      <c r="Z86" s="19">
        <f t="shared" si="3"/>
        <v>-0.17152052013929875</v>
      </c>
    </row>
    <row r="87" spans="1:26" s="24" customFormat="1" hidden="1" outlineLevel="1" x14ac:dyDescent="0.25">
      <c r="A87" s="44"/>
      <c r="B87" s="11" t="str">
        <f>CONCATENATE("          ", "4157", " - ", "NON-TAXABLE SALES-FOOD")</f>
        <v xml:space="preserve">          4157 - NON-TAXABLE SALES-FOOD</v>
      </c>
      <c r="C87" s="11"/>
      <c r="D87" s="2">
        <f t="shared" si="11"/>
        <v>0</v>
      </c>
      <c r="E87" s="2"/>
      <c r="F87" s="19"/>
      <c r="G87" s="2"/>
      <c r="H87" s="2">
        <f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0</f>
        <v>0</v>
      </c>
      <c r="Q87" s="2"/>
      <c r="R87" s="19"/>
      <c r="S87" s="2"/>
      <c r="T87" s="2">
        <f>--208</f>
        <v>208</v>
      </c>
      <c r="U87" s="2"/>
      <c r="V87" s="19"/>
      <c r="W87" s="2"/>
      <c r="X87" s="2">
        <f t="shared" si="2"/>
        <v>-208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"4158", " - ", "NON-TAXABLE SALES-FOOD")</f>
        <v xml:space="preserve">          4158 - NON-TAXABLE SALES-FOOD</v>
      </c>
      <c r="C88" s="11"/>
      <c r="D88" s="2">
        <f t="shared" si="11"/>
        <v>0</v>
      </c>
      <c r="E88" s="2"/>
      <c r="F88" s="19"/>
      <c r="G88" s="2"/>
      <c r="H88" s="2">
        <f>--74868.5</f>
        <v>74868.5</v>
      </c>
      <c r="I88" s="2"/>
      <c r="J88" s="19"/>
      <c r="K88" s="2"/>
      <c r="L88" s="2">
        <f t="shared" si="0"/>
        <v>-74868.5</v>
      </c>
      <c r="M88" s="2"/>
      <c r="N88" s="19">
        <f t="shared" si="1"/>
        <v>-1</v>
      </c>
      <c r="O88" s="11"/>
      <c r="P88" s="2">
        <f>--474853.67</f>
        <v>474853.67</v>
      </c>
      <c r="Q88" s="2"/>
      <c r="R88" s="19"/>
      <c r="S88" s="2"/>
      <c r="T88" s="2">
        <f>--569847.31</f>
        <v>569847.31000000006</v>
      </c>
      <c r="U88" s="2"/>
      <c r="V88" s="19"/>
      <c r="W88" s="2"/>
      <c r="X88" s="2">
        <f t="shared" si="2"/>
        <v>-94993.640000000072</v>
      </c>
      <c r="Y88" s="2"/>
      <c r="Z88" s="19">
        <f t="shared" si="3"/>
        <v>-0.16670016394391696</v>
      </c>
    </row>
    <row r="89" spans="1:26" s="24" customFormat="1" hidden="1" outlineLevel="1" x14ac:dyDescent="0.25">
      <c r="A89" s="44"/>
      <c r="B89" s="11" t="str">
        <f>CONCATENATE("          ", "4159", " - ", "NON-TAXABLE SALES-FOOD")</f>
        <v xml:space="preserve">          4159 - NON-TAXABLE SALES-FOOD</v>
      </c>
      <c r="C89" s="11"/>
      <c r="D89" s="2">
        <f t="shared" si="11"/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--1054.9</f>
        <v>1054.9000000000001</v>
      </c>
      <c r="U89" s="2"/>
      <c r="V89" s="19"/>
      <c r="W89" s="2"/>
      <c r="X89" s="2">
        <f t="shared" si="2"/>
        <v>-1054.9000000000001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"4181", " - ", "NON-TAXABLE SALES-ELECTRONICS")</f>
        <v xml:space="preserve">          4181 - NON-TAXABLE SALES-ELECTRONICS</v>
      </c>
      <c r="C90" s="11"/>
      <c r="D90" s="2">
        <f>--154.96</f>
        <v>154.96</v>
      </c>
      <c r="E90" s="2"/>
      <c r="F90" s="19"/>
      <c r="G90" s="2"/>
      <c r="H90" s="2">
        <f>--1610.57</f>
        <v>1610.57</v>
      </c>
      <c r="I90" s="2"/>
      <c r="J90" s="19"/>
      <c r="K90" s="2"/>
      <c r="L90" s="2">
        <f t="shared" si="0"/>
        <v>-1455.61</v>
      </c>
      <c r="M90" s="2"/>
      <c r="N90" s="19">
        <f t="shared" si="1"/>
        <v>-0.90378561627249976</v>
      </c>
      <c r="O90" s="11"/>
      <c r="P90" s="2">
        <f>--2233.33</f>
        <v>2233.33</v>
      </c>
      <c r="Q90" s="2"/>
      <c r="R90" s="19"/>
      <c r="S90" s="2"/>
      <c r="T90" s="2">
        <f>--14517.08</f>
        <v>14517.08</v>
      </c>
      <c r="U90" s="2"/>
      <c r="V90" s="19"/>
      <c r="W90" s="2"/>
      <c r="X90" s="2">
        <f t="shared" si="2"/>
        <v>-12283.75</v>
      </c>
      <c r="Y90" s="2"/>
      <c r="Z90" s="19">
        <f t="shared" si="3"/>
        <v>-0.84615845610825313</v>
      </c>
    </row>
    <row r="91" spans="1:26" s="24" customFormat="1" hidden="1" outlineLevel="1" x14ac:dyDescent="0.25">
      <c r="A91" s="44"/>
      <c r="B91" s="11" t="str">
        <f>CONCATENATE("          ", "4182", " - ", "NON-TAXABLE SALES-COMPUTER HAR")</f>
        <v xml:space="preserve">          4182 - NON-TAXABLE SALES-COMPUTER HAR</v>
      </c>
      <c r="C91" s="11"/>
      <c r="D91" s="2">
        <f>--30055.98</f>
        <v>30055.98</v>
      </c>
      <c r="E91" s="2"/>
      <c r="F91" s="19"/>
      <c r="G91" s="2"/>
      <c r="H91" s="2">
        <f>--16809</f>
        <v>16809</v>
      </c>
      <c r="I91" s="2"/>
      <c r="J91" s="19"/>
      <c r="K91" s="2"/>
      <c r="L91" s="2">
        <f t="shared" si="0"/>
        <v>13246.98</v>
      </c>
      <c r="M91" s="2"/>
      <c r="N91" s="19">
        <f t="shared" si="1"/>
        <v>0.78808852400499729</v>
      </c>
      <c r="O91" s="11"/>
      <c r="P91" s="2">
        <f>--148066.94</f>
        <v>148066.94</v>
      </c>
      <c r="Q91" s="2"/>
      <c r="R91" s="19"/>
      <c r="S91" s="2"/>
      <c r="T91" s="2">
        <f>--219678.84</f>
        <v>219678.84</v>
      </c>
      <c r="U91" s="2"/>
      <c r="V91" s="19"/>
      <c r="W91" s="2"/>
      <c r="X91" s="2">
        <f t="shared" si="2"/>
        <v>-71611.899999999994</v>
      </c>
      <c r="Y91" s="2"/>
      <c r="Z91" s="19">
        <f t="shared" si="3"/>
        <v>-0.32598451448487253</v>
      </c>
    </row>
    <row r="92" spans="1:26" s="24" customFormat="1" hidden="1" outlineLevel="1" x14ac:dyDescent="0.25">
      <c r="A92" s="44"/>
      <c r="B92" s="11" t="str">
        <f>CONCATENATE("          ", "4183", " - ", "NON-TAXABLE SALES-COMPUTER EQU")</f>
        <v xml:space="preserve">          4183 - NON-TAXABLE SALES-COMPUTER EQU</v>
      </c>
      <c r="C92" s="11"/>
      <c r="D92" s="2">
        <f>--2769.8</f>
        <v>2769.8</v>
      </c>
      <c r="E92" s="2"/>
      <c r="F92" s="19"/>
      <c r="G92" s="2"/>
      <c r="H92" s="2">
        <f>--513.9</f>
        <v>513.9</v>
      </c>
      <c r="I92" s="2"/>
      <c r="J92" s="19"/>
      <c r="K92" s="2"/>
      <c r="L92" s="2">
        <f t="shared" si="0"/>
        <v>2255.9</v>
      </c>
      <c r="M92" s="2"/>
      <c r="N92" s="19">
        <f t="shared" si="1"/>
        <v>4.3897645456314462</v>
      </c>
      <c r="O92" s="11"/>
      <c r="P92" s="2">
        <f>--9532.02</f>
        <v>9532.02</v>
      </c>
      <c r="Q92" s="2"/>
      <c r="R92" s="19"/>
      <c r="S92" s="2"/>
      <c r="T92" s="2">
        <f>--9646.95</f>
        <v>9646.9500000000007</v>
      </c>
      <c r="U92" s="2"/>
      <c r="V92" s="19"/>
      <c r="W92" s="2"/>
      <c r="X92" s="2">
        <f t="shared" si="2"/>
        <v>-114.93000000000029</v>
      </c>
      <c r="Y92" s="2"/>
      <c r="Z92" s="19">
        <f t="shared" si="3"/>
        <v>-1.1913610001088456E-2</v>
      </c>
    </row>
    <row r="93" spans="1:26" s="24" customFormat="1" hidden="1" outlineLevel="1" x14ac:dyDescent="0.25">
      <c r="A93" s="44"/>
      <c r="B93" s="11" t="str">
        <f>CONCATENATE("          ", "4184", " - ", "NON-TAXABLE SALES-SOFTWARE LIC")</f>
        <v xml:space="preserve">          4184 - NON-TAXABLE SALES-SOFTWARE LIC</v>
      </c>
      <c r="C93" s="11"/>
      <c r="D93" s="2">
        <f>0</f>
        <v>0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--2728</f>
        <v>2728</v>
      </c>
      <c r="Q93" s="2"/>
      <c r="R93" s="19"/>
      <c r="S93" s="2"/>
      <c r="T93" s="2">
        <f>--3840</f>
        <v>3840</v>
      </c>
      <c r="U93" s="2"/>
      <c r="V93" s="19"/>
      <c r="W93" s="2"/>
      <c r="X93" s="2">
        <f t="shared" si="2"/>
        <v>-1112</v>
      </c>
      <c r="Y93" s="2"/>
      <c r="Z93" s="19">
        <f t="shared" si="3"/>
        <v>-0.28958333333333336</v>
      </c>
    </row>
    <row r="94" spans="1:26" s="24" customFormat="1" hidden="1" outlineLevel="1" x14ac:dyDescent="0.25">
      <c r="A94" s="44"/>
      <c r="B94" s="11" t="str">
        <f>CONCATENATE("          ", "4185", " - ", "NON-TAXABLE SALES-SOFTWARE")</f>
        <v xml:space="preserve">          4185 - NON-TAXABLE SALES-SOFTWARE</v>
      </c>
      <c r="C94" s="11"/>
      <c r="D94" s="2">
        <f>--3224.87</f>
        <v>3224.87</v>
      </c>
      <c r="E94" s="2"/>
      <c r="F94" s="19"/>
      <c r="G94" s="2"/>
      <c r="H94" s="2">
        <f>--1442.97</f>
        <v>1442.97</v>
      </c>
      <c r="I94" s="2"/>
      <c r="J94" s="19"/>
      <c r="K94" s="2"/>
      <c r="L94" s="2">
        <f t="shared" si="0"/>
        <v>1781.8999999999999</v>
      </c>
      <c r="M94" s="2"/>
      <c r="N94" s="19">
        <f t="shared" si="1"/>
        <v>1.2348836081138206</v>
      </c>
      <c r="O94" s="11"/>
      <c r="P94" s="2">
        <f>--16347.61</f>
        <v>16347.61</v>
      </c>
      <c r="Q94" s="2"/>
      <c r="R94" s="19"/>
      <c r="S94" s="2"/>
      <c r="T94" s="2">
        <f>--5779.78</f>
        <v>5779.78</v>
      </c>
      <c r="U94" s="2"/>
      <c r="V94" s="19"/>
      <c r="W94" s="2"/>
      <c r="X94" s="2">
        <f t="shared" si="2"/>
        <v>10567.830000000002</v>
      </c>
      <c r="Y94" s="2"/>
      <c r="Z94" s="19">
        <f t="shared" si="3"/>
        <v>1.8284138842654916</v>
      </c>
    </row>
    <row r="95" spans="1:26" s="24" customFormat="1" hidden="1" outlineLevel="1" x14ac:dyDescent="0.25">
      <c r="A95" s="44"/>
      <c r="B95" s="11" t="str">
        <f>CONCATENATE("          ", "4186", " - ", "NON-TAXABLE SALES-COMPUTER SUP")</f>
        <v xml:space="preserve">          4186 - NON-TAXABLE SALES-COMPUTER SUP</v>
      </c>
      <c r="C95" s="11"/>
      <c r="D95" s="2">
        <f>--189.97</f>
        <v>189.97</v>
      </c>
      <c r="E95" s="2"/>
      <c r="F95" s="19"/>
      <c r="G95" s="2"/>
      <c r="H95" s="2">
        <f>--504.87</f>
        <v>504.87</v>
      </c>
      <c r="I95" s="2"/>
      <c r="J95" s="19"/>
      <c r="K95" s="2"/>
      <c r="L95" s="2">
        <f t="shared" si="0"/>
        <v>-314.89999999999998</v>
      </c>
      <c r="M95" s="2"/>
      <c r="N95" s="19">
        <f t="shared" si="1"/>
        <v>-0.62372491928615281</v>
      </c>
      <c r="O95" s="11"/>
      <c r="P95" s="2">
        <f>--2809.16</f>
        <v>2809.16</v>
      </c>
      <c r="Q95" s="2"/>
      <c r="R95" s="19"/>
      <c r="S95" s="2"/>
      <c r="T95" s="2">
        <f>--5850.74</f>
        <v>5850.74</v>
      </c>
      <c r="U95" s="2"/>
      <c r="V95" s="19"/>
      <c r="W95" s="2"/>
      <c r="X95" s="2">
        <f t="shared" si="2"/>
        <v>-3041.58</v>
      </c>
      <c r="Y95" s="2"/>
      <c r="Z95" s="19">
        <f t="shared" si="3"/>
        <v>-0.51986244475057852</v>
      </c>
    </row>
    <row r="96" spans="1:26" s="24" customFormat="1" hidden="1" outlineLevel="1" x14ac:dyDescent="0.25">
      <c r="A96" s="44"/>
      <c r="B96" s="11" t="str">
        <f>CONCATENATE("          ", "4188", " - ", "NON-TAXABLE SALES-MUSIC")</f>
        <v xml:space="preserve">          4188 - NON-TAXABLE SALES-MUSIC</v>
      </c>
      <c r="C96" s="11"/>
      <c r="D96" s="2">
        <f t="shared" ref="D96:D97" si="12">0</f>
        <v>0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--219.96</f>
        <v>219.96</v>
      </c>
      <c r="Q96" s="2"/>
      <c r="R96" s="19"/>
      <c r="S96" s="2"/>
      <c r="T96" s="2">
        <f>--199.98</f>
        <v>199.98</v>
      </c>
      <c r="U96" s="2"/>
      <c r="V96" s="19"/>
      <c r="W96" s="2"/>
      <c r="X96" s="2">
        <f t="shared" si="2"/>
        <v>19.980000000000018</v>
      </c>
      <c r="Y96" s="2"/>
      <c r="Z96" s="19">
        <f t="shared" si="3"/>
        <v>9.9909990999100001E-2</v>
      </c>
    </row>
    <row r="97" spans="1:26" s="24" customFormat="1" hidden="1" outlineLevel="1" x14ac:dyDescent="0.25">
      <c r="A97" s="44"/>
      <c r="B97" s="11" t="str">
        <f>CONCATENATE("          ", "4192", " - ", "NON-TAXABLE SALES-GRAD MERCH")</f>
        <v xml:space="preserve">          4192 - NON-TAXABLE SALES-GRAD MERCH</v>
      </c>
      <c r="C97" s="11"/>
      <c r="D97" s="2">
        <f t="shared" si="12"/>
        <v>0</v>
      </c>
      <c r="E97" s="2"/>
      <c r="F97" s="19"/>
      <c r="G97" s="2"/>
      <c r="H97" s="2">
        <f>--313.5</f>
        <v>313.5</v>
      </c>
      <c r="I97" s="2"/>
      <c r="J97" s="19"/>
      <c r="K97" s="2"/>
      <c r="L97" s="2">
        <f t="shared" si="0"/>
        <v>-313.5</v>
      </c>
      <c r="M97" s="2"/>
      <c r="N97" s="19">
        <f t="shared" si="1"/>
        <v>-1</v>
      </c>
      <c r="O97" s="11"/>
      <c r="P97" s="2">
        <f>0</f>
        <v>0</v>
      </c>
      <c r="Q97" s="2"/>
      <c r="R97" s="19"/>
      <c r="S97" s="2"/>
      <c r="T97" s="2">
        <f>--532</f>
        <v>532</v>
      </c>
      <c r="U97" s="2"/>
      <c r="V97" s="19"/>
      <c r="W97" s="2"/>
      <c r="X97" s="2">
        <f t="shared" si="2"/>
        <v>-532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"4201", " - ", "SALES RETURN TAXABLE-NEW TEXT")</f>
        <v xml:space="preserve">          4201 - SALES RETURN TAXABLE-NEW TEXT</v>
      </c>
      <c r="C98" s="11"/>
      <c r="D98" s="2">
        <f>-62.3</f>
        <v>-62.3</v>
      </c>
      <c r="E98" s="2"/>
      <c r="F98" s="19"/>
      <c r="G98" s="2"/>
      <c r="H98" s="2">
        <f>-295.04</f>
        <v>-295.04000000000002</v>
      </c>
      <c r="I98" s="2"/>
      <c r="J98" s="19"/>
      <c r="K98" s="2"/>
      <c r="L98" s="2">
        <f t="shared" si="0"/>
        <v>232.74</v>
      </c>
      <c r="M98" s="2"/>
      <c r="N98" s="19">
        <f t="shared" si="1"/>
        <v>-0.78884219088937091</v>
      </c>
      <c r="O98" s="11"/>
      <c r="P98" s="2">
        <f>-121223.01</f>
        <v>-121223.01</v>
      </c>
      <c r="Q98" s="2"/>
      <c r="R98" s="19"/>
      <c r="S98" s="2"/>
      <c r="T98" s="2">
        <f>-175695.6</f>
        <v>-175695.6</v>
      </c>
      <c r="U98" s="2"/>
      <c r="V98" s="19"/>
      <c r="W98" s="2"/>
      <c r="X98" s="2">
        <f t="shared" si="2"/>
        <v>54472.590000000011</v>
      </c>
      <c r="Y98" s="2"/>
      <c r="Z98" s="19">
        <f t="shared" si="3"/>
        <v>-0.31003957981873198</v>
      </c>
    </row>
    <row r="99" spans="1:26" s="24" customFormat="1" hidden="1" outlineLevel="1" x14ac:dyDescent="0.25">
      <c r="A99" s="44"/>
      <c r="B99" s="11" t="str">
        <f>CONCATENATE("          ", "4202", " - ", "SALES RETURN TAXABLE-USED TEXT")</f>
        <v xml:space="preserve">          4202 - SALES RETURN TAXABLE-USED TEXT</v>
      </c>
      <c r="C99" s="11"/>
      <c r="D99" s="2">
        <f>-31.95</f>
        <v>-31.95</v>
      </c>
      <c r="E99" s="2"/>
      <c r="F99" s="19"/>
      <c r="G99" s="2"/>
      <c r="H99" s="2">
        <f>-238.1</f>
        <v>-238.1</v>
      </c>
      <c r="I99" s="2"/>
      <c r="J99" s="19"/>
      <c r="K99" s="2"/>
      <c r="L99" s="2">
        <f t="shared" si="0"/>
        <v>206.15</v>
      </c>
      <c r="M99" s="2"/>
      <c r="N99" s="19">
        <f t="shared" si="1"/>
        <v>-0.86581268374632514</v>
      </c>
      <c r="O99" s="11"/>
      <c r="P99" s="2">
        <f>-45552.71</f>
        <v>-45552.71</v>
      </c>
      <c r="Q99" s="2"/>
      <c r="R99" s="19"/>
      <c r="S99" s="2"/>
      <c r="T99" s="2">
        <f>-45639.95</f>
        <v>-45639.95</v>
      </c>
      <c r="U99" s="2"/>
      <c r="V99" s="19"/>
      <c r="W99" s="2"/>
      <c r="X99" s="2">
        <f t="shared" si="2"/>
        <v>87.239999999997963</v>
      </c>
      <c r="Y99" s="2"/>
      <c r="Z99" s="19">
        <f t="shared" si="3"/>
        <v>-1.9114832509675836E-3</v>
      </c>
    </row>
    <row r="100" spans="1:26" s="24" customFormat="1" hidden="1" outlineLevel="1" x14ac:dyDescent="0.25">
      <c r="A100" s="44"/>
      <c r="B100" s="11" t="str">
        <f>CONCATENATE("          ", "4203", " - ", "SALES RETURN TAXABLE-RENTAL TE")</f>
        <v xml:space="preserve">          4203 - SALES RETURN TAXABLE-RENTAL TE</v>
      </c>
      <c r="C100" s="11"/>
      <c r="D100" s="2">
        <f t="shared" ref="D100:D101" si="13">0</f>
        <v>0</v>
      </c>
      <c r="E100" s="2"/>
      <c r="F100" s="19"/>
      <c r="G100" s="2"/>
      <c r="H100" s="2">
        <f t="shared" ref="H100:H101" si="14"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-144.99</f>
        <v>-144.99</v>
      </c>
      <c r="Q100" s="2"/>
      <c r="R100" s="19"/>
      <c r="S100" s="2"/>
      <c r="T100" s="2">
        <f>-1699.5</f>
        <v>-1699.5</v>
      </c>
      <c r="U100" s="2"/>
      <c r="V100" s="19"/>
      <c r="W100" s="2"/>
      <c r="X100" s="2">
        <f t="shared" si="2"/>
        <v>1554.51</v>
      </c>
      <c r="Y100" s="2"/>
      <c r="Z100" s="19">
        <f t="shared" si="3"/>
        <v>-0.9146866725507502</v>
      </c>
    </row>
    <row r="101" spans="1:26" s="24" customFormat="1" hidden="1" outlineLevel="1" x14ac:dyDescent="0.25">
      <c r="A101" s="44"/>
      <c r="B101" s="11" t="str">
        <f>CONCATENATE("          ", "4204", " - ", "SALES RETURN TAXABLE-DIGITAL T")</f>
        <v xml:space="preserve">          4204 - SALES RETURN TAXABLE-DIGITAL T</v>
      </c>
      <c r="C101" s="11"/>
      <c r="D101" s="2">
        <f t="shared" si="13"/>
        <v>0</v>
      </c>
      <c r="E101" s="2"/>
      <c r="F101" s="19"/>
      <c r="G101" s="2"/>
      <c r="H101" s="2">
        <f t="shared" si="14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-17255.33</f>
        <v>-17255.330000000002</v>
      </c>
      <c r="Q101" s="2"/>
      <c r="R101" s="19"/>
      <c r="S101" s="2"/>
      <c r="T101" s="2">
        <f>-27059.65</f>
        <v>-27059.65</v>
      </c>
      <c r="U101" s="2"/>
      <c r="V101" s="19"/>
      <c r="W101" s="2"/>
      <c r="X101" s="2">
        <f t="shared" si="2"/>
        <v>9804.32</v>
      </c>
      <c r="Y101" s="2"/>
      <c r="Z101" s="19">
        <f t="shared" si="3"/>
        <v>-0.36232249862803101</v>
      </c>
    </row>
    <row r="102" spans="1:26" s="24" customFormat="1" hidden="1" outlineLevel="1" x14ac:dyDescent="0.25">
      <c r="A102" s="44"/>
      <c r="B102" s="11" t="str">
        <f>CONCATENATE("          ", "4213", " - ", "NON-TAXABLE SALES-TRADE BOOKS")</f>
        <v xml:space="preserve">          4213 - NON-TAXABLE SALES-TRADE BOOKS</v>
      </c>
      <c r="C102" s="11"/>
      <c r="D102" s="2">
        <f>-2173.76</f>
        <v>-2173.7600000000002</v>
      </c>
      <c r="E102" s="2"/>
      <c r="F102" s="19"/>
      <c r="G102" s="2"/>
      <c r="H102" s="2">
        <f>-899.64</f>
        <v>-899.64</v>
      </c>
      <c r="I102" s="2"/>
      <c r="J102" s="19"/>
      <c r="K102" s="2"/>
      <c r="L102" s="2">
        <f t="shared" si="0"/>
        <v>-1274.1200000000003</v>
      </c>
      <c r="M102" s="2"/>
      <c r="N102" s="19">
        <f t="shared" si="1"/>
        <v>1.4162553910453075</v>
      </c>
      <c r="O102" s="11"/>
      <c r="P102" s="2">
        <f>-2768.67</f>
        <v>-2768.67</v>
      </c>
      <c r="Q102" s="2"/>
      <c r="R102" s="19"/>
      <c r="S102" s="2"/>
      <c r="T102" s="2">
        <f>-1548.35</f>
        <v>-1548.35</v>
      </c>
      <c r="U102" s="2"/>
      <c r="V102" s="19"/>
      <c r="W102" s="2"/>
      <c r="X102" s="2">
        <f t="shared" si="2"/>
        <v>-1220.3200000000002</v>
      </c>
      <c r="Y102" s="2"/>
      <c r="Z102" s="19">
        <f t="shared" si="3"/>
        <v>0.7881422159072563</v>
      </c>
    </row>
    <row r="103" spans="1:26" s="24" customFormat="1" hidden="1" outlineLevel="1" x14ac:dyDescent="0.25">
      <c r="A103" s="44"/>
      <c r="B103" s="11" t="str">
        <f>CONCATENATE("          ", "4214", " - ", "SALES RETURN TAXABLE-REMAINDER")</f>
        <v xml:space="preserve">          4214 - SALES RETURN TAXABLE-REMAINDER</v>
      </c>
      <c r="C103" s="11"/>
      <c r="D103" s="2">
        <f t="shared" ref="D103:D111" si="15">0</f>
        <v>0</v>
      </c>
      <c r="E103" s="2"/>
      <c r="F103" s="19"/>
      <c r="G103" s="2"/>
      <c r="H103" s="2">
        <f t="shared" ref="H103:H105" si="16"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-11.94</f>
        <v>-11.94</v>
      </c>
      <c r="Q103" s="2"/>
      <c r="R103" s="19"/>
      <c r="S103" s="2"/>
      <c r="T103" s="2">
        <f>-19.84</f>
        <v>-19.84</v>
      </c>
      <c r="U103" s="2"/>
      <c r="V103" s="19"/>
      <c r="W103" s="2"/>
      <c r="X103" s="2">
        <f t="shared" si="2"/>
        <v>7.9</v>
      </c>
      <c r="Y103" s="2"/>
      <c r="Z103" s="19">
        <f t="shared" si="3"/>
        <v>-0.39818548387096775</v>
      </c>
    </row>
    <row r="104" spans="1:26" s="24" customFormat="1" hidden="1" outlineLevel="1" x14ac:dyDescent="0.25">
      <c r="A104" s="44"/>
      <c r="B104" s="11" t="str">
        <f>CONCATENATE("          ", "4217", " - ", "NON-TAXABLE SALES-DORM/HOUSEWA")</f>
        <v xml:space="preserve">          4217 - NON-TAXABLE SALES-DORM/HOUSEWA</v>
      </c>
      <c r="C104" s="11"/>
      <c r="D104" s="2">
        <f t="shared" si="15"/>
        <v>0</v>
      </c>
      <c r="E104" s="2"/>
      <c r="F104" s="19"/>
      <c r="G104" s="2"/>
      <c r="H104" s="2">
        <f t="shared" si="16"/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-2.98</f>
        <v>-2.98</v>
      </c>
      <c r="Q104" s="2"/>
      <c r="R104" s="19"/>
      <c r="S104" s="2"/>
      <c r="T104" s="2">
        <f>-1.5</f>
        <v>-1.5</v>
      </c>
      <c r="U104" s="2"/>
      <c r="V104" s="19"/>
      <c r="W104" s="2"/>
      <c r="X104" s="2">
        <f t="shared" si="2"/>
        <v>-1.48</v>
      </c>
      <c r="Y104" s="2"/>
      <c r="Z104" s="19">
        <f t="shared" si="3"/>
        <v>0.98666666666666669</v>
      </c>
    </row>
    <row r="105" spans="1:26" s="24" customFormat="1" hidden="1" outlineLevel="1" x14ac:dyDescent="0.25">
      <c r="A105" s="44"/>
      <c r="B105" s="11" t="str">
        <f>CONCATENATE("          ", "4218", " - ", "SALES RETURN TAXABLE-STUDY GUI")</f>
        <v xml:space="preserve">          4218 - SALES RETURN TAXABLE-STUDY GUI</v>
      </c>
      <c r="C105" s="11"/>
      <c r="D105" s="2">
        <f t="shared" si="15"/>
        <v>0</v>
      </c>
      <c r="E105" s="2"/>
      <c r="F105" s="19"/>
      <c r="G105" s="2"/>
      <c r="H105" s="2">
        <f t="shared" si="16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-39.25</f>
        <v>-39.25</v>
      </c>
      <c r="Q105" s="2"/>
      <c r="R105" s="19"/>
      <c r="S105" s="2"/>
      <c r="T105" s="2">
        <f>-67.6</f>
        <v>-67.599999999999994</v>
      </c>
      <c r="U105" s="2"/>
      <c r="V105" s="19"/>
      <c r="W105" s="2"/>
      <c r="X105" s="2">
        <f t="shared" si="2"/>
        <v>28.349999999999994</v>
      </c>
      <c r="Y105" s="2"/>
      <c r="Z105" s="19">
        <f t="shared" si="3"/>
        <v>-0.41937869822485202</v>
      </c>
    </row>
    <row r="106" spans="1:26" s="24" customFormat="1" hidden="1" outlineLevel="1" x14ac:dyDescent="0.25">
      <c r="A106" s="44"/>
      <c r="B106" s="11" t="str">
        <f>CONCATENATE("          ", "4225", " - ", "SALES RETURN TAXABLE-TEST FORM")</f>
        <v xml:space="preserve">          4225 - SALES RETURN TAXABLE-TEST FORM</v>
      </c>
      <c r="C106" s="11"/>
      <c r="D106" s="2">
        <f t="shared" si="15"/>
        <v>0</v>
      </c>
      <c r="E106" s="2"/>
      <c r="F106" s="19"/>
      <c r="G106" s="2"/>
      <c r="H106" s="2">
        <f>-73.92</f>
        <v>-73.92</v>
      </c>
      <c r="I106" s="2"/>
      <c r="J106" s="19"/>
      <c r="K106" s="2"/>
      <c r="L106" s="2">
        <f t="shared" si="0"/>
        <v>73.92</v>
      </c>
      <c r="M106" s="2"/>
      <c r="N106" s="19">
        <f t="shared" si="1"/>
        <v>-1</v>
      </c>
      <c r="O106" s="11"/>
      <c r="P106" s="2">
        <f>-176.41</f>
        <v>-176.41</v>
      </c>
      <c r="Q106" s="2"/>
      <c r="R106" s="19"/>
      <c r="S106" s="2"/>
      <c r="T106" s="2">
        <f>-187.82</f>
        <v>-187.82</v>
      </c>
      <c r="U106" s="2"/>
      <c r="V106" s="19"/>
      <c r="W106" s="2"/>
      <c r="X106" s="2">
        <f t="shared" si="2"/>
        <v>11.409999999999997</v>
      </c>
      <c r="Y106" s="2"/>
      <c r="Z106" s="19">
        <f t="shared" si="3"/>
        <v>-6.0749653923969742E-2</v>
      </c>
    </row>
    <row r="107" spans="1:26" s="24" customFormat="1" hidden="1" outlineLevel="1" x14ac:dyDescent="0.25">
      <c r="A107" s="44"/>
      <c r="B107" s="11" t="str">
        <f>CONCATENATE("          ", "4226", " - ", "SALES RETURN TAXABLE-WRITING I")</f>
        <v xml:space="preserve">          4226 - SALES RETURN TAXABLE-WRITING I</v>
      </c>
      <c r="C107" s="11"/>
      <c r="D107" s="2">
        <f t="shared" si="15"/>
        <v>0</v>
      </c>
      <c r="E107" s="2"/>
      <c r="F107" s="19"/>
      <c r="G107" s="2"/>
      <c r="H107" s="2">
        <f>-292.72</f>
        <v>-292.72000000000003</v>
      </c>
      <c r="I107" s="2"/>
      <c r="J107" s="19"/>
      <c r="K107" s="2"/>
      <c r="L107" s="2">
        <f t="shared" si="0"/>
        <v>292.72000000000003</v>
      </c>
      <c r="M107" s="2"/>
      <c r="N107" s="19">
        <f t="shared" si="1"/>
        <v>-1</v>
      </c>
      <c r="O107" s="11"/>
      <c r="P107" s="2">
        <f>-765.04</f>
        <v>-765.04</v>
      </c>
      <c r="Q107" s="2"/>
      <c r="R107" s="19"/>
      <c r="S107" s="2"/>
      <c r="T107" s="2">
        <f>-670.45</f>
        <v>-670.45</v>
      </c>
      <c r="U107" s="2"/>
      <c r="V107" s="19"/>
      <c r="W107" s="2"/>
      <c r="X107" s="2">
        <f t="shared" si="2"/>
        <v>-94.589999999999918</v>
      </c>
      <c r="Y107" s="2"/>
      <c r="Z107" s="19">
        <f t="shared" si="3"/>
        <v>0.1410843463345513</v>
      </c>
    </row>
    <row r="108" spans="1:26" s="24" customFormat="1" hidden="1" outlineLevel="1" x14ac:dyDescent="0.25">
      <c r="A108" s="44"/>
      <c r="B108" s="11" t="str">
        <f>CONCATENATE("          ", "4227", " - ", "SALES RETURN TAXABLE-SCHOOL SU")</f>
        <v xml:space="preserve">          4227 - SALES RETURN TAXABLE-SCHOOL SU</v>
      </c>
      <c r="C108" s="11"/>
      <c r="D108" s="2">
        <f t="shared" si="15"/>
        <v>0</v>
      </c>
      <c r="E108" s="2"/>
      <c r="F108" s="19"/>
      <c r="G108" s="2"/>
      <c r="H108" s="2">
        <f>-521.01</f>
        <v>-521.01</v>
      </c>
      <c r="I108" s="2"/>
      <c r="J108" s="19"/>
      <c r="K108" s="2"/>
      <c r="L108" s="2">
        <f t="shared" si="0"/>
        <v>521.01</v>
      </c>
      <c r="M108" s="2"/>
      <c r="N108" s="19">
        <f t="shared" si="1"/>
        <v>-1</v>
      </c>
      <c r="O108" s="11"/>
      <c r="P108" s="2">
        <f>-8593.61</f>
        <v>-8593.61</v>
      </c>
      <c r="Q108" s="2"/>
      <c r="R108" s="19"/>
      <c r="S108" s="2"/>
      <c r="T108" s="2">
        <f>-6491.83</f>
        <v>-6491.83</v>
      </c>
      <c r="U108" s="2"/>
      <c r="V108" s="19"/>
      <c r="W108" s="2"/>
      <c r="X108" s="2">
        <f t="shared" si="2"/>
        <v>-2101.7800000000007</v>
      </c>
      <c r="Y108" s="2"/>
      <c r="Z108" s="19">
        <f t="shared" si="3"/>
        <v>0.32375770776499085</v>
      </c>
    </row>
    <row r="109" spans="1:26" s="24" customFormat="1" hidden="1" outlineLevel="1" x14ac:dyDescent="0.25">
      <c r="A109" s="44"/>
      <c r="B109" s="11" t="str">
        <f>CONCATENATE("          ", "4228", " - ", "SALES RETURN TAXABLE-ART/TECH")</f>
        <v xml:space="preserve">          4228 - SALES RETURN TAXABLE-ART/TECH</v>
      </c>
      <c r="C109" s="11"/>
      <c r="D109" s="2">
        <f t="shared" si="15"/>
        <v>0</v>
      </c>
      <c r="E109" s="2"/>
      <c r="F109" s="19"/>
      <c r="G109" s="2"/>
      <c r="H109" s="2">
        <f>-636.43</f>
        <v>-636.42999999999995</v>
      </c>
      <c r="I109" s="2"/>
      <c r="J109" s="19"/>
      <c r="K109" s="2"/>
      <c r="L109" s="2">
        <f t="shared" si="0"/>
        <v>636.42999999999995</v>
      </c>
      <c r="M109" s="2"/>
      <c r="N109" s="19">
        <f t="shared" si="1"/>
        <v>-1</v>
      </c>
      <c r="O109" s="11"/>
      <c r="P109" s="2">
        <f>-4739.1</f>
        <v>-4739.1000000000004</v>
      </c>
      <c r="Q109" s="2"/>
      <c r="R109" s="19"/>
      <c r="S109" s="2"/>
      <c r="T109" s="2">
        <f>-8058.01</f>
        <v>-8058.01</v>
      </c>
      <c r="U109" s="2"/>
      <c r="V109" s="19"/>
      <c r="W109" s="2"/>
      <c r="X109" s="2">
        <f t="shared" si="2"/>
        <v>3318.91</v>
      </c>
      <c r="Y109" s="2"/>
      <c r="Z109" s="19">
        <f t="shared" si="3"/>
        <v>-0.41187712599016379</v>
      </c>
    </row>
    <row r="110" spans="1:26" s="24" customFormat="1" hidden="1" outlineLevel="1" x14ac:dyDescent="0.25">
      <c r="A110" s="44"/>
      <c r="B110" s="11" t="str">
        <f>CONCATENATE("          ", "4233", " - ", "SALES RETURN TAXABLE-CANDY")</f>
        <v xml:space="preserve">          4233 - SALES RETURN TAXABLE-CANDY</v>
      </c>
      <c r="C110" s="11"/>
      <c r="D110" s="2">
        <f t="shared" si="15"/>
        <v>0</v>
      </c>
      <c r="E110" s="2"/>
      <c r="F110" s="19"/>
      <c r="G110" s="2"/>
      <c r="H110" s="2">
        <f t="shared" ref="H110:H111" si="17">0</f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-8.25</f>
        <v>-8.25</v>
      </c>
      <c r="Q110" s="2"/>
      <c r="R110" s="19"/>
      <c r="S110" s="2"/>
      <c r="T110" s="2">
        <f>-5.27</f>
        <v>-5.27</v>
      </c>
      <c r="U110" s="2"/>
      <c r="V110" s="19"/>
      <c r="W110" s="2"/>
      <c r="X110" s="2">
        <f t="shared" si="2"/>
        <v>-2.9800000000000004</v>
      </c>
      <c r="Y110" s="2"/>
      <c r="Z110" s="19">
        <f t="shared" si="3"/>
        <v>0.5654648956356737</v>
      </c>
    </row>
    <row r="111" spans="1:26" s="24" customFormat="1" hidden="1" outlineLevel="1" x14ac:dyDescent="0.25">
      <c r="A111" s="44"/>
      <c r="B111" s="11" t="str">
        <f>CONCATENATE("          ", "4234", " - ", "SALES RETURN TAXABLE-SODA")</f>
        <v xml:space="preserve">          4234 - SALES RETURN TAXABLE-SODA</v>
      </c>
      <c r="C111" s="11"/>
      <c r="D111" s="2">
        <f t="shared" si="15"/>
        <v>0</v>
      </c>
      <c r="E111" s="2"/>
      <c r="F111" s="19"/>
      <c r="G111" s="2"/>
      <c r="H111" s="2">
        <f t="shared" si="17"/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0</f>
        <v>0</v>
      </c>
      <c r="Q111" s="2"/>
      <c r="R111" s="19"/>
      <c r="S111" s="2"/>
      <c r="T111" s="2">
        <f>-5.28</f>
        <v>-5.28</v>
      </c>
      <c r="U111" s="2"/>
      <c r="V111" s="19"/>
      <c r="W111" s="2"/>
      <c r="X111" s="2">
        <f t="shared" si="2"/>
        <v>5.28</v>
      </c>
      <c r="Y111" s="2"/>
      <c r="Z111" s="19">
        <f t="shared" si="3"/>
        <v>-1</v>
      </c>
    </row>
    <row r="112" spans="1:26" s="24" customFormat="1" hidden="1" outlineLevel="1" x14ac:dyDescent="0.25">
      <c r="A112" s="44"/>
      <c r="B112" s="11" t="str">
        <f>CONCATENATE("          ", "4240", " - ", "SALES RETURN TAXABLE-LOGO CLOT")</f>
        <v xml:space="preserve">          4240 - SALES RETURN TAXABLE-LOGO CLOT</v>
      </c>
      <c r="C112" s="11"/>
      <c r="D112" s="2">
        <f>-1642.96</f>
        <v>-1642.96</v>
      </c>
      <c r="E112" s="2"/>
      <c r="F112" s="19"/>
      <c r="G112" s="2"/>
      <c r="H112" s="2">
        <f>-7874.77</f>
        <v>-7874.77</v>
      </c>
      <c r="I112" s="2"/>
      <c r="J112" s="19"/>
      <c r="K112" s="2"/>
      <c r="L112" s="2">
        <f t="shared" si="0"/>
        <v>6231.81</v>
      </c>
      <c r="M112" s="2"/>
      <c r="N112" s="19">
        <f t="shared" si="1"/>
        <v>-0.79136406523619107</v>
      </c>
      <c r="O112" s="11"/>
      <c r="P112" s="2">
        <f>-74455.19</f>
        <v>-74455.19</v>
      </c>
      <c r="Q112" s="2"/>
      <c r="R112" s="19"/>
      <c r="S112" s="2"/>
      <c r="T112" s="2">
        <f>-83871.12</f>
        <v>-83871.12</v>
      </c>
      <c r="U112" s="2"/>
      <c r="V112" s="19"/>
      <c r="W112" s="2"/>
      <c r="X112" s="2">
        <f t="shared" si="2"/>
        <v>9415.929999999993</v>
      </c>
      <c r="Y112" s="2"/>
      <c r="Z112" s="19">
        <f t="shared" si="3"/>
        <v>-0.11226665388515134</v>
      </c>
    </row>
    <row r="113" spans="1:26" s="24" customFormat="1" hidden="1" outlineLevel="1" x14ac:dyDescent="0.25">
      <c r="A113" s="44"/>
      <c r="B113" s="11" t="str">
        <f>CONCATENATE("          ", "4241", " - ", "SALES RETURN TAXABLE-LOGO GIFT")</f>
        <v xml:space="preserve">          4241 - SALES RETURN TAXABLE-LOGO GIFT</v>
      </c>
      <c r="C113" s="11"/>
      <c r="D113" s="2">
        <f>-190.5</f>
        <v>-190.5</v>
      </c>
      <c r="E113" s="2"/>
      <c r="F113" s="19"/>
      <c r="G113" s="2"/>
      <c r="H113" s="2">
        <f>-728.13</f>
        <v>-728.13</v>
      </c>
      <c r="I113" s="2"/>
      <c r="J113" s="19"/>
      <c r="K113" s="2"/>
      <c r="L113" s="2">
        <f t="shared" si="0"/>
        <v>537.63</v>
      </c>
      <c r="M113" s="2"/>
      <c r="N113" s="19">
        <f t="shared" si="1"/>
        <v>-0.73837089530715672</v>
      </c>
      <c r="O113" s="11"/>
      <c r="P113" s="2">
        <f>-6331.88</f>
        <v>-6331.88</v>
      </c>
      <c r="Q113" s="2"/>
      <c r="R113" s="19"/>
      <c r="S113" s="2"/>
      <c r="T113" s="2">
        <f>-10787.05</f>
        <v>-10787.05</v>
      </c>
      <c r="U113" s="2"/>
      <c r="V113" s="19"/>
      <c r="W113" s="2"/>
      <c r="X113" s="2">
        <f t="shared" si="2"/>
        <v>4455.1699999999992</v>
      </c>
      <c r="Y113" s="2"/>
      <c r="Z113" s="19">
        <f t="shared" si="3"/>
        <v>-0.41301097148896126</v>
      </c>
    </row>
    <row r="114" spans="1:26" s="24" customFormat="1" hidden="1" outlineLevel="1" x14ac:dyDescent="0.25">
      <c r="A114" s="44"/>
      <c r="B114" s="11" t="str">
        <f>CONCATENATE("          ", "4242", " - ", "SALES RETURN TAXABLE-EVERYDAY")</f>
        <v xml:space="preserve">          4242 - SALES RETURN TAXABLE-EVERYDAY</v>
      </c>
      <c r="C114" s="11"/>
      <c r="D114" s="2">
        <f>-3</f>
        <v>-3</v>
      </c>
      <c r="E114" s="2"/>
      <c r="F114" s="19"/>
      <c r="G114" s="2"/>
      <c r="H114" s="2">
        <f>-832.72</f>
        <v>-832.72</v>
      </c>
      <c r="I114" s="2"/>
      <c r="J114" s="19"/>
      <c r="K114" s="2"/>
      <c r="L114" s="2">
        <f t="shared" si="0"/>
        <v>829.72</v>
      </c>
      <c r="M114" s="2"/>
      <c r="N114" s="19">
        <f t="shared" si="1"/>
        <v>-0.99639734844845806</v>
      </c>
      <c r="O114" s="11"/>
      <c r="P114" s="2">
        <f>-4181.41</f>
        <v>-4181.41</v>
      </c>
      <c r="Q114" s="2"/>
      <c r="R114" s="19"/>
      <c r="S114" s="2"/>
      <c r="T114" s="2">
        <f>-4239.18</f>
        <v>-4239.18</v>
      </c>
      <c r="U114" s="2"/>
      <c r="V114" s="19"/>
      <c r="W114" s="2"/>
      <c r="X114" s="2">
        <f t="shared" si="2"/>
        <v>57.770000000000437</v>
      </c>
      <c r="Y114" s="2"/>
      <c r="Z114" s="19">
        <f t="shared" si="3"/>
        <v>-1.36276355332872E-2</v>
      </c>
    </row>
    <row r="115" spans="1:26" s="24" customFormat="1" hidden="1" outlineLevel="1" x14ac:dyDescent="0.25">
      <c r="A115" s="44"/>
      <c r="B115" s="11" t="str">
        <f>CONCATENATE("          ", "4243", " - ", "SALES RETURN TAXABLE-CARDS")</f>
        <v xml:space="preserve">          4243 - SALES RETURN TAXABLE-CARDS</v>
      </c>
      <c r="C115" s="11"/>
      <c r="D115" s="2">
        <f>-13</f>
        <v>-13</v>
      </c>
      <c r="E115" s="2"/>
      <c r="F115" s="19"/>
      <c r="G115" s="2"/>
      <c r="H115" s="2">
        <f>0</f>
        <v>0</v>
      </c>
      <c r="I115" s="2"/>
      <c r="J115" s="19"/>
      <c r="K115" s="2"/>
      <c r="L115" s="2">
        <f t="shared" si="0"/>
        <v>-13</v>
      </c>
      <c r="M115" s="2"/>
      <c r="N115" s="19">
        <f t="shared" si="1"/>
        <v>0</v>
      </c>
      <c r="O115" s="11"/>
      <c r="P115" s="2">
        <f>-3006.31</f>
        <v>-3006.31</v>
      </c>
      <c r="Q115" s="2"/>
      <c r="R115" s="19"/>
      <c r="S115" s="2"/>
      <c r="T115" s="2">
        <f>-25.94</f>
        <v>-25.94</v>
      </c>
      <c r="U115" s="2"/>
      <c r="V115" s="19"/>
      <c r="W115" s="2"/>
      <c r="X115" s="2">
        <f t="shared" si="2"/>
        <v>-2980.37</v>
      </c>
      <c r="Y115" s="2"/>
      <c r="Z115" s="19">
        <f t="shared" si="3"/>
        <v>114.89475713184271</v>
      </c>
    </row>
    <row r="116" spans="1:26" s="24" customFormat="1" hidden="1" outlineLevel="1" x14ac:dyDescent="0.25">
      <c r="A116" s="44"/>
      <c r="B116" s="11" t="str">
        <f>CONCATENATE("          ", "4244", " - ", "SALES RETURN TAXABLE-ACCESSORI")</f>
        <v xml:space="preserve">          4244 - SALES RETURN TAXABLE-ACCESSORI</v>
      </c>
      <c r="C116" s="11"/>
      <c r="D116" s="2">
        <f t="shared" ref="D116:D118" si="18">0</f>
        <v>0</v>
      </c>
      <c r="E116" s="2"/>
      <c r="F116" s="19"/>
      <c r="G116" s="2"/>
      <c r="H116" s="2">
        <f>-174.65</f>
        <v>-174.65</v>
      </c>
      <c r="I116" s="2"/>
      <c r="J116" s="19"/>
      <c r="K116" s="2"/>
      <c r="L116" s="2">
        <f t="shared" si="0"/>
        <v>174.65</v>
      </c>
      <c r="M116" s="2"/>
      <c r="N116" s="19">
        <f t="shared" si="1"/>
        <v>-1</v>
      </c>
      <c r="O116" s="11"/>
      <c r="P116" s="2">
        <f>-2470.7</f>
        <v>-2470.6999999999998</v>
      </c>
      <c r="Q116" s="2"/>
      <c r="R116" s="19"/>
      <c r="S116" s="2"/>
      <c r="T116" s="2">
        <f>-3829.22</f>
        <v>-3829.22</v>
      </c>
      <c r="U116" s="2"/>
      <c r="V116" s="19"/>
      <c r="W116" s="2"/>
      <c r="X116" s="2">
        <f t="shared" si="2"/>
        <v>1358.52</v>
      </c>
      <c r="Y116" s="2"/>
      <c r="Z116" s="19">
        <f t="shared" si="3"/>
        <v>-0.35477721311389787</v>
      </c>
    </row>
    <row r="117" spans="1:26" s="24" customFormat="1" hidden="1" outlineLevel="1" x14ac:dyDescent="0.25">
      <c r="A117" s="44"/>
      <c r="B117" s="11" t="str">
        <f>CONCATENATE("          ", "4245", " - ", "SALES RETURN TAXABLE-SPECIAL O")</f>
        <v xml:space="preserve">          4245 - SALES RETURN TAXABLE-SPECIAL O</v>
      </c>
      <c r="C117" s="11"/>
      <c r="D117" s="2">
        <f t="shared" si="18"/>
        <v>0</v>
      </c>
      <c r="E117" s="2"/>
      <c r="F117" s="19"/>
      <c r="G117" s="2"/>
      <c r="H117" s="2">
        <f>-504</f>
        <v>-504</v>
      </c>
      <c r="I117" s="2"/>
      <c r="J117" s="19"/>
      <c r="K117" s="2"/>
      <c r="L117" s="2">
        <f t="shared" si="0"/>
        <v>504</v>
      </c>
      <c r="M117" s="2"/>
      <c r="N117" s="19">
        <f t="shared" si="1"/>
        <v>-1</v>
      </c>
      <c r="O117" s="11"/>
      <c r="P117" s="2">
        <f>-1735.03</f>
        <v>-1735.03</v>
      </c>
      <c r="Q117" s="2"/>
      <c r="R117" s="19"/>
      <c r="S117" s="2"/>
      <c r="T117" s="2">
        <f>-751.92</f>
        <v>-751.92</v>
      </c>
      <c r="U117" s="2"/>
      <c r="V117" s="19"/>
      <c r="W117" s="2"/>
      <c r="X117" s="2">
        <f t="shared" si="2"/>
        <v>-983.11</v>
      </c>
      <c r="Y117" s="2"/>
      <c r="Z117" s="19">
        <f t="shared" si="3"/>
        <v>1.3074662198106182</v>
      </c>
    </row>
    <row r="118" spans="1:26" s="24" customFormat="1" hidden="1" outlineLevel="1" x14ac:dyDescent="0.25">
      <c r="A118" s="44"/>
      <c r="B118" s="11" t="str">
        <f>CONCATENATE("          ", "4281", " - ", "SALES RETURN TAXABLE-ELECTRONI")</f>
        <v xml:space="preserve">          4281 - SALES RETURN TAXABLE-ELECTRONI</v>
      </c>
      <c r="C118" s="11"/>
      <c r="D118" s="2">
        <f t="shared" si="18"/>
        <v>0</v>
      </c>
      <c r="E118" s="2"/>
      <c r="F118" s="19"/>
      <c r="G118" s="2"/>
      <c r="H118" s="2">
        <f>-85.89</f>
        <v>-85.89</v>
      </c>
      <c r="I118" s="2"/>
      <c r="J118" s="19"/>
      <c r="K118" s="2"/>
      <c r="L118" s="2">
        <f t="shared" si="0"/>
        <v>85.89</v>
      </c>
      <c r="M118" s="2"/>
      <c r="N118" s="19">
        <f t="shared" si="1"/>
        <v>-1</v>
      </c>
      <c r="O118" s="11"/>
      <c r="P118" s="2">
        <f>-7836.67</f>
        <v>-7836.67</v>
      </c>
      <c r="Q118" s="2"/>
      <c r="R118" s="19"/>
      <c r="S118" s="2"/>
      <c r="T118" s="2">
        <f>-7131.74</f>
        <v>-7131.74</v>
      </c>
      <c r="U118" s="2"/>
      <c r="V118" s="19"/>
      <c r="W118" s="2"/>
      <c r="X118" s="2">
        <f t="shared" si="2"/>
        <v>-704.93000000000029</v>
      </c>
      <c r="Y118" s="2"/>
      <c r="Z118" s="19">
        <f t="shared" si="3"/>
        <v>9.884404086520264E-2</v>
      </c>
    </row>
    <row r="119" spans="1:26" s="24" customFormat="1" hidden="1" outlineLevel="1" x14ac:dyDescent="0.25">
      <c r="A119" s="44"/>
      <c r="B119" s="11" t="str">
        <f>CONCATENATE("          ", "4282", " - ", "SALES RETURN TAXABLE-COMPUTER")</f>
        <v xml:space="preserve">          4282 - SALES RETURN TAXABLE-COMPUTER</v>
      </c>
      <c r="C119" s="11"/>
      <c r="D119" s="2">
        <f>-1954.65</f>
        <v>-1954.65</v>
      </c>
      <c r="E119" s="2"/>
      <c r="F119" s="19"/>
      <c r="G119" s="2"/>
      <c r="H119" s="2">
        <f>-3805.21</f>
        <v>-3805.21</v>
      </c>
      <c r="I119" s="2"/>
      <c r="J119" s="19"/>
      <c r="K119" s="2"/>
      <c r="L119" s="2">
        <f t="shared" si="0"/>
        <v>1850.56</v>
      </c>
      <c r="M119" s="2"/>
      <c r="N119" s="19">
        <f t="shared" si="1"/>
        <v>-0.48632269966703545</v>
      </c>
      <c r="O119" s="11"/>
      <c r="P119" s="2">
        <f>-215445.8</f>
        <v>-215445.8</v>
      </c>
      <c r="Q119" s="2"/>
      <c r="R119" s="19"/>
      <c r="S119" s="2"/>
      <c r="T119" s="2">
        <f>-66363.82</f>
        <v>-66363.820000000007</v>
      </c>
      <c r="U119" s="2"/>
      <c r="V119" s="19"/>
      <c r="W119" s="2"/>
      <c r="X119" s="2">
        <f t="shared" si="2"/>
        <v>-149081.97999999998</v>
      </c>
      <c r="Y119" s="2"/>
      <c r="Z119" s="19">
        <f t="shared" si="3"/>
        <v>2.2464345783591115</v>
      </c>
    </row>
    <row r="120" spans="1:26" s="24" customFormat="1" hidden="1" outlineLevel="1" x14ac:dyDescent="0.25">
      <c r="A120" s="44"/>
      <c r="B120" s="11" t="str">
        <f>CONCATENATE("          ", "4283", " - ", "SALES RETURN TAXABLE-COMPUTER")</f>
        <v xml:space="preserve">          4283 - SALES RETURN TAXABLE-COMPUTER</v>
      </c>
      <c r="C120" s="11"/>
      <c r="D120" s="2">
        <f>-135.96</f>
        <v>-135.96</v>
      </c>
      <c r="E120" s="2"/>
      <c r="F120" s="19"/>
      <c r="G120" s="2"/>
      <c r="H120" s="2">
        <f>-655.38</f>
        <v>-655.38</v>
      </c>
      <c r="I120" s="2"/>
      <c r="J120" s="19"/>
      <c r="K120" s="2"/>
      <c r="L120" s="2">
        <f t="shared" si="0"/>
        <v>519.41999999999996</v>
      </c>
      <c r="M120" s="2"/>
      <c r="N120" s="19">
        <f t="shared" si="1"/>
        <v>-0.79254783484390734</v>
      </c>
      <c r="O120" s="11"/>
      <c r="P120" s="2">
        <f>-6589.02</f>
        <v>-6589.02</v>
      </c>
      <c r="Q120" s="2"/>
      <c r="R120" s="19"/>
      <c r="S120" s="2"/>
      <c r="T120" s="2">
        <f>-7315.76</f>
        <v>-7315.76</v>
      </c>
      <c r="U120" s="2"/>
      <c r="V120" s="19"/>
      <c r="W120" s="2"/>
      <c r="X120" s="2">
        <f t="shared" si="2"/>
        <v>726.73999999999978</v>
      </c>
      <c r="Y120" s="2"/>
      <c r="Z120" s="19">
        <f t="shared" si="3"/>
        <v>-9.9338961365599707E-2</v>
      </c>
    </row>
    <row r="121" spans="1:26" s="24" customFormat="1" hidden="1" outlineLevel="1" x14ac:dyDescent="0.25">
      <c r="A121" s="44"/>
      <c r="B121" s="11" t="str">
        <f>CONCATENATE("          ", "4284", " - ", "SALES RETURN TAXABLE-SOFTWARE")</f>
        <v xml:space="preserve">          4284 - SALES RETURN TAXABLE-SOFTWARE</v>
      </c>
      <c r="C121" s="11"/>
      <c r="D121" s="2">
        <f t="shared" ref="D121:D126" si="19">0</f>
        <v>0</v>
      </c>
      <c r="E121" s="2"/>
      <c r="F121" s="19"/>
      <c r="G121" s="2"/>
      <c r="H121" s="2">
        <f>0</f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-129</f>
        <v>-129</v>
      </c>
      <c r="Q121" s="2"/>
      <c r="R121" s="19"/>
      <c r="S121" s="2"/>
      <c r="T121" s="2">
        <f>0</f>
        <v>0</v>
      </c>
      <c r="U121" s="2"/>
      <c r="V121" s="19"/>
      <c r="W121" s="2"/>
      <c r="X121" s="2">
        <f t="shared" si="2"/>
        <v>-129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"4285", " - ", "SALES RETURN TAXABLE-SOFTWARE")</f>
        <v xml:space="preserve">          4285 - SALES RETURN TAXABLE-SOFTWARE</v>
      </c>
      <c r="C122" s="11"/>
      <c r="D122" s="2">
        <f t="shared" si="19"/>
        <v>0</v>
      </c>
      <c r="E122" s="2"/>
      <c r="F122" s="19"/>
      <c r="G122" s="2"/>
      <c r="H122" s="2">
        <f>-599.96</f>
        <v>-599.96</v>
      </c>
      <c r="I122" s="2"/>
      <c r="J122" s="19"/>
      <c r="K122" s="2"/>
      <c r="L122" s="2">
        <f t="shared" si="0"/>
        <v>599.96</v>
      </c>
      <c r="M122" s="2"/>
      <c r="N122" s="19">
        <f t="shared" si="1"/>
        <v>-1</v>
      </c>
      <c r="O122" s="11"/>
      <c r="P122" s="2">
        <f>-805.97</f>
        <v>-805.97</v>
      </c>
      <c r="Q122" s="2"/>
      <c r="R122" s="19"/>
      <c r="S122" s="2"/>
      <c r="T122" s="2">
        <f>-725.94</f>
        <v>-725.94</v>
      </c>
      <c r="U122" s="2"/>
      <c r="V122" s="19"/>
      <c r="W122" s="2"/>
      <c r="X122" s="2">
        <f t="shared" si="2"/>
        <v>-80.029999999999973</v>
      </c>
      <c r="Y122" s="2"/>
      <c r="Z122" s="19">
        <f t="shared" si="3"/>
        <v>0.11024327079372946</v>
      </c>
    </row>
    <row r="123" spans="1:26" s="24" customFormat="1" hidden="1" outlineLevel="1" x14ac:dyDescent="0.25">
      <c r="A123" s="44"/>
      <c r="B123" s="11" t="str">
        <f>CONCATENATE("          ", "4286", " - ", "SALES RETURN TAXABLE-COMPUTER")</f>
        <v xml:space="preserve">          4286 - SALES RETURN TAXABLE-COMPUTER</v>
      </c>
      <c r="C123" s="11"/>
      <c r="D123" s="2">
        <f t="shared" si="19"/>
        <v>0</v>
      </c>
      <c r="E123" s="2"/>
      <c r="F123" s="19"/>
      <c r="G123" s="2"/>
      <c r="H123" s="2">
        <f>-232.62</f>
        <v>-232.62</v>
      </c>
      <c r="I123" s="2"/>
      <c r="J123" s="19"/>
      <c r="K123" s="2"/>
      <c r="L123" s="2">
        <f t="shared" si="0"/>
        <v>232.62</v>
      </c>
      <c r="M123" s="2"/>
      <c r="N123" s="19">
        <f t="shared" si="1"/>
        <v>-1</v>
      </c>
      <c r="O123" s="11"/>
      <c r="P123" s="2">
        <f>-3660.86</f>
        <v>-3660.86</v>
      </c>
      <c r="Q123" s="2"/>
      <c r="R123" s="19"/>
      <c r="S123" s="2"/>
      <c r="T123" s="2">
        <f>-4791.23</f>
        <v>-4791.2299999999996</v>
      </c>
      <c r="U123" s="2"/>
      <c r="V123" s="19"/>
      <c r="W123" s="2"/>
      <c r="X123" s="2">
        <f t="shared" si="2"/>
        <v>1130.3699999999994</v>
      </c>
      <c r="Y123" s="2"/>
      <c r="Z123" s="19">
        <f t="shared" si="3"/>
        <v>-0.23592480427781584</v>
      </c>
    </row>
    <row r="124" spans="1:26" s="24" customFormat="1" hidden="1" outlineLevel="1" x14ac:dyDescent="0.25">
      <c r="A124" s="44"/>
      <c r="B124" s="11" t="str">
        <f>CONCATENATE("          ", "4288", " - ", "TAXABLE SALES RETURN-MUSIC")</f>
        <v xml:space="preserve">          4288 - TAXABLE SALES RETURN-MUSIC</v>
      </c>
      <c r="C124" s="11"/>
      <c r="D124" s="2">
        <f t="shared" si="19"/>
        <v>0</v>
      </c>
      <c r="E124" s="2"/>
      <c r="F124" s="19"/>
      <c r="G124" s="2"/>
      <c r="H124" s="2">
        <f>0</f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-3.99</f>
        <v>-3.99</v>
      </c>
      <c r="Q124" s="2"/>
      <c r="R124" s="19"/>
      <c r="S124" s="2"/>
      <c r="T124" s="2">
        <f>-16.99</f>
        <v>-16.989999999999998</v>
      </c>
      <c r="U124" s="2"/>
      <c r="V124" s="19"/>
      <c r="W124" s="2"/>
      <c r="X124" s="2">
        <f t="shared" si="2"/>
        <v>12.999999999999998</v>
      </c>
      <c r="Y124" s="2"/>
      <c r="Z124" s="19">
        <f t="shared" si="3"/>
        <v>-0.76515597410241321</v>
      </c>
    </row>
    <row r="125" spans="1:26" s="24" customFormat="1" hidden="1" outlineLevel="1" x14ac:dyDescent="0.25">
      <c r="A125" s="44"/>
      <c r="B125" s="11" t="str">
        <f>CONCATENATE("          ", "4292", " - ", "SALES RETURN TAXABLE-GRAD MERC")</f>
        <v xml:space="preserve">          4292 - SALES RETURN TAXABLE-GRAD MERC</v>
      </c>
      <c r="C125" s="11"/>
      <c r="D125" s="2">
        <f t="shared" si="19"/>
        <v>0</v>
      </c>
      <c r="E125" s="2"/>
      <c r="F125" s="19"/>
      <c r="G125" s="2"/>
      <c r="H125" s="2">
        <f>-1283.46</f>
        <v>-1283.46</v>
      </c>
      <c r="I125" s="2"/>
      <c r="J125" s="19"/>
      <c r="K125" s="2"/>
      <c r="L125" s="2">
        <f t="shared" si="0"/>
        <v>1283.46</v>
      </c>
      <c r="M125" s="2"/>
      <c r="N125" s="19">
        <f t="shared" si="1"/>
        <v>-1</v>
      </c>
      <c r="O125" s="11"/>
      <c r="P125" s="2">
        <f>-513.95</f>
        <v>-513.95000000000005</v>
      </c>
      <c r="Q125" s="2"/>
      <c r="R125" s="19"/>
      <c r="S125" s="2"/>
      <c r="T125" s="2">
        <f>-3962.96</f>
        <v>-3962.96</v>
      </c>
      <c r="U125" s="2"/>
      <c r="V125" s="19"/>
      <c r="W125" s="2"/>
      <c r="X125" s="2">
        <f t="shared" si="2"/>
        <v>3449.01</v>
      </c>
      <c r="Y125" s="2"/>
      <c r="Z125" s="19">
        <f t="shared" si="3"/>
        <v>-0.87031158527968999</v>
      </c>
    </row>
    <row r="126" spans="1:26" s="24" customFormat="1" hidden="1" outlineLevel="1" x14ac:dyDescent="0.25">
      <c r="A126" s="44"/>
      <c r="B126" s="11" t="str">
        <f>CONCATENATE("          ", "4295", " - ", "SALES RETURN TAXABLE-CUSTOMER")</f>
        <v xml:space="preserve">          4295 - SALES RETURN TAXABLE-CUSTOMER</v>
      </c>
      <c r="C126" s="11"/>
      <c r="D126" s="2">
        <f t="shared" si="19"/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--0.99</f>
        <v>0.99</v>
      </c>
      <c r="Q126" s="2"/>
      <c r="R126" s="19"/>
      <c r="S126" s="2"/>
      <c r="T126" s="2">
        <f>-126.72</f>
        <v>-126.72</v>
      </c>
      <c r="U126" s="2"/>
      <c r="V126" s="19"/>
      <c r="W126" s="2"/>
      <c r="X126" s="2">
        <f t="shared" si="2"/>
        <v>127.71</v>
      </c>
      <c r="Y126" s="2"/>
      <c r="Z126" s="19">
        <f t="shared" si="3"/>
        <v>-1.0078125</v>
      </c>
    </row>
    <row r="127" spans="1:26" s="24" customFormat="1" hidden="1" outlineLevel="1" x14ac:dyDescent="0.25">
      <c r="A127" s="44"/>
      <c r="B127" s="11" t="str">
        <f>CONCATENATE("          ", "4301", " - ", "SALES RETURN NON TAXABLE-NEW T")</f>
        <v xml:space="preserve">          4301 - SALES RETURN NON TAXABLE-NEW T</v>
      </c>
      <c r="C127" s="11"/>
      <c r="D127" s="2">
        <f>-357.81</f>
        <v>-357.81</v>
      </c>
      <c r="E127" s="2"/>
      <c r="F127" s="19"/>
      <c r="G127" s="2"/>
      <c r="H127" s="2">
        <f>-367.54</f>
        <v>-367.54</v>
      </c>
      <c r="I127" s="2"/>
      <c r="J127" s="19"/>
      <c r="K127" s="2"/>
      <c r="L127" s="2">
        <f t="shared" si="0"/>
        <v>9.7300000000000182</v>
      </c>
      <c r="M127" s="2"/>
      <c r="N127" s="19">
        <f t="shared" si="1"/>
        <v>-2.6473309027588883E-2</v>
      </c>
      <c r="O127" s="11"/>
      <c r="P127" s="2">
        <f>-15579.43</f>
        <v>-15579.43</v>
      </c>
      <c r="Q127" s="2"/>
      <c r="R127" s="19"/>
      <c r="S127" s="2"/>
      <c r="T127" s="2">
        <f>-49571.09</f>
        <v>-49571.09</v>
      </c>
      <c r="U127" s="2"/>
      <c r="V127" s="19"/>
      <c r="W127" s="2"/>
      <c r="X127" s="2">
        <f t="shared" si="2"/>
        <v>33991.659999999996</v>
      </c>
      <c r="Y127" s="2"/>
      <c r="Z127" s="19">
        <f t="shared" si="3"/>
        <v>-0.68571540387754226</v>
      </c>
    </row>
    <row r="128" spans="1:26" s="24" customFormat="1" hidden="1" outlineLevel="1" x14ac:dyDescent="0.25">
      <c r="A128" s="44"/>
      <c r="B128" s="11" t="str">
        <f>CONCATENATE("          ", "4302", " - ", "SALES RETURN NON TAXABLE-TEXT")</f>
        <v xml:space="preserve">          4302 - SALES RETURN NON TAXABLE-TEXT</v>
      </c>
      <c r="C128" s="11"/>
      <c r="D128" s="2">
        <f t="shared" ref="D128:D130" si="20">0</f>
        <v>0</v>
      </c>
      <c r="E128" s="2"/>
      <c r="F128" s="19"/>
      <c r="G128" s="2"/>
      <c r="H128" s="2">
        <f>-285.45</f>
        <v>-285.45</v>
      </c>
      <c r="I128" s="2"/>
      <c r="J128" s="19"/>
      <c r="K128" s="2"/>
      <c r="L128" s="2">
        <f t="shared" si="0"/>
        <v>285.45</v>
      </c>
      <c r="M128" s="2"/>
      <c r="N128" s="19">
        <f t="shared" si="1"/>
        <v>-1</v>
      </c>
      <c r="O128" s="11"/>
      <c r="P128" s="2">
        <f>-1312.37</f>
        <v>-1312.37</v>
      </c>
      <c r="Q128" s="2"/>
      <c r="R128" s="19"/>
      <c r="S128" s="2"/>
      <c r="T128" s="2">
        <f>-4788.7</f>
        <v>-4788.7</v>
      </c>
      <c r="U128" s="2"/>
      <c r="V128" s="19"/>
      <c r="W128" s="2"/>
      <c r="X128" s="2">
        <f t="shared" si="2"/>
        <v>3476.33</v>
      </c>
      <c r="Y128" s="2"/>
      <c r="Z128" s="19">
        <f t="shared" si="3"/>
        <v>-0.72594441080042604</v>
      </c>
    </row>
    <row r="129" spans="1:26" s="24" customFormat="1" hidden="1" outlineLevel="1" x14ac:dyDescent="0.25">
      <c r="A129" s="44"/>
      <c r="B129" s="11" t="str">
        <f>CONCATENATE("          ", "4303", " - ", "SALES RETURN NON-TAXABLE-RENTA")</f>
        <v xml:space="preserve">          4303 - SALES RETURN NON-TAXABLE-RENTA</v>
      </c>
      <c r="C129" s="11"/>
      <c r="D129" s="2">
        <f t="shared" si="20"/>
        <v>0</v>
      </c>
      <c r="E129" s="2"/>
      <c r="F129" s="19"/>
      <c r="G129" s="2"/>
      <c r="H129" s="2">
        <f t="shared" ref="H129:H130" si="21">0</f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-184.99</f>
        <v>-184.99</v>
      </c>
      <c r="Q129" s="2"/>
      <c r="R129" s="19"/>
      <c r="S129" s="2"/>
      <c r="T129" s="2">
        <f>-509.85</f>
        <v>-509.85</v>
      </c>
      <c r="U129" s="2"/>
      <c r="V129" s="19"/>
      <c r="W129" s="2"/>
      <c r="X129" s="2">
        <f t="shared" si="2"/>
        <v>324.86</v>
      </c>
      <c r="Y129" s="2"/>
      <c r="Z129" s="19">
        <f t="shared" si="3"/>
        <v>-0.63716779444934779</v>
      </c>
    </row>
    <row r="130" spans="1:26" s="24" customFormat="1" hidden="1" outlineLevel="1" x14ac:dyDescent="0.25">
      <c r="A130" s="44"/>
      <c r="B130" s="11" t="str">
        <f>CONCATENATE("          ", "4304", " - ", "SALES RETURN NON TAXABLE-DIGIT")</f>
        <v xml:space="preserve">          4304 - SALES RETURN NON TAXABLE-DIGIT</v>
      </c>
      <c r="C130" s="11"/>
      <c r="D130" s="2">
        <f t="shared" si="20"/>
        <v>0</v>
      </c>
      <c r="E130" s="2"/>
      <c r="F130" s="19"/>
      <c r="G130" s="2"/>
      <c r="H130" s="2">
        <f t="shared" si="21"/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-19036.13</f>
        <v>-19036.13</v>
      </c>
      <c r="Q130" s="2"/>
      <c r="R130" s="19"/>
      <c r="S130" s="2"/>
      <c r="T130" s="2">
        <f>-5668</f>
        <v>-5668</v>
      </c>
      <c r="U130" s="2"/>
      <c r="V130" s="19"/>
      <c r="W130" s="2"/>
      <c r="X130" s="2">
        <f t="shared" si="2"/>
        <v>-13368.130000000001</v>
      </c>
      <c r="Y130" s="2"/>
      <c r="Z130" s="19">
        <f t="shared" si="3"/>
        <v>2.3585268172194778</v>
      </c>
    </row>
    <row r="131" spans="1:26" s="24" customFormat="1" hidden="1" outlineLevel="1" x14ac:dyDescent="0.25">
      <c r="A131" s="44"/>
      <c r="B131" s="11" t="str">
        <f>CONCATENATE("          ", "4311", " - ", "SALES RETURN NON TAXABLE-NO VA")</f>
        <v xml:space="preserve">          4311 - SALES RETURN NON TAXABLE-NO VA</v>
      </c>
      <c r="C131" s="11"/>
      <c r="D131" s="2">
        <f>-88.62</f>
        <v>-88.62</v>
      </c>
      <c r="E131" s="2"/>
      <c r="F131" s="19"/>
      <c r="G131" s="2"/>
      <c r="H131" s="2">
        <f>-244.08</f>
        <v>-244.08</v>
      </c>
      <c r="I131" s="2"/>
      <c r="J131" s="19"/>
      <c r="K131" s="2"/>
      <c r="L131" s="2">
        <f t="shared" si="0"/>
        <v>155.46</v>
      </c>
      <c r="M131" s="2"/>
      <c r="N131" s="19">
        <f t="shared" si="1"/>
        <v>-0.63692232055063913</v>
      </c>
      <c r="O131" s="11"/>
      <c r="P131" s="2">
        <f>-941.28</f>
        <v>-941.28</v>
      </c>
      <c r="Q131" s="2"/>
      <c r="R131" s="19"/>
      <c r="S131" s="2"/>
      <c r="T131" s="2">
        <f>-1748.83</f>
        <v>-1748.83</v>
      </c>
      <c r="U131" s="2"/>
      <c r="V131" s="19"/>
      <c r="W131" s="2"/>
      <c r="X131" s="2">
        <f t="shared" si="2"/>
        <v>807.55</v>
      </c>
      <c r="Y131" s="2"/>
      <c r="Z131" s="19">
        <f t="shared" si="3"/>
        <v>-0.4617658663220553</v>
      </c>
    </row>
    <row r="132" spans="1:26" s="24" customFormat="1" hidden="1" outlineLevel="1" x14ac:dyDescent="0.25">
      <c r="A132" s="44"/>
      <c r="B132" s="11" t="str">
        <f>CONCATENATE("          ", "4313", " - ", "SALES RETURN NON TAXABLE-TRADE")</f>
        <v xml:space="preserve">          4313 - SALES RETURN NON TAXABLE-TRADE</v>
      </c>
      <c r="C132" s="11"/>
      <c r="D132" s="2">
        <f>-2481.44</f>
        <v>-2481.44</v>
      </c>
      <c r="E132" s="2"/>
      <c r="F132" s="19"/>
      <c r="G132" s="2"/>
      <c r="H132" s="2">
        <f t="shared" ref="H132:H133" si="22">0</f>
        <v>0</v>
      </c>
      <c r="I132" s="2"/>
      <c r="J132" s="19"/>
      <c r="K132" s="2"/>
      <c r="L132" s="2">
        <f t="shared" si="0"/>
        <v>-2481.44</v>
      </c>
      <c r="M132" s="2"/>
      <c r="N132" s="19">
        <f t="shared" si="1"/>
        <v>0</v>
      </c>
      <c r="O132" s="11"/>
      <c r="P132" s="2">
        <f>-2481.44</f>
        <v>-2481.44</v>
      </c>
      <c r="Q132" s="2"/>
      <c r="R132" s="19"/>
      <c r="S132" s="2"/>
      <c r="T132" s="2">
        <f>0</f>
        <v>0</v>
      </c>
      <c r="U132" s="2"/>
      <c r="V132" s="19"/>
      <c r="W132" s="2"/>
      <c r="X132" s="2">
        <f t="shared" si="2"/>
        <v>-2481.44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"4318", " - ", "SALES RETURN NON TAXABLE-STUDY")</f>
        <v xml:space="preserve">          4318 - SALES RETURN NON TAXABLE-STUDY</v>
      </c>
      <c r="C133" s="11"/>
      <c r="D133" s="2">
        <f t="shared" ref="D133:D137" si="23">0</f>
        <v>0</v>
      </c>
      <c r="E133" s="2"/>
      <c r="F133" s="19"/>
      <c r="G133" s="2"/>
      <c r="H133" s="2">
        <f t="shared" si="22"/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 t="shared" ref="P133:P134" si="24">0</f>
        <v>0</v>
      </c>
      <c r="Q133" s="2"/>
      <c r="R133" s="19"/>
      <c r="S133" s="2"/>
      <c r="T133" s="2">
        <f>-5.04</f>
        <v>-5.04</v>
      </c>
      <c r="U133" s="2"/>
      <c r="V133" s="19"/>
      <c r="W133" s="2"/>
      <c r="X133" s="2">
        <f t="shared" si="2"/>
        <v>5.04</v>
      </c>
      <c r="Y133" s="2"/>
      <c r="Z133" s="19">
        <f t="shared" si="3"/>
        <v>-1</v>
      </c>
    </row>
    <row r="134" spans="1:26" s="24" customFormat="1" hidden="1" outlineLevel="1" x14ac:dyDescent="0.25">
      <c r="A134" s="44"/>
      <c r="B134" s="11" t="str">
        <f>CONCATENATE("          ", "4326", " - ", "SALES RETURN NON TAXABLE-WRITI")</f>
        <v xml:space="preserve">          4326 - SALES RETURN NON TAXABLE-WRITI</v>
      </c>
      <c r="C134" s="11"/>
      <c r="D134" s="2">
        <f t="shared" si="23"/>
        <v>0</v>
      </c>
      <c r="E134" s="2"/>
      <c r="F134" s="19"/>
      <c r="G134" s="2"/>
      <c r="H134" s="2">
        <f>-2.29</f>
        <v>-2.29</v>
      </c>
      <c r="I134" s="2"/>
      <c r="J134" s="19"/>
      <c r="K134" s="2"/>
      <c r="L134" s="2">
        <f t="shared" si="0"/>
        <v>2.29</v>
      </c>
      <c r="M134" s="2"/>
      <c r="N134" s="19">
        <f t="shared" si="1"/>
        <v>-1</v>
      </c>
      <c r="O134" s="11"/>
      <c r="P134" s="2">
        <f t="shared" si="24"/>
        <v>0</v>
      </c>
      <c r="Q134" s="2"/>
      <c r="R134" s="19"/>
      <c r="S134" s="2"/>
      <c r="T134" s="2">
        <f>-18.55</f>
        <v>-18.55</v>
      </c>
      <c r="U134" s="2"/>
      <c r="V134" s="19"/>
      <c r="W134" s="2"/>
      <c r="X134" s="2">
        <f t="shared" si="2"/>
        <v>18.55</v>
      </c>
      <c r="Y134" s="2"/>
      <c r="Z134" s="19">
        <f t="shared" si="3"/>
        <v>-1</v>
      </c>
    </row>
    <row r="135" spans="1:26" s="24" customFormat="1" hidden="1" outlineLevel="1" x14ac:dyDescent="0.25">
      <c r="A135" s="44"/>
      <c r="B135" s="11" t="str">
        <f>CONCATENATE("          ", "4327", " - ", "SALES RETURN NON TAXABLE-SCHOO")</f>
        <v xml:space="preserve">          4327 - SALES RETURN NON TAXABLE-SCHOO</v>
      </c>
      <c r="C135" s="11"/>
      <c r="D135" s="2">
        <f t="shared" si="23"/>
        <v>0</v>
      </c>
      <c r="E135" s="2"/>
      <c r="F135" s="19"/>
      <c r="G135" s="2"/>
      <c r="H135" s="2">
        <f>-4.99</f>
        <v>-4.99</v>
      </c>
      <c r="I135" s="2"/>
      <c r="J135" s="19"/>
      <c r="K135" s="2"/>
      <c r="L135" s="2">
        <f t="shared" si="0"/>
        <v>4.99</v>
      </c>
      <c r="M135" s="2"/>
      <c r="N135" s="19">
        <f t="shared" si="1"/>
        <v>-1</v>
      </c>
      <c r="O135" s="11"/>
      <c r="P135" s="2">
        <f>-21.87</f>
        <v>-21.87</v>
      </c>
      <c r="Q135" s="2"/>
      <c r="R135" s="19"/>
      <c r="S135" s="2"/>
      <c r="T135" s="2">
        <f>-4.99</f>
        <v>-4.99</v>
      </c>
      <c r="U135" s="2"/>
      <c r="V135" s="19"/>
      <c r="W135" s="2"/>
      <c r="X135" s="2">
        <f t="shared" si="2"/>
        <v>-16.880000000000003</v>
      </c>
      <c r="Y135" s="2"/>
      <c r="Z135" s="19">
        <f t="shared" si="3"/>
        <v>3.3827655310621245</v>
      </c>
    </row>
    <row r="136" spans="1:26" s="24" customFormat="1" hidden="1" outlineLevel="1" x14ac:dyDescent="0.25">
      <c r="A136" s="44"/>
      <c r="B136" s="11" t="str">
        <f>CONCATENATE("          ", "4331", " - ", "SALES RETURN NON TAXABLE-FOOD")</f>
        <v xml:space="preserve">          4331 - SALES RETURN NON TAXABLE-FOOD</v>
      </c>
      <c r="C136" s="11"/>
      <c r="D136" s="2">
        <f t="shared" si="23"/>
        <v>0</v>
      </c>
      <c r="E136" s="2"/>
      <c r="F136" s="19"/>
      <c r="G136" s="2"/>
      <c r="H136" s="2">
        <f t="shared" ref="H136:H137" si="25">0</f>
        <v>0</v>
      </c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1"/>
      <c r="P136" s="2">
        <f>-12.57</f>
        <v>-12.57</v>
      </c>
      <c r="Q136" s="2"/>
      <c r="R136" s="19"/>
      <c r="S136" s="2"/>
      <c r="T136" s="2">
        <f t="shared" ref="T136:T137" si="26">0</f>
        <v>0</v>
      </c>
      <c r="U136" s="2"/>
      <c r="V136" s="19"/>
      <c r="W136" s="2"/>
      <c r="X136" s="2">
        <f t="shared" si="2"/>
        <v>-12.57</v>
      </c>
      <c r="Y136" s="2"/>
      <c r="Z136" s="19">
        <f t="shared" si="3"/>
        <v>0</v>
      </c>
    </row>
    <row r="137" spans="1:26" s="24" customFormat="1" hidden="1" outlineLevel="1" x14ac:dyDescent="0.25">
      <c r="A137" s="44"/>
      <c r="B137" s="11" t="str">
        <f>CONCATENATE("          ", "4332", " - ", "SALES RETURN NON TAXABLE-JUICE")</f>
        <v xml:space="preserve">          4332 - SALES RETURN NON TAXABLE-JUICE</v>
      </c>
      <c r="C137" s="11"/>
      <c r="D137" s="2">
        <f t="shared" si="23"/>
        <v>0</v>
      </c>
      <c r="E137" s="2"/>
      <c r="F137" s="19"/>
      <c r="G137" s="2"/>
      <c r="H137" s="2">
        <f t="shared" si="25"/>
        <v>0</v>
      </c>
      <c r="I137" s="2"/>
      <c r="J137" s="19"/>
      <c r="K137" s="2"/>
      <c r="L137" s="2">
        <f t="shared" si="0"/>
        <v>0</v>
      </c>
      <c r="M137" s="2"/>
      <c r="N137" s="19">
        <f t="shared" si="1"/>
        <v>0</v>
      </c>
      <c r="O137" s="11"/>
      <c r="P137" s="2">
        <f>-2.79</f>
        <v>-2.79</v>
      </c>
      <c r="Q137" s="2"/>
      <c r="R137" s="19"/>
      <c r="S137" s="2"/>
      <c r="T137" s="2">
        <f t="shared" si="26"/>
        <v>0</v>
      </c>
      <c r="U137" s="2"/>
      <c r="V137" s="19"/>
      <c r="W137" s="2"/>
      <c r="X137" s="2">
        <f t="shared" si="2"/>
        <v>-2.79</v>
      </c>
      <c r="Y137" s="2"/>
      <c r="Z137" s="19">
        <f t="shared" si="3"/>
        <v>0</v>
      </c>
    </row>
    <row r="138" spans="1:26" s="24" customFormat="1" hidden="1" outlineLevel="1" x14ac:dyDescent="0.25">
      <c r="A138" s="44"/>
      <c r="B138" s="11" t="str">
        <f>CONCATENATE("          ", "4340", " - ", "SALES RETURN NON TAXABLE-LOGO")</f>
        <v xml:space="preserve">          4340 - SALES RETURN NON TAXABLE-LOGO</v>
      </c>
      <c r="C138" s="11"/>
      <c r="D138" s="2">
        <f>-24.95</f>
        <v>-24.95</v>
      </c>
      <c r="E138" s="2"/>
      <c r="F138" s="19"/>
      <c r="G138" s="2"/>
      <c r="H138" s="2">
        <f>-123.75</f>
        <v>-123.75</v>
      </c>
      <c r="I138" s="2"/>
      <c r="J138" s="19"/>
      <c r="K138" s="2"/>
      <c r="L138" s="2">
        <f t="shared" si="0"/>
        <v>98.8</v>
      </c>
      <c r="M138" s="2"/>
      <c r="N138" s="19">
        <f t="shared" si="1"/>
        <v>-0.79838383838383831</v>
      </c>
      <c r="O138" s="11"/>
      <c r="P138" s="2">
        <f>-1020.4</f>
        <v>-1020.4</v>
      </c>
      <c r="Q138" s="2"/>
      <c r="R138" s="19"/>
      <c r="S138" s="2"/>
      <c r="T138" s="2">
        <f>-939.02</f>
        <v>-939.02</v>
      </c>
      <c r="U138" s="2"/>
      <c r="V138" s="19"/>
      <c r="W138" s="2"/>
      <c r="X138" s="2">
        <f t="shared" si="2"/>
        <v>-81.38</v>
      </c>
      <c r="Y138" s="2"/>
      <c r="Z138" s="19">
        <f t="shared" si="3"/>
        <v>8.6664820770590609E-2</v>
      </c>
    </row>
    <row r="139" spans="1:26" s="24" customFormat="1" hidden="1" outlineLevel="1" x14ac:dyDescent="0.25">
      <c r="A139" s="44"/>
      <c r="B139" s="11" t="str">
        <f>CONCATENATE("          ", "4341", " - ", "SALES RETURN NON TAXABLE-LOGO")</f>
        <v xml:space="preserve">          4341 - SALES RETURN NON TAXABLE-LOGO</v>
      </c>
      <c r="C139" s="11"/>
      <c r="D139" s="2">
        <f t="shared" ref="D139:D145" si="27">0</f>
        <v>0</v>
      </c>
      <c r="E139" s="2"/>
      <c r="F139" s="19"/>
      <c r="G139" s="2"/>
      <c r="H139" s="2">
        <f>-6.95</f>
        <v>-6.95</v>
      </c>
      <c r="I139" s="2"/>
      <c r="J139" s="19"/>
      <c r="K139" s="2"/>
      <c r="L139" s="2">
        <f t="shared" si="0"/>
        <v>6.95</v>
      </c>
      <c r="M139" s="2"/>
      <c r="N139" s="19">
        <f t="shared" si="1"/>
        <v>-1</v>
      </c>
      <c r="O139" s="11"/>
      <c r="P139" s="2">
        <f>-245.5</f>
        <v>-245.5</v>
      </c>
      <c r="Q139" s="2"/>
      <c r="R139" s="19"/>
      <c r="S139" s="2"/>
      <c r="T139" s="2">
        <f>-257.95</f>
        <v>-257.95</v>
      </c>
      <c r="U139" s="2"/>
      <c r="V139" s="19"/>
      <c r="W139" s="2"/>
      <c r="X139" s="2">
        <f t="shared" si="2"/>
        <v>12.449999999999989</v>
      </c>
      <c r="Y139" s="2"/>
      <c r="Z139" s="19">
        <f t="shared" si="3"/>
        <v>-4.8265167668152698E-2</v>
      </c>
    </row>
    <row r="140" spans="1:26" s="24" customFormat="1" hidden="1" outlineLevel="1" x14ac:dyDescent="0.25">
      <c r="A140" s="44"/>
      <c r="B140" s="11" t="str">
        <f>CONCATENATE("          ", "4342", " - ", "SALES RETURN NON TAXABLE-EVERY")</f>
        <v xml:space="preserve">          4342 - SALES RETURN NON TAXABLE-EVERY</v>
      </c>
      <c r="C140" s="11"/>
      <c r="D140" s="2">
        <f t="shared" si="27"/>
        <v>0</v>
      </c>
      <c r="E140" s="2"/>
      <c r="F140" s="19"/>
      <c r="G140" s="2"/>
      <c r="H140" s="2">
        <f>-19.9</f>
        <v>-19.899999999999999</v>
      </c>
      <c r="I140" s="2"/>
      <c r="J140" s="19"/>
      <c r="K140" s="2"/>
      <c r="L140" s="2">
        <f t="shared" si="0"/>
        <v>19.899999999999999</v>
      </c>
      <c r="M140" s="2"/>
      <c r="N140" s="19">
        <f t="shared" si="1"/>
        <v>-1</v>
      </c>
      <c r="O140" s="11"/>
      <c r="P140" s="2">
        <f>-149.22</f>
        <v>-149.22</v>
      </c>
      <c r="Q140" s="2"/>
      <c r="R140" s="19"/>
      <c r="S140" s="2"/>
      <c r="T140" s="2">
        <f>-103.6</f>
        <v>-103.6</v>
      </c>
      <c r="U140" s="2"/>
      <c r="V140" s="19"/>
      <c r="W140" s="2"/>
      <c r="X140" s="2">
        <f t="shared" si="2"/>
        <v>-45.620000000000005</v>
      </c>
      <c r="Y140" s="2"/>
      <c r="Z140" s="19">
        <f t="shared" si="3"/>
        <v>0.44034749034749043</v>
      </c>
    </row>
    <row r="141" spans="1:26" s="24" customFormat="1" hidden="1" outlineLevel="1" x14ac:dyDescent="0.25">
      <c r="A141" s="44"/>
      <c r="B141" s="11" t="str">
        <f>CONCATENATE("          ", "4346", " - ", "SALES RETURN NON TAXABLE-COIN-")</f>
        <v xml:space="preserve">          4346 - SALES RETURN NON TAXABLE-COIN-</v>
      </c>
      <c r="C141" s="11"/>
      <c r="D141" s="2">
        <f t="shared" si="27"/>
        <v>0</v>
      </c>
      <c r="E141" s="2"/>
      <c r="F141" s="19"/>
      <c r="G141" s="2"/>
      <c r="H141" s="2">
        <f t="shared" ref="H141:H142" si="28">0</f>
        <v>0</v>
      </c>
      <c r="I141" s="2"/>
      <c r="J141" s="19"/>
      <c r="K141" s="2"/>
      <c r="L141" s="2">
        <f t="shared" si="0"/>
        <v>0</v>
      </c>
      <c r="M141" s="2"/>
      <c r="N141" s="19">
        <f t="shared" si="1"/>
        <v>0</v>
      </c>
      <c r="O141" s="11"/>
      <c r="P141" s="2">
        <f>-8.15</f>
        <v>-8.15</v>
      </c>
      <c r="Q141" s="2"/>
      <c r="R141" s="19"/>
      <c r="S141" s="2"/>
      <c r="T141" s="2">
        <f t="shared" ref="T141:T142" si="29">0</f>
        <v>0</v>
      </c>
      <c r="U141" s="2"/>
      <c r="V141" s="19"/>
      <c r="W141" s="2"/>
      <c r="X141" s="2">
        <f t="shared" si="2"/>
        <v>-8.15</v>
      </c>
      <c r="Y141" s="2"/>
      <c r="Z141" s="19">
        <f t="shared" si="3"/>
        <v>0</v>
      </c>
    </row>
    <row r="142" spans="1:26" s="24" customFormat="1" hidden="1" outlineLevel="1" x14ac:dyDescent="0.25">
      <c r="A142" s="44"/>
      <c r="B142" s="11" t="str">
        <f>CONCATENATE("          ", "4347", " - ", "SALES RETURN NON TAXABLE-MISC")</f>
        <v xml:space="preserve">          4347 - SALES RETURN NON TAXABLE-MISC</v>
      </c>
      <c r="C142" s="11"/>
      <c r="D142" s="2">
        <f t="shared" si="27"/>
        <v>0</v>
      </c>
      <c r="E142" s="2"/>
      <c r="F142" s="19"/>
      <c r="G142" s="2"/>
      <c r="H142" s="2">
        <f t="shared" si="28"/>
        <v>0</v>
      </c>
      <c r="I142" s="2"/>
      <c r="J142" s="19"/>
      <c r="K142" s="2"/>
      <c r="L142" s="2">
        <f t="shared" si="0"/>
        <v>0</v>
      </c>
      <c r="M142" s="2"/>
      <c r="N142" s="19">
        <f t="shared" si="1"/>
        <v>0</v>
      </c>
      <c r="O142" s="11"/>
      <c r="P142" s="2">
        <f>-84</f>
        <v>-84</v>
      </c>
      <c r="Q142" s="2"/>
      <c r="R142" s="19"/>
      <c r="S142" s="2"/>
      <c r="T142" s="2">
        <f t="shared" si="29"/>
        <v>0</v>
      </c>
      <c r="U142" s="2"/>
      <c r="V142" s="19"/>
      <c r="W142" s="2"/>
      <c r="X142" s="2">
        <f t="shared" si="2"/>
        <v>-84</v>
      </c>
      <c r="Y142" s="2"/>
      <c r="Z142" s="19">
        <f t="shared" si="3"/>
        <v>0</v>
      </c>
    </row>
    <row r="143" spans="1:26" s="24" customFormat="1" hidden="1" outlineLevel="1" x14ac:dyDescent="0.25">
      <c r="A143" s="44"/>
      <c r="B143" s="11" t="str">
        <f>CONCATENATE("          ", "4381", " - ", "SALES RETURN NON TAXABLE-ELECT")</f>
        <v xml:space="preserve">          4381 - SALES RETURN NON TAXABLE-ELECT</v>
      </c>
      <c r="C143" s="11"/>
      <c r="D143" s="2">
        <f t="shared" si="27"/>
        <v>0</v>
      </c>
      <c r="E143" s="2"/>
      <c r="F143" s="19"/>
      <c r="G143" s="2"/>
      <c r="H143" s="2">
        <f>-59.98</f>
        <v>-59.98</v>
      </c>
      <c r="I143" s="2"/>
      <c r="J143" s="19"/>
      <c r="K143" s="2"/>
      <c r="L143" s="2">
        <f t="shared" si="0"/>
        <v>59.98</v>
      </c>
      <c r="M143" s="2"/>
      <c r="N143" s="19">
        <f t="shared" si="1"/>
        <v>-1</v>
      </c>
      <c r="O143" s="11"/>
      <c r="P143" s="2">
        <f>-1279.84</f>
        <v>-1279.8399999999999</v>
      </c>
      <c r="Q143" s="2"/>
      <c r="R143" s="19"/>
      <c r="S143" s="2"/>
      <c r="T143" s="2">
        <f>-217.85</f>
        <v>-217.85</v>
      </c>
      <c r="U143" s="2"/>
      <c r="V143" s="19"/>
      <c r="W143" s="2"/>
      <c r="X143" s="2">
        <f t="shared" si="2"/>
        <v>-1061.99</v>
      </c>
      <c r="Y143" s="2"/>
      <c r="Z143" s="19">
        <f t="shared" si="3"/>
        <v>4.8748680284599493</v>
      </c>
    </row>
    <row r="144" spans="1:26" s="24" customFormat="1" hidden="1" outlineLevel="1" x14ac:dyDescent="0.25">
      <c r="A144" s="44"/>
      <c r="B144" s="11" t="str">
        <f>CONCATENATE("          ", "4383", " - ", "SALES RETURN NON TAXABLE-COMPU")</f>
        <v xml:space="preserve">          4383 - SALES RETURN NON TAXABLE-COMPU</v>
      </c>
      <c r="C144" s="11"/>
      <c r="D144" s="2">
        <f t="shared" si="27"/>
        <v>0</v>
      </c>
      <c r="E144" s="2"/>
      <c r="F144" s="19"/>
      <c r="G144" s="2"/>
      <c r="H144" s="2">
        <f>-34.98</f>
        <v>-34.979999999999997</v>
      </c>
      <c r="I144" s="2"/>
      <c r="J144" s="19"/>
      <c r="K144" s="2"/>
      <c r="L144" s="2">
        <f t="shared" si="0"/>
        <v>34.979999999999997</v>
      </c>
      <c r="M144" s="2"/>
      <c r="N144" s="19">
        <f t="shared" si="1"/>
        <v>-1</v>
      </c>
      <c r="O144" s="11"/>
      <c r="P144" s="2">
        <f>-49.98</f>
        <v>-49.98</v>
      </c>
      <c r="Q144" s="2"/>
      <c r="R144" s="19"/>
      <c r="S144" s="2"/>
      <c r="T144" s="2">
        <f>-153.92</f>
        <v>-153.91999999999999</v>
      </c>
      <c r="U144" s="2"/>
      <c r="V144" s="19"/>
      <c r="W144" s="2"/>
      <c r="X144" s="2">
        <f t="shared" si="2"/>
        <v>103.94</v>
      </c>
      <c r="Y144" s="2"/>
      <c r="Z144" s="19">
        <f t="shared" si="3"/>
        <v>-0.67528586278586278</v>
      </c>
    </row>
    <row r="145" spans="1:26" s="24" customFormat="1" hidden="1" outlineLevel="1" x14ac:dyDescent="0.25">
      <c r="A145" s="44"/>
      <c r="B145" s="11" t="str">
        <f>CONCATENATE("          ", "4386", " - ", "SALES RETURN NON TAXABLE-COMPU")</f>
        <v xml:space="preserve">          4386 - SALES RETURN NON TAXABLE-COMPU</v>
      </c>
      <c r="C145" s="11"/>
      <c r="D145" s="2">
        <f t="shared" si="27"/>
        <v>0</v>
      </c>
      <c r="E145" s="2"/>
      <c r="F145" s="19"/>
      <c r="G145" s="2"/>
      <c r="H145" s="2">
        <f>0</f>
        <v>0</v>
      </c>
      <c r="I145" s="2"/>
      <c r="J145" s="19"/>
      <c r="K145" s="2"/>
      <c r="L145" s="2">
        <f t="shared" si="0"/>
        <v>0</v>
      </c>
      <c r="M145" s="2"/>
      <c r="N145" s="19">
        <f t="shared" si="1"/>
        <v>0</v>
      </c>
      <c r="O145" s="11"/>
      <c r="P145" s="2">
        <f>-104.96</f>
        <v>-104.96</v>
      </c>
      <c r="Q145" s="2"/>
      <c r="R145" s="19"/>
      <c r="S145" s="2"/>
      <c r="T145" s="2">
        <f>-209.95</f>
        <v>-209.95</v>
      </c>
      <c r="U145" s="2"/>
      <c r="V145" s="19"/>
      <c r="W145" s="2"/>
      <c r="X145" s="2">
        <f t="shared" si="2"/>
        <v>104.99</v>
      </c>
      <c r="Y145" s="2"/>
      <c r="Z145" s="19">
        <f t="shared" si="3"/>
        <v>-0.50007144558228145</v>
      </c>
    </row>
    <row r="146" spans="1:26" x14ac:dyDescent="0.25">
      <c r="A146" s="9"/>
      <c r="B146" s="10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collapsed="1" x14ac:dyDescent="0.25">
      <c r="A147" s="10"/>
      <c r="B147" s="29" t="s">
        <v>8</v>
      </c>
      <c r="C147" s="10"/>
      <c r="D147" s="4">
        <f>SUM(OSRRefD16x_0)</f>
        <v>529974.31999999983</v>
      </c>
      <c r="E147" s="4"/>
      <c r="F147" s="12">
        <f t="shared" ref="F147:F207" si="30">IF(D$12=0,0,D147/D$12)</f>
        <v>1.063761501625506</v>
      </c>
      <c r="G147" s="4"/>
      <c r="H147" s="4">
        <f>SUM(OSRRefH16x_0)</f>
        <v>1171081.1000000001</v>
      </c>
      <c r="I147" s="4"/>
      <c r="J147" s="12">
        <f t="shared" ref="J147:J207" si="31">IF(H$12=0,0,H147/H$12)</f>
        <v>0.34174299045099649</v>
      </c>
      <c r="K147" s="4"/>
      <c r="L147" s="4">
        <f t="shared" ref="L147:L207" si="32">+D147-H147</f>
        <v>-641106.78000000026</v>
      </c>
      <c r="M147" s="4"/>
      <c r="N147" s="12">
        <f t="shared" ref="N147:N207" si="33">IF(H147=0,0,L147/H147)</f>
        <v>-0.54744866089974487</v>
      </c>
      <c r="O147" s="10"/>
      <c r="P147" s="4">
        <f>SUM(OSRRefP16x_0)</f>
        <v>12154914.630000001</v>
      </c>
      <c r="Q147" s="4"/>
      <c r="R147" s="12">
        <f t="shared" ref="R147:R207" si="34">IF(P$12=0,0,P147/P$12)</f>
        <v>0.44129640290861394</v>
      </c>
      <c r="S147" s="4"/>
      <c r="T147" s="4">
        <f>SUM(OSRRefT16x_0)</f>
        <v>13821472.549999995</v>
      </c>
      <c r="U147" s="4"/>
      <c r="V147" s="12">
        <f t="shared" ref="V147:V207" si="35">IF(T$12=0,0,T147/T$12)</f>
        <v>0.42816881875138746</v>
      </c>
      <c r="W147" s="4"/>
      <c r="X147" s="4">
        <f t="shared" ref="X147:X207" si="36">+P147-T147</f>
        <v>-1666557.9199999943</v>
      </c>
      <c r="Y147" s="4"/>
      <c r="Z147" s="12">
        <f t="shared" ref="Z147:Z207" si="37">IF(T147=0,0,X147/T147)</f>
        <v>-0.12057745033831398</v>
      </c>
    </row>
    <row r="148" spans="1:26" s="24" customFormat="1" hidden="1" outlineLevel="1" x14ac:dyDescent="0.25">
      <c r="A148" s="44"/>
      <c r="B148" s="11" t="str">
        <f>CONCATENATE("          ", "5000", " - ", "PURCHASES @ COST")</f>
        <v xml:space="preserve">          5000 - PURCHASES @ COST</v>
      </c>
      <c r="C148" s="11"/>
      <c r="D148" s="2"/>
      <c r="E148" s="2"/>
      <c r="F148" s="19">
        <f t="shared" si="30"/>
        <v>0</v>
      </c>
      <c r="G148" s="2"/>
      <c r="H148" s="2">
        <v>1020</v>
      </c>
      <c r="I148" s="2"/>
      <c r="J148" s="19">
        <f t="shared" si="31"/>
        <v>2.9765474847131971E-4</v>
      </c>
      <c r="K148" s="2"/>
      <c r="L148" s="2">
        <f t="shared" si="32"/>
        <v>-1020</v>
      </c>
      <c r="M148" s="2"/>
      <c r="N148" s="19">
        <f t="shared" si="33"/>
        <v>-1</v>
      </c>
      <c r="O148" s="11"/>
      <c r="P148" s="2"/>
      <c r="Q148" s="2"/>
      <c r="R148" s="19">
        <f t="shared" si="34"/>
        <v>0</v>
      </c>
      <c r="S148" s="2"/>
      <c r="T148" s="2">
        <v>1020</v>
      </c>
      <c r="U148" s="2"/>
      <c r="V148" s="19">
        <f t="shared" si="35"/>
        <v>3.1598094453865944E-5</v>
      </c>
      <c r="W148" s="2"/>
      <c r="X148" s="2">
        <f t="shared" si="36"/>
        <v>-1020</v>
      </c>
      <c r="Y148" s="2"/>
      <c r="Z148" s="19">
        <f t="shared" si="37"/>
        <v>-1</v>
      </c>
    </row>
    <row r="149" spans="1:26" s="24" customFormat="1" hidden="1" outlineLevel="1" x14ac:dyDescent="0.25">
      <c r="A149" s="44"/>
      <c r="B149" s="11" t="str">
        <f>CONCATENATE("          ", "5001", " - ", "PURCHASES @ COST-NEW TEXT")</f>
        <v xml:space="preserve">          5001 - PURCHASES @ COST-NEW TEXT</v>
      </c>
      <c r="C149" s="11"/>
      <c r="D149" s="2">
        <v>-24912.870000000003</v>
      </c>
      <c r="E149" s="2"/>
      <c r="F149" s="19">
        <f t="shared" si="30"/>
        <v>-5.0004973827790435E-2</v>
      </c>
      <c r="G149" s="2"/>
      <c r="H149" s="2">
        <v>-221136.5</v>
      </c>
      <c r="I149" s="2"/>
      <c r="J149" s="19">
        <f t="shared" si="31"/>
        <v>-6.4531695377772536E-2</v>
      </c>
      <c r="K149" s="2"/>
      <c r="L149" s="2">
        <f t="shared" si="32"/>
        <v>196223.63</v>
      </c>
      <c r="M149" s="2"/>
      <c r="N149" s="19">
        <f t="shared" si="33"/>
        <v>-0.88734166453751417</v>
      </c>
      <c r="O149" s="11"/>
      <c r="P149" s="2">
        <v>1569752.25</v>
      </c>
      <c r="Q149" s="2"/>
      <c r="R149" s="19">
        <f t="shared" si="34"/>
        <v>5.6991434532412115E-2</v>
      </c>
      <c r="S149" s="2"/>
      <c r="T149" s="2">
        <v>2325728.42</v>
      </c>
      <c r="U149" s="2"/>
      <c r="V149" s="19">
        <f t="shared" si="35"/>
        <v>7.204763361686313E-2</v>
      </c>
      <c r="W149" s="2"/>
      <c r="X149" s="2">
        <f t="shared" si="36"/>
        <v>-755976.16999999993</v>
      </c>
      <c r="Y149" s="2"/>
      <c r="Z149" s="19">
        <f t="shared" si="37"/>
        <v>-0.32504920329433817</v>
      </c>
    </row>
    <row r="150" spans="1:26" s="24" customFormat="1" hidden="1" outlineLevel="1" x14ac:dyDescent="0.25">
      <c r="A150" s="44"/>
      <c r="B150" s="11" t="str">
        <f>CONCATENATE("          ", "5002", " - ", "PURCHASES @ COST-USED TEXT")</f>
        <v xml:space="preserve">          5002 - PURCHASES @ COST-USED TEXT</v>
      </c>
      <c r="C150" s="11"/>
      <c r="D150" s="2">
        <v>-3117.33</v>
      </c>
      <c r="E150" s="2"/>
      <c r="F150" s="19">
        <f t="shared" si="30"/>
        <v>-6.2570874035221928E-3</v>
      </c>
      <c r="G150" s="2"/>
      <c r="H150" s="2">
        <v>-70912.89</v>
      </c>
      <c r="I150" s="2"/>
      <c r="J150" s="19">
        <f t="shared" si="31"/>
        <v>-2.0693684741494474E-2</v>
      </c>
      <c r="K150" s="2"/>
      <c r="L150" s="2">
        <f t="shared" si="32"/>
        <v>67795.56</v>
      </c>
      <c r="M150" s="2"/>
      <c r="N150" s="19">
        <f t="shared" si="33"/>
        <v>-0.95604000908720543</v>
      </c>
      <c r="O150" s="11"/>
      <c r="P150" s="2">
        <v>595582.78</v>
      </c>
      <c r="Q150" s="2"/>
      <c r="R150" s="19">
        <f t="shared" si="34"/>
        <v>2.1623231955872024E-2</v>
      </c>
      <c r="S150" s="2"/>
      <c r="T150" s="2">
        <v>408043.55</v>
      </c>
      <c r="U150" s="2"/>
      <c r="V150" s="19">
        <f t="shared" si="35"/>
        <v>1.264058689626546E-2</v>
      </c>
      <c r="W150" s="2"/>
      <c r="X150" s="2">
        <f t="shared" si="36"/>
        <v>187539.23000000004</v>
      </c>
      <c r="Y150" s="2"/>
      <c r="Z150" s="19">
        <f t="shared" si="37"/>
        <v>0.45960591706448994</v>
      </c>
    </row>
    <row r="151" spans="1:26" s="24" customFormat="1" hidden="1" outlineLevel="1" x14ac:dyDescent="0.25">
      <c r="A151" s="44"/>
      <c r="B151" s="11" t="str">
        <f>CONCATENATE("          ", "5003", " - ", "PURCHASES @ COST-RENTAL TEXT")</f>
        <v xml:space="preserve">          5003 - PURCHASES @ COST-RENTAL TEXT</v>
      </c>
      <c r="C151" s="11"/>
      <c r="D151" s="2"/>
      <c r="E151" s="2"/>
      <c r="F151" s="19">
        <f t="shared" si="30"/>
        <v>0</v>
      </c>
      <c r="G151" s="2"/>
      <c r="H151" s="2">
        <v>811.08</v>
      </c>
      <c r="I151" s="2"/>
      <c r="J151" s="19">
        <f t="shared" si="31"/>
        <v>2.3668805234325295E-4</v>
      </c>
      <c r="K151" s="2"/>
      <c r="L151" s="2">
        <f t="shared" si="32"/>
        <v>-811.08</v>
      </c>
      <c r="M151" s="2"/>
      <c r="N151" s="19">
        <f t="shared" si="33"/>
        <v>-1</v>
      </c>
      <c r="O151" s="11"/>
      <c r="P151" s="2">
        <v>-78.400000000000006</v>
      </c>
      <c r="Q151" s="2"/>
      <c r="R151" s="19">
        <f t="shared" si="34"/>
        <v>-2.8463908666740947E-6</v>
      </c>
      <c r="S151" s="2"/>
      <c r="T151" s="2">
        <v>15629.58</v>
      </c>
      <c r="U151" s="2"/>
      <c r="V151" s="19">
        <f t="shared" si="35"/>
        <v>4.8418131873946476E-4</v>
      </c>
      <c r="W151" s="2"/>
      <c r="X151" s="2">
        <f t="shared" si="36"/>
        <v>-15707.98</v>
      </c>
      <c r="Y151" s="2"/>
      <c r="Z151" s="19">
        <f t="shared" si="37"/>
        <v>-1.0050161296720705</v>
      </c>
    </row>
    <row r="152" spans="1:26" s="24" customFormat="1" hidden="1" outlineLevel="1" x14ac:dyDescent="0.25">
      <c r="A152" s="44"/>
      <c r="B152" s="11" t="str">
        <f>CONCATENATE("          ", "5004", " - ", "PURCHASES @ COST-DIGITAL TEXT")</f>
        <v xml:space="preserve">          5004 - PURCHASES @ COST-DIGITAL TEXT</v>
      </c>
      <c r="C152" s="11"/>
      <c r="D152" s="2">
        <v>54465.03</v>
      </c>
      <c r="E152" s="2"/>
      <c r="F152" s="19">
        <f t="shared" si="30"/>
        <v>0.10932190468941637</v>
      </c>
      <c r="G152" s="2"/>
      <c r="H152" s="2">
        <v>-10175.74</v>
      </c>
      <c r="I152" s="2"/>
      <c r="J152" s="19">
        <f t="shared" si="31"/>
        <v>-2.9694679707936733E-3</v>
      </c>
      <c r="K152" s="2"/>
      <c r="L152" s="2">
        <f t="shared" si="32"/>
        <v>64640.77</v>
      </c>
      <c r="M152" s="2"/>
      <c r="N152" s="19">
        <f t="shared" si="33"/>
        <v>-6.352439232920652</v>
      </c>
      <c r="O152" s="11"/>
      <c r="P152" s="2">
        <v>492787.91</v>
      </c>
      <c r="Q152" s="2"/>
      <c r="R152" s="19">
        <f t="shared" si="34"/>
        <v>1.7891160793768054E-2</v>
      </c>
      <c r="S152" s="2"/>
      <c r="T152" s="2">
        <v>483690.86000000004</v>
      </c>
      <c r="U152" s="2"/>
      <c r="V152" s="19">
        <f t="shared" si="35"/>
        <v>1.4984028902697694E-2</v>
      </c>
      <c r="W152" s="2"/>
      <c r="X152" s="2">
        <f t="shared" si="36"/>
        <v>9097.0499999999302</v>
      </c>
      <c r="Y152" s="2"/>
      <c r="Z152" s="19">
        <f t="shared" si="37"/>
        <v>1.8807570604083626E-2</v>
      </c>
    </row>
    <row r="153" spans="1:26" s="24" customFormat="1" hidden="1" outlineLevel="1" x14ac:dyDescent="0.25">
      <c r="A153" s="44"/>
      <c r="B153" s="11" t="str">
        <f>CONCATENATE("          ", "5011", " - ", "PURCHASES @ COST-NO VALUE TEXT")</f>
        <v xml:space="preserve">          5011 - PURCHASES @ COST-NO VALUE TEXT</v>
      </c>
      <c r="C153" s="11"/>
      <c r="D153" s="2">
        <v>42</v>
      </c>
      <c r="E153" s="2"/>
      <c r="F153" s="19">
        <f t="shared" si="30"/>
        <v>8.4302165939419981E-5</v>
      </c>
      <c r="G153" s="2"/>
      <c r="H153" s="2">
        <v>339</v>
      </c>
      <c r="I153" s="2"/>
      <c r="J153" s="19">
        <f t="shared" si="31"/>
        <v>9.8926431109585674E-5</v>
      </c>
      <c r="K153" s="2"/>
      <c r="L153" s="2">
        <f t="shared" si="32"/>
        <v>-297</v>
      </c>
      <c r="M153" s="2"/>
      <c r="N153" s="19">
        <f t="shared" si="33"/>
        <v>-0.87610619469026552</v>
      </c>
      <c r="O153" s="11"/>
      <c r="P153" s="2">
        <v>6363</v>
      </c>
      <c r="Q153" s="2"/>
      <c r="R153" s="19">
        <f t="shared" si="34"/>
        <v>2.3101511587560284E-4</v>
      </c>
      <c r="S153" s="2"/>
      <c r="T153" s="2">
        <v>3507</v>
      </c>
      <c r="U153" s="2"/>
      <c r="V153" s="19">
        <f t="shared" si="35"/>
        <v>1.0864168357814495E-4</v>
      </c>
      <c r="W153" s="2"/>
      <c r="X153" s="2">
        <f t="shared" si="36"/>
        <v>2856</v>
      </c>
      <c r="Y153" s="2"/>
      <c r="Z153" s="19">
        <f t="shared" si="37"/>
        <v>0.81437125748502992</v>
      </c>
    </row>
    <row r="154" spans="1:26" s="24" customFormat="1" hidden="1" outlineLevel="1" x14ac:dyDescent="0.25">
      <c r="A154" s="44"/>
      <c r="B154" s="11" t="str">
        <f>CONCATENATE("          ", "5013", " - ", "PURCHASES @ COST-TRADE BOOKS")</f>
        <v xml:space="preserve">          5013 - PURCHASES @ COST-TRADE BOOKS</v>
      </c>
      <c r="C154" s="11"/>
      <c r="D154" s="2">
        <v>-3150.69</v>
      </c>
      <c r="E154" s="2"/>
      <c r="F154" s="19">
        <f t="shared" si="30"/>
        <v>-6.3240474096112184E-3</v>
      </c>
      <c r="G154" s="2"/>
      <c r="H154" s="2">
        <v>501.57</v>
      </c>
      <c r="I154" s="2"/>
      <c r="J154" s="19">
        <f t="shared" si="31"/>
        <v>1.4636734528505866E-4</v>
      </c>
      <c r="K154" s="2"/>
      <c r="L154" s="2">
        <f t="shared" si="32"/>
        <v>-3652.26</v>
      </c>
      <c r="M154" s="2"/>
      <c r="N154" s="19">
        <f t="shared" si="33"/>
        <v>-7.2816556014115683</v>
      </c>
      <c r="O154" s="11"/>
      <c r="P154" s="2">
        <v>3197.85</v>
      </c>
      <c r="Q154" s="2"/>
      <c r="R154" s="19">
        <f t="shared" si="34"/>
        <v>1.161011611351244E-4</v>
      </c>
      <c r="S154" s="2"/>
      <c r="T154" s="2">
        <v>6141.67</v>
      </c>
      <c r="U154" s="2"/>
      <c r="V154" s="19">
        <f t="shared" si="35"/>
        <v>1.9025987133772042E-4</v>
      </c>
      <c r="W154" s="2"/>
      <c r="X154" s="2">
        <f t="shared" si="36"/>
        <v>-2943.82</v>
      </c>
      <c r="Y154" s="2"/>
      <c r="Z154" s="19">
        <f t="shared" si="37"/>
        <v>-0.47931914283899985</v>
      </c>
    </row>
    <row r="155" spans="1:26" s="24" customFormat="1" hidden="1" outlineLevel="1" x14ac:dyDescent="0.25">
      <c r="A155" s="44"/>
      <c r="B155" s="11" t="str">
        <f>CONCATENATE("          ", "5014", " - ", "PURCHASES @ COST-REMAINDERS")</f>
        <v xml:space="preserve">          5014 - PURCHASES @ COST-REMAINDERS</v>
      </c>
      <c r="C155" s="11"/>
      <c r="D155" s="2"/>
      <c r="E155" s="2"/>
      <c r="F155" s="19">
        <f t="shared" si="30"/>
        <v>0</v>
      </c>
      <c r="G155" s="2"/>
      <c r="H155" s="2">
        <v>64.849999999999994</v>
      </c>
      <c r="I155" s="2"/>
      <c r="J155" s="19">
        <f t="shared" si="31"/>
        <v>1.8924421998397137E-5</v>
      </c>
      <c r="K155" s="2"/>
      <c r="L155" s="2">
        <f t="shared" si="32"/>
        <v>-64.849999999999994</v>
      </c>
      <c r="M155" s="2"/>
      <c r="N155" s="19">
        <f t="shared" si="33"/>
        <v>-1</v>
      </c>
      <c r="O155" s="11"/>
      <c r="P155" s="2">
        <v>615.07000000000005</v>
      </c>
      <c r="Q155" s="2"/>
      <c r="R155" s="19">
        <f t="shared" si="34"/>
        <v>2.2330735081189228E-5</v>
      </c>
      <c r="S155" s="2"/>
      <c r="T155" s="2">
        <v>1122.1600000000001</v>
      </c>
      <c r="U155" s="2"/>
      <c r="V155" s="19">
        <f t="shared" si="35"/>
        <v>3.4762860463088439E-5</v>
      </c>
      <c r="W155" s="2"/>
      <c r="X155" s="2">
        <f t="shared" si="36"/>
        <v>-507.09000000000003</v>
      </c>
      <c r="Y155" s="2"/>
      <c r="Z155" s="19">
        <f t="shared" si="37"/>
        <v>-0.45188743138233406</v>
      </c>
    </row>
    <row r="156" spans="1:26" s="24" customFormat="1" hidden="1" outlineLevel="1" x14ac:dyDescent="0.25">
      <c r="A156" s="44"/>
      <c r="B156" s="11" t="str">
        <f>CONCATENATE("          ", "5017", " - ", "PURCHASES @ COST-DORM/HOUSEWAR")</f>
        <v xml:space="preserve">          5017 - PURCHASES @ COST-DORM/HOUSEWAR</v>
      </c>
      <c r="C156" s="11"/>
      <c r="D156" s="2"/>
      <c r="E156" s="2"/>
      <c r="F156" s="19">
        <f t="shared" si="30"/>
        <v>0</v>
      </c>
      <c r="G156" s="2"/>
      <c r="H156" s="2"/>
      <c r="I156" s="2"/>
      <c r="J156" s="19">
        <f t="shared" si="31"/>
        <v>0</v>
      </c>
      <c r="K156" s="2"/>
      <c r="L156" s="2">
        <f t="shared" si="32"/>
        <v>0</v>
      </c>
      <c r="M156" s="2"/>
      <c r="N156" s="19">
        <f t="shared" si="33"/>
        <v>0</v>
      </c>
      <c r="O156" s="11"/>
      <c r="P156" s="2">
        <v>14.46</v>
      </c>
      <c r="Q156" s="2"/>
      <c r="R156" s="19">
        <f t="shared" si="34"/>
        <v>5.249848460727986E-7</v>
      </c>
      <c r="S156" s="2"/>
      <c r="T156" s="2">
        <v>239.9</v>
      </c>
      <c r="U156" s="2"/>
      <c r="V156" s="19">
        <f t="shared" si="35"/>
        <v>7.4317479014533722E-6</v>
      </c>
      <c r="W156" s="2"/>
      <c r="X156" s="2">
        <f t="shared" si="36"/>
        <v>-225.44</v>
      </c>
      <c r="Y156" s="2"/>
      <c r="Z156" s="19">
        <f t="shared" si="37"/>
        <v>-0.93972488536890364</v>
      </c>
    </row>
    <row r="157" spans="1:26" s="24" customFormat="1" hidden="1" outlineLevel="1" x14ac:dyDescent="0.25">
      <c r="A157" s="44"/>
      <c r="B157" s="11" t="str">
        <f>CONCATENATE("          ", "5018", " - ", "PURCHASES @ COST-STUDY GUIDES")</f>
        <v xml:space="preserve">          5018 - PURCHASES @ COST-STUDY GUIDES</v>
      </c>
      <c r="C157" s="11"/>
      <c r="D157" s="2">
        <v>-2582.4699999999998</v>
      </c>
      <c r="E157" s="2"/>
      <c r="F157" s="19">
        <f t="shared" si="30"/>
        <v>-5.1835193922279508E-3</v>
      </c>
      <c r="G157" s="2"/>
      <c r="H157" s="2"/>
      <c r="I157" s="2"/>
      <c r="J157" s="19">
        <f t="shared" si="31"/>
        <v>0</v>
      </c>
      <c r="K157" s="2"/>
      <c r="L157" s="2">
        <f t="shared" si="32"/>
        <v>-2582.4699999999998</v>
      </c>
      <c r="M157" s="2"/>
      <c r="N157" s="19">
        <f t="shared" si="33"/>
        <v>0</v>
      </c>
      <c r="O157" s="11"/>
      <c r="P157" s="2">
        <v>-205.14</v>
      </c>
      <c r="Q157" s="2"/>
      <c r="R157" s="19">
        <f t="shared" si="34"/>
        <v>-7.4478140610908639E-6</v>
      </c>
      <c r="S157" s="2"/>
      <c r="T157" s="2">
        <v>2393.92</v>
      </c>
      <c r="U157" s="2"/>
      <c r="V157" s="19">
        <f t="shared" si="35"/>
        <v>7.4160108112743877E-5</v>
      </c>
      <c r="W157" s="2"/>
      <c r="X157" s="2">
        <f t="shared" si="36"/>
        <v>-2599.06</v>
      </c>
      <c r="Y157" s="2"/>
      <c r="Z157" s="19">
        <f t="shared" si="37"/>
        <v>-1.0856920866194359</v>
      </c>
    </row>
    <row r="158" spans="1:26" s="24" customFormat="1" hidden="1" outlineLevel="1" x14ac:dyDescent="0.25">
      <c r="A158" s="44"/>
      <c r="B158" s="11" t="str">
        <f>CONCATENATE("          ", "5025", " - ", "PURCHASES @ COST-TEST FORMS")</f>
        <v xml:space="preserve">          5025 - PURCHASES @ COST-TEST FORMS</v>
      </c>
      <c r="C158" s="11"/>
      <c r="D158" s="2"/>
      <c r="E158" s="2"/>
      <c r="F158" s="19">
        <f t="shared" si="30"/>
        <v>0</v>
      </c>
      <c r="G158" s="2"/>
      <c r="H158" s="2">
        <v>3255</v>
      </c>
      <c r="I158" s="2"/>
      <c r="J158" s="19">
        <f t="shared" si="31"/>
        <v>9.4986882968053498E-4</v>
      </c>
      <c r="K158" s="2"/>
      <c r="L158" s="2">
        <f t="shared" si="32"/>
        <v>-3255</v>
      </c>
      <c r="M158" s="2"/>
      <c r="N158" s="19">
        <f t="shared" si="33"/>
        <v>-1</v>
      </c>
      <c r="O158" s="11"/>
      <c r="P158" s="2">
        <v>26400.390000000003</v>
      </c>
      <c r="Q158" s="2"/>
      <c r="R158" s="19">
        <f t="shared" si="34"/>
        <v>9.5849271648767987E-4</v>
      </c>
      <c r="S158" s="2"/>
      <c r="T158" s="2">
        <v>19570.849999999999</v>
      </c>
      <c r="U158" s="2"/>
      <c r="V158" s="19">
        <f t="shared" si="35"/>
        <v>6.0627604592396298E-4</v>
      </c>
      <c r="W158" s="2"/>
      <c r="X158" s="2">
        <f t="shared" si="36"/>
        <v>6829.5400000000045</v>
      </c>
      <c r="Y158" s="2"/>
      <c r="Z158" s="19">
        <f t="shared" si="37"/>
        <v>0.34896491465623647</v>
      </c>
    </row>
    <row r="159" spans="1:26" s="24" customFormat="1" hidden="1" outlineLevel="1" x14ac:dyDescent="0.25">
      <c r="A159" s="44"/>
      <c r="B159" s="11" t="str">
        <f>CONCATENATE("          ", "5026", " - ", "PURCHASES @ COST-WRITING INSTR")</f>
        <v xml:space="preserve">          5026 - PURCHASES @ COST-WRITING INSTR</v>
      </c>
      <c r="C159" s="11"/>
      <c r="D159" s="2">
        <v>2463.3000000000002</v>
      </c>
      <c r="E159" s="2"/>
      <c r="F159" s="19">
        <f t="shared" si="30"/>
        <v>4.9443220323469829E-3</v>
      </c>
      <c r="G159" s="2"/>
      <c r="H159" s="2">
        <v>-394.84</v>
      </c>
      <c r="I159" s="2"/>
      <c r="J159" s="19">
        <f t="shared" si="31"/>
        <v>-1.1522156949648614E-4</v>
      </c>
      <c r="K159" s="2"/>
      <c r="L159" s="2">
        <f t="shared" si="32"/>
        <v>2858.1400000000003</v>
      </c>
      <c r="M159" s="2"/>
      <c r="N159" s="19">
        <f t="shared" si="33"/>
        <v>-7.2387296119947333</v>
      </c>
      <c r="O159" s="11"/>
      <c r="P159" s="2">
        <v>51434.57</v>
      </c>
      <c r="Q159" s="2"/>
      <c r="R159" s="19">
        <f t="shared" si="34"/>
        <v>1.8673838045830278E-3</v>
      </c>
      <c r="S159" s="2"/>
      <c r="T159" s="2">
        <v>49629.61</v>
      </c>
      <c r="U159" s="2"/>
      <c r="V159" s="19">
        <f t="shared" si="35"/>
        <v>1.5374520632240487E-3</v>
      </c>
      <c r="W159" s="2"/>
      <c r="X159" s="2">
        <f t="shared" si="36"/>
        <v>1804.9599999999991</v>
      </c>
      <c r="Y159" s="2"/>
      <c r="Z159" s="19">
        <f t="shared" si="37"/>
        <v>3.6368611399525387E-2</v>
      </c>
    </row>
    <row r="160" spans="1:26" s="24" customFormat="1" hidden="1" outlineLevel="1" x14ac:dyDescent="0.25">
      <c r="A160" s="44"/>
      <c r="B160" s="11" t="str">
        <f>CONCATENATE("          ", "5027", " - ", "PURCHASES @ COST-SCHOOL SUPPLI")</f>
        <v xml:space="preserve">          5027 - PURCHASES @ COST-SCHOOL SUPPLI</v>
      </c>
      <c r="C160" s="11"/>
      <c r="D160" s="2">
        <v>6003.13</v>
      </c>
      <c r="E160" s="2"/>
      <c r="F160" s="19">
        <f t="shared" si="30"/>
        <v>1.2049449081331197E-2</v>
      </c>
      <c r="G160" s="2"/>
      <c r="H160" s="2">
        <v>5943.8</v>
      </c>
      <c r="I160" s="2"/>
      <c r="J160" s="19">
        <f t="shared" si="31"/>
        <v>1.7345100921214022E-3</v>
      </c>
      <c r="K160" s="2"/>
      <c r="L160" s="2">
        <f t="shared" si="32"/>
        <v>59.329999999999927</v>
      </c>
      <c r="M160" s="2"/>
      <c r="N160" s="19">
        <f t="shared" si="33"/>
        <v>9.9818298058480977E-3</v>
      </c>
      <c r="O160" s="11"/>
      <c r="P160" s="2">
        <v>143608.17000000001</v>
      </c>
      <c r="Q160" s="2"/>
      <c r="R160" s="19">
        <f t="shared" si="34"/>
        <v>5.2138390748441418E-3</v>
      </c>
      <c r="S160" s="2"/>
      <c r="T160" s="2">
        <v>143366.32</v>
      </c>
      <c r="U160" s="2"/>
      <c r="V160" s="19">
        <f t="shared" si="35"/>
        <v>4.4412769812384022E-3</v>
      </c>
      <c r="W160" s="2"/>
      <c r="X160" s="2">
        <f t="shared" si="36"/>
        <v>241.85000000000582</v>
      </c>
      <c r="Y160" s="2"/>
      <c r="Z160" s="19">
        <f t="shared" si="37"/>
        <v>1.6869373504181861E-3</v>
      </c>
    </row>
    <row r="161" spans="1:26" s="24" customFormat="1" hidden="1" outlineLevel="1" x14ac:dyDescent="0.25">
      <c r="A161" s="44"/>
      <c r="B161" s="11" t="str">
        <f>CONCATENATE("          ", "5028", " - ", "PURCHASES @ COST-ART/TECH")</f>
        <v xml:space="preserve">          5028 - PURCHASES @ COST-ART/TECH</v>
      </c>
      <c r="C161" s="11"/>
      <c r="D161" s="2">
        <v>8617.84</v>
      </c>
      <c r="E161" s="2"/>
      <c r="F161" s="19">
        <f t="shared" si="30"/>
        <v>1.729768042188979E-2</v>
      </c>
      <c r="G161" s="2"/>
      <c r="H161" s="2">
        <v>11220.15</v>
      </c>
      <c r="I161" s="2"/>
      <c r="J161" s="19">
        <f t="shared" si="31"/>
        <v>3.2742460059416449E-3</v>
      </c>
      <c r="K161" s="2"/>
      <c r="L161" s="2">
        <f t="shared" si="32"/>
        <v>-2602.3099999999995</v>
      </c>
      <c r="M161" s="2"/>
      <c r="N161" s="19">
        <f t="shared" si="33"/>
        <v>-0.23193183691840122</v>
      </c>
      <c r="O161" s="11"/>
      <c r="P161" s="2">
        <v>159687.99</v>
      </c>
      <c r="Q161" s="2"/>
      <c r="R161" s="19">
        <f t="shared" si="34"/>
        <v>5.797633115478879E-3</v>
      </c>
      <c r="S161" s="2"/>
      <c r="T161" s="2">
        <v>175997.88</v>
      </c>
      <c r="U161" s="2"/>
      <c r="V161" s="19">
        <f t="shared" si="35"/>
        <v>5.4521545450197679E-3</v>
      </c>
      <c r="W161" s="2"/>
      <c r="X161" s="2">
        <f t="shared" si="36"/>
        <v>-16309.890000000014</v>
      </c>
      <c r="Y161" s="2"/>
      <c r="Z161" s="19">
        <f t="shared" si="37"/>
        <v>-9.2670945809120053E-2</v>
      </c>
    </row>
    <row r="162" spans="1:26" s="24" customFormat="1" hidden="1" outlineLevel="1" x14ac:dyDescent="0.25">
      <c r="A162" s="44"/>
      <c r="B162" s="11" t="str">
        <f>CONCATENATE("          ", "5031", " - ", "PURCHASES @ COST-FOOD")</f>
        <v xml:space="preserve">          5031 - PURCHASES @ COST-FOOD</v>
      </c>
      <c r="C162" s="11"/>
      <c r="D162" s="2"/>
      <c r="E162" s="2"/>
      <c r="F162" s="19">
        <f t="shared" si="30"/>
        <v>0</v>
      </c>
      <c r="G162" s="2"/>
      <c r="H162" s="2">
        <v>4301.16</v>
      </c>
      <c r="I162" s="2"/>
      <c r="J162" s="19">
        <f t="shared" si="31"/>
        <v>1.2551575469950014E-3</v>
      </c>
      <c r="K162" s="2"/>
      <c r="L162" s="2">
        <f t="shared" si="32"/>
        <v>-4301.16</v>
      </c>
      <c r="M162" s="2"/>
      <c r="N162" s="19">
        <f t="shared" si="33"/>
        <v>-1</v>
      </c>
      <c r="O162" s="11"/>
      <c r="P162" s="2">
        <v>33239.879999999997</v>
      </c>
      <c r="Q162" s="2"/>
      <c r="R162" s="19">
        <f t="shared" si="34"/>
        <v>1.2068072811395776E-3</v>
      </c>
      <c r="S162" s="2"/>
      <c r="T162" s="2">
        <v>37829.29</v>
      </c>
      <c r="U162" s="2"/>
      <c r="V162" s="19">
        <f t="shared" si="35"/>
        <v>1.1718955671987121E-3</v>
      </c>
      <c r="W162" s="2"/>
      <c r="X162" s="2">
        <f t="shared" si="36"/>
        <v>-4589.4100000000035</v>
      </c>
      <c r="Y162" s="2"/>
      <c r="Z162" s="19">
        <f t="shared" si="37"/>
        <v>-0.12131895681890946</v>
      </c>
    </row>
    <row r="163" spans="1:26" s="24" customFormat="1" hidden="1" outlineLevel="1" x14ac:dyDescent="0.25">
      <c r="A163" s="44"/>
      <c r="B163" s="11" t="str">
        <f>CONCATENATE("          ", "5032", " - ", "PURCHASES @ COST-JUICE")</f>
        <v xml:space="preserve">          5032 - PURCHASES @ COST-JUICE</v>
      </c>
      <c r="C163" s="11"/>
      <c r="D163" s="2"/>
      <c r="E163" s="2"/>
      <c r="F163" s="19">
        <f t="shared" si="30"/>
        <v>0</v>
      </c>
      <c r="G163" s="2"/>
      <c r="H163" s="2">
        <v>1104.8800000000001</v>
      </c>
      <c r="I163" s="2"/>
      <c r="J163" s="19">
        <f t="shared" si="31"/>
        <v>3.2242429263822721E-4</v>
      </c>
      <c r="K163" s="2"/>
      <c r="L163" s="2">
        <f t="shared" si="32"/>
        <v>-1104.8800000000001</v>
      </c>
      <c r="M163" s="2"/>
      <c r="N163" s="19">
        <f t="shared" si="33"/>
        <v>-1</v>
      </c>
      <c r="O163" s="11"/>
      <c r="P163" s="2">
        <v>7802.45</v>
      </c>
      <c r="Q163" s="2"/>
      <c r="R163" s="19">
        <f t="shared" si="34"/>
        <v>2.8327579614389396E-4</v>
      </c>
      <c r="S163" s="2"/>
      <c r="T163" s="2">
        <v>9365.76</v>
      </c>
      <c r="U163" s="2"/>
      <c r="V163" s="19">
        <f t="shared" si="35"/>
        <v>2.9013742069827401E-4</v>
      </c>
      <c r="W163" s="2"/>
      <c r="X163" s="2">
        <f t="shared" si="36"/>
        <v>-1563.3100000000004</v>
      </c>
      <c r="Y163" s="2"/>
      <c r="Z163" s="19">
        <f t="shared" si="37"/>
        <v>-0.16691758063413972</v>
      </c>
    </row>
    <row r="164" spans="1:26" s="24" customFormat="1" hidden="1" outlineLevel="1" x14ac:dyDescent="0.25">
      <c r="A164" s="44"/>
      <c r="B164" s="11" t="str">
        <f>CONCATENATE("          ", "5033", " - ", "PURCHASES @ COST-CANDY")</f>
        <v xml:space="preserve">          5033 - PURCHASES @ COST-CANDY</v>
      </c>
      <c r="C164" s="11"/>
      <c r="D164" s="2">
        <v>-25.2</v>
      </c>
      <c r="E164" s="2"/>
      <c r="F164" s="19">
        <f t="shared" si="30"/>
        <v>-5.058129956365199E-5</v>
      </c>
      <c r="G164" s="2"/>
      <c r="H164" s="2">
        <v>1244.29</v>
      </c>
      <c r="I164" s="2"/>
      <c r="J164" s="19">
        <f t="shared" si="31"/>
        <v>3.6310669311311608E-4</v>
      </c>
      <c r="K164" s="2"/>
      <c r="L164" s="2">
        <f t="shared" si="32"/>
        <v>-1269.49</v>
      </c>
      <c r="M164" s="2"/>
      <c r="N164" s="19">
        <f t="shared" si="33"/>
        <v>-1.0202525134815839</v>
      </c>
      <c r="O164" s="11"/>
      <c r="P164" s="2">
        <v>9998.41</v>
      </c>
      <c r="Q164" s="2"/>
      <c r="R164" s="19">
        <f t="shared" si="34"/>
        <v>3.6300233297529249E-4</v>
      </c>
      <c r="S164" s="2"/>
      <c r="T164" s="2">
        <v>9175.83</v>
      </c>
      <c r="U164" s="2"/>
      <c r="V164" s="19">
        <f t="shared" si="35"/>
        <v>2.8425366963982031E-4</v>
      </c>
      <c r="W164" s="2"/>
      <c r="X164" s="2">
        <f t="shared" si="36"/>
        <v>822.57999999999993</v>
      </c>
      <c r="Y164" s="2"/>
      <c r="Z164" s="19">
        <f t="shared" si="37"/>
        <v>8.9646386212473408E-2</v>
      </c>
    </row>
    <row r="165" spans="1:26" s="24" customFormat="1" hidden="1" outlineLevel="1" x14ac:dyDescent="0.25">
      <c r="A165" s="44"/>
      <c r="B165" s="11" t="str">
        <f>CONCATENATE("          ", "5034", " - ", "PURCHASES @ COST-SODA")</f>
        <v xml:space="preserve">          5034 - PURCHASES @ COST-SODA</v>
      </c>
      <c r="C165" s="11"/>
      <c r="D165" s="2"/>
      <c r="E165" s="2"/>
      <c r="F165" s="19">
        <f t="shared" si="30"/>
        <v>0</v>
      </c>
      <c r="G165" s="2"/>
      <c r="H165" s="2">
        <v>367.08</v>
      </c>
      <c r="I165" s="2"/>
      <c r="J165" s="19">
        <f t="shared" si="31"/>
        <v>1.0712069124397259E-4</v>
      </c>
      <c r="K165" s="2"/>
      <c r="L165" s="2">
        <f t="shared" si="32"/>
        <v>-367.08</v>
      </c>
      <c r="M165" s="2"/>
      <c r="N165" s="19">
        <f t="shared" si="33"/>
        <v>-1</v>
      </c>
      <c r="O165" s="11"/>
      <c r="P165" s="2">
        <v>4033.88</v>
      </c>
      <c r="Q165" s="2"/>
      <c r="R165" s="19">
        <f t="shared" si="34"/>
        <v>1.4645407129157265E-4</v>
      </c>
      <c r="S165" s="2"/>
      <c r="T165" s="2">
        <v>3799.26</v>
      </c>
      <c r="U165" s="2"/>
      <c r="V165" s="19">
        <f t="shared" si="35"/>
        <v>1.1769546699489679E-4</v>
      </c>
      <c r="W165" s="2"/>
      <c r="X165" s="2">
        <f t="shared" si="36"/>
        <v>234.61999999999989</v>
      </c>
      <c r="Y165" s="2"/>
      <c r="Z165" s="19">
        <f t="shared" si="37"/>
        <v>6.1754131067628927E-2</v>
      </c>
    </row>
    <row r="166" spans="1:26" s="24" customFormat="1" hidden="1" outlineLevel="1" x14ac:dyDescent="0.25">
      <c r="A166" s="44"/>
      <c r="B166" s="11" t="str">
        <f>CONCATENATE("          ", "5035", " - ", "PURCHASES @ COST-HEALTH &amp; BEAU")</f>
        <v xml:space="preserve">          5035 - PURCHASES @ COST-HEALTH &amp; BEAU</v>
      </c>
      <c r="C166" s="11"/>
      <c r="D166" s="2"/>
      <c r="E166" s="2"/>
      <c r="F166" s="19">
        <f t="shared" si="30"/>
        <v>0</v>
      </c>
      <c r="G166" s="2"/>
      <c r="H166" s="2">
        <v>117.8</v>
      </c>
      <c r="I166" s="2"/>
      <c r="J166" s="19">
        <f t="shared" si="31"/>
        <v>3.4376205264628886E-5</v>
      </c>
      <c r="K166" s="2"/>
      <c r="L166" s="2">
        <f t="shared" si="32"/>
        <v>-117.8</v>
      </c>
      <c r="M166" s="2"/>
      <c r="N166" s="19">
        <f t="shared" si="33"/>
        <v>-1</v>
      </c>
      <c r="O166" s="11"/>
      <c r="P166" s="2">
        <v>1117.6500000000001</v>
      </c>
      <c r="Q166" s="2"/>
      <c r="R166" s="19">
        <f t="shared" si="34"/>
        <v>4.0577407552784463E-5</v>
      </c>
      <c r="S166" s="2"/>
      <c r="T166" s="2">
        <v>1197.8499999999999</v>
      </c>
      <c r="U166" s="2"/>
      <c r="V166" s="19">
        <f t="shared" si="35"/>
        <v>3.710762494270913E-5</v>
      </c>
      <c r="W166" s="2"/>
      <c r="X166" s="2">
        <f t="shared" si="36"/>
        <v>-80.199999999999818</v>
      </c>
      <c r="Y166" s="2"/>
      <c r="Z166" s="19">
        <f t="shared" si="37"/>
        <v>-6.6953291313603391E-2</v>
      </c>
    </row>
    <row r="167" spans="1:26" s="24" customFormat="1" hidden="1" outlineLevel="1" x14ac:dyDescent="0.25">
      <c r="A167" s="44"/>
      <c r="B167" s="11" t="str">
        <f>CONCATENATE("          ", "5037", " - ", "PURCHASES @ COST-WATER")</f>
        <v xml:space="preserve">          5037 - PURCHASES @ COST-WATER</v>
      </c>
      <c r="C167" s="11"/>
      <c r="D167" s="2"/>
      <c r="E167" s="2"/>
      <c r="F167" s="19">
        <f t="shared" si="30"/>
        <v>0</v>
      </c>
      <c r="G167" s="2"/>
      <c r="H167" s="2">
        <v>460.25</v>
      </c>
      <c r="I167" s="2"/>
      <c r="J167" s="19">
        <f t="shared" si="31"/>
        <v>1.3430940978816167E-4</v>
      </c>
      <c r="K167" s="2"/>
      <c r="L167" s="2">
        <f t="shared" si="32"/>
        <v>-460.25</v>
      </c>
      <c r="M167" s="2"/>
      <c r="N167" s="19">
        <f t="shared" si="33"/>
        <v>-1</v>
      </c>
      <c r="O167" s="11"/>
      <c r="P167" s="2">
        <v>5693.57</v>
      </c>
      <c r="Q167" s="2"/>
      <c r="R167" s="19">
        <f t="shared" si="34"/>
        <v>2.0671078631083703E-4</v>
      </c>
      <c r="S167" s="2"/>
      <c r="T167" s="2">
        <v>5848.83</v>
      </c>
      <c r="U167" s="2"/>
      <c r="V167" s="19">
        <f t="shared" si="35"/>
        <v>1.8118812037706347E-4</v>
      </c>
      <c r="W167" s="2"/>
      <c r="X167" s="2">
        <f t="shared" si="36"/>
        <v>-155.26000000000022</v>
      </c>
      <c r="Y167" s="2"/>
      <c r="Z167" s="19">
        <f t="shared" si="37"/>
        <v>-2.6545480036178213E-2</v>
      </c>
    </row>
    <row r="168" spans="1:26" s="24" customFormat="1" hidden="1" outlineLevel="1" x14ac:dyDescent="0.25">
      <c r="A168" s="44"/>
      <c r="B168" s="11" t="str">
        <f>CONCATENATE("          ", "5040", " - ", "PURCHASES @ COST-LOGO CLOTHING")</f>
        <v xml:space="preserve">          5040 - PURCHASES @ COST-LOGO CLOTHING</v>
      </c>
      <c r="C168" s="11"/>
      <c r="D168" s="2">
        <v>8012.9</v>
      </c>
      <c r="E168" s="2"/>
      <c r="F168" s="19">
        <f t="shared" si="30"/>
        <v>1.6083448225142342E-2</v>
      </c>
      <c r="G168" s="2"/>
      <c r="H168" s="2">
        <v>64538.15</v>
      </c>
      <c r="I168" s="2"/>
      <c r="J168" s="19">
        <f t="shared" si="31"/>
        <v>1.8833418436327749E-2</v>
      </c>
      <c r="K168" s="2"/>
      <c r="L168" s="2">
        <f t="shared" si="32"/>
        <v>-56525.25</v>
      </c>
      <c r="M168" s="2"/>
      <c r="N168" s="19">
        <f t="shared" si="33"/>
        <v>-0.87584242808323443</v>
      </c>
      <c r="O168" s="11"/>
      <c r="P168" s="2">
        <v>974911.44</v>
      </c>
      <c r="Q168" s="2"/>
      <c r="R168" s="19">
        <f t="shared" si="34"/>
        <v>3.5395140543776647E-2</v>
      </c>
      <c r="S168" s="2"/>
      <c r="T168" s="2">
        <v>1004849.15</v>
      </c>
      <c r="U168" s="2"/>
      <c r="V168" s="19">
        <f t="shared" si="35"/>
        <v>3.1128743483908733E-2</v>
      </c>
      <c r="W168" s="2"/>
      <c r="X168" s="2">
        <f t="shared" si="36"/>
        <v>-29937.710000000079</v>
      </c>
      <c r="Y168" s="2"/>
      <c r="Z168" s="19">
        <f t="shared" si="37"/>
        <v>-2.9793238119373518E-2</v>
      </c>
    </row>
    <row r="169" spans="1:26" s="24" customFormat="1" hidden="1" outlineLevel="1" x14ac:dyDescent="0.25">
      <c r="A169" s="44"/>
      <c r="B169" s="11" t="str">
        <f>CONCATENATE("          ", "5041", " - ", "PURCHASES @ COST-LOGO GIFTS")</f>
        <v xml:space="preserve">          5041 - PURCHASES @ COST-LOGO GIFTS</v>
      </c>
      <c r="C169" s="11"/>
      <c r="D169" s="2">
        <v>-4050.7</v>
      </c>
      <c r="E169" s="2"/>
      <c r="F169" s="19">
        <f t="shared" si="30"/>
        <v>-8.1305424659716321E-3</v>
      </c>
      <c r="G169" s="2"/>
      <c r="H169" s="2">
        <v>29207.06</v>
      </c>
      <c r="I169" s="2"/>
      <c r="J169" s="19">
        <f t="shared" si="31"/>
        <v>8.5231569587124936E-3</v>
      </c>
      <c r="K169" s="2"/>
      <c r="L169" s="2">
        <f t="shared" si="32"/>
        <v>-33257.760000000002</v>
      </c>
      <c r="M169" s="2"/>
      <c r="N169" s="19">
        <f t="shared" si="33"/>
        <v>-1.1386890703822981</v>
      </c>
      <c r="O169" s="11"/>
      <c r="P169" s="2">
        <v>145460.03</v>
      </c>
      <c r="Q169" s="2"/>
      <c r="R169" s="19">
        <f t="shared" si="34"/>
        <v>5.281072715027293E-3</v>
      </c>
      <c r="S169" s="2"/>
      <c r="T169" s="2">
        <v>245362.05000000002</v>
      </c>
      <c r="U169" s="2"/>
      <c r="V169" s="19">
        <f t="shared" si="35"/>
        <v>7.6009541483276263E-3</v>
      </c>
      <c r="W169" s="2"/>
      <c r="X169" s="2">
        <f t="shared" si="36"/>
        <v>-99902.020000000019</v>
      </c>
      <c r="Y169" s="2"/>
      <c r="Z169" s="19">
        <f t="shared" si="37"/>
        <v>-0.40716166171581958</v>
      </c>
    </row>
    <row r="170" spans="1:26" s="24" customFormat="1" hidden="1" outlineLevel="1" x14ac:dyDescent="0.25">
      <c r="A170" s="44"/>
      <c r="B170" s="11" t="str">
        <f>CONCATENATE("          ", "5042", " - ", "PURCHASES @ COST-EVERYDAY GIFT")</f>
        <v xml:space="preserve">          5042 - PURCHASES @ COST-EVERYDAY GIFT</v>
      </c>
      <c r="C170" s="11"/>
      <c r="D170" s="2">
        <v>521.79999999999995</v>
      </c>
      <c r="E170" s="2"/>
      <c r="F170" s="19">
        <f t="shared" si="30"/>
        <v>1.0473540520759368E-3</v>
      </c>
      <c r="G170" s="2"/>
      <c r="H170" s="2">
        <v>11596.65</v>
      </c>
      <c r="I170" s="2"/>
      <c r="J170" s="19">
        <f t="shared" si="31"/>
        <v>3.3841156263332644E-3</v>
      </c>
      <c r="K170" s="2"/>
      <c r="L170" s="2">
        <f t="shared" si="32"/>
        <v>-11074.85</v>
      </c>
      <c r="M170" s="2"/>
      <c r="N170" s="19">
        <f t="shared" si="33"/>
        <v>-0.95500424691613528</v>
      </c>
      <c r="O170" s="11"/>
      <c r="P170" s="2">
        <v>115885.04</v>
      </c>
      <c r="Q170" s="2"/>
      <c r="R170" s="19">
        <f t="shared" si="34"/>
        <v>4.2073229520428841E-3</v>
      </c>
      <c r="S170" s="2"/>
      <c r="T170" s="2">
        <v>130164.17000000001</v>
      </c>
      <c r="U170" s="2"/>
      <c r="V170" s="19">
        <f t="shared" si="35"/>
        <v>4.0322938609500631E-3</v>
      </c>
      <c r="W170" s="2"/>
      <c r="X170" s="2">
        <f t="shared" si="36"/>
        <v>-14279.130000000019</v>
      </c>
      <c r="Y170" s="2"/>
      <c r="Z170" s="19">
        <f t="shared" si="37"/>
        <v>-0.10970092614580508</v>
      </c>
    </row>
    <row r="171" spans="1:26" s="24" customFormat="1" hidden="1" outlineLevel="1" x14ac:dyDescent="0.25">
      <c r="A171" s="44"/>
      <c r="B171" s="11" t="str">
        <f>CONCATENATE("          ", "5043", " - ", "PURCHASES @ COST-CARDS")</f>
        <v xml:space="preserve">          5043 - PURCHASES @ COST-CARDS</v>
      </c>
      <c r="C171" s="11"/>
      <c r="D171" s="2">
        <v>6137.75</v>
      </c>
      <c r="E171" s="2"/>
      <c r="F171" s="19">
        <f t="shared" si="30"/>
        <v>1.231965759511131E-2</v>
      </c>
      <c r="G171" s="2"/>
      <c r="H171" s="2">
        <v>978.5</v>
      </c>
      <c r="I171" s="2"/>
      <c r="J171" s="19">
        <f t="shared" si="31"/>
        <v>2.8554428566586893E-4</v>
      </c>
      <c r="K171" s="2"/>
      <c r="L171" s="2">
        <f t="shared" si="32"/>
        <v>5159.25</v>
      </c>
      <c r="M171" s="2"/>
      <c r="N171" s="19">
        <f t="shared" si="33"/>
        <v>5.2726111394992339</v>
      </c>
      <c r="O171" s="11"/>
      <c r="P171" s="2">
        <v>30914.659999999996</v>
      </c>
      <c r="Q171" s="2"/>
      <c r="R171" s="19">
        <f t="shared" si="34"/>
        <v>1.1223878299787622E-3</v>
      </c>
      <c r="S171" s="2"/>
      <c r="T171" s="2">
        <v>4361.58</v>
      </c>
      <c r="U171" s="2"/>
      <c r="V171" s="19">
        <f t="shared" si="35"/>
        <v>1.3511531059616922E-4</v>
      </c>
      <c r="W171" s="2"/>
      <c r="X171" s="2">
        <f t="shared" si="36"/>
        <v>26553.079999999994</v>
      </c>
      <c r="Y171" s="2"/>
      <c r="Z171" s="19">
        <f t="shared" si="37"/>
        <v>6.0879497796670003</v>
      </c>
    </row>
    <row r="172" spans="1:26" s="24" customFormat="1" hidden="1" outlineLevel="1" x14ac:dyDescent="0.25">
      <c r="A172" s="44"/>
      <c r="B172" s="11" t="str">
        <f>CONCATENATE("          ", "5044", " - ", "PURCHASES @ COST-ACCESSORIES")</f>
        <v xml:space="preserve">          5044 - PURCHASES @ COST-ACCESSORIES</v>
      </c>
      <c r="C172" s="11"/>
      <c r="D172" s="2">
        <v>4380</v>
      </c>
      <c r="E172" s="2"/>
      <c r="F172" s="19">
        <f t="shared" si="30"/>
        <v>8.7915115908252274E-3</v>
      </c>
      <c r="G172" s="2"/>
      <c r="H172" s="2">
        <v>1248</v>
      </c>
      <c r="I172" s="2"/>
      <c r="J172" s="19">
        <f t="shared" si="31"/>
        <v>3.641893393060853E-4</v>
      </c>
      <c r="K172" s="2"/>
      <c r="L172" s="2">
        <f t="shared" si="32"/>
        <v>3132</v>
      </c>
      <c r="M172" s="2"/>
      <c r="N172" s="19">
        <f t="shared" si="33"/>
        <v>2.5096153846153846</v>
      </c>
      <c r="O172" s="11"/>
      <c r="P172" s="2">
        <v>36474.03</v>
      </c>
      <c r="Q172" s="2"/>
      <c r="R172" s="19">
        <f t="shared" si="34"/>
        <v>1.324226350290777E-3</v>
      </c>
      <c r="S172" s="2"/>
      <c r="T172" s="2">
        <v>34227.11</v>
      </c>
      <c r="U172" s="2"/>
      <c r="V172" s="19">
        <f t="shared" si="35"/>
        <v>1.0603053477086857E-3</v>
      </c>
      <c r="W172" s="2"/>
      <c r="X172" s="2">
        <f t="shared" si="36"/>
        <v>2246.9199999999983</v>
      </c>
      <c r="Y172" s="2"/>
      <c r="Z172" s="19">
        <f t="shared" si="37"/>
        <v>6.5647377181421343E-2</v>
      </c>
    </row>
    <row r="173" spans="1:26" s="24" customFormat="1" hidden="1" outlineLevel="1" x14ac:dyDescent="0.25">
      <c r="A173" s="44"/>
      <c r="B173" s="11" t="str">
        <f>CONCATENATE("          ", "5045", " - ", "PURCHASES @ COST-SPECIAL ORDER")</f>
        <v xml:space="preserve">          5045 - PURCHASES @ COST-SPECIAL ORDER</v>
      </c>
      <c r="C173" s="11"/>
      <c r="D173" s="2">
        <v>4221.8999999999996</v>
      </c>
      <c r="E173" s="2"/>
      <c r="F173" s="19">
        <f t="shared" si="30"/>
        <v>8.4741741518961234E-3</v>
      </c>
      <c r="G173" s="2"/>
      <c r="H173" s="2">
        <v>30972.289999999997</v>
      </c>
      <c r="I173" s="2"/>
      <c r="J173" s="19">
        <f t="shared" si="31"/>
        <v>9.0382835191478144E-3</v>
      </c>
      <c r="K173" s="2"/>
      <c r="L173" s="2">
        <f t="shared" si="32"/>
        <v>-26750.39</v>
      </c>
      <c r="M173" s="2"/>
      <c r="N173" s="19">
        <f t="shared" si="33"/>
        <v>-0.86368783192976695</v>
      </c>
      <c r="O173" s="11"/>
      <c r="P173" s="2">
        <v>61923.149999999994</v>
      </c>
      <c r="Q173" s="2"/>
      <c r="R173" s="19">
        <f t="shared" si="34"/>
        <v>2.248182252496045E-3</v>
      </c>
      <c r="S173" s="2"/>
      <c r="T173" s="2">
        <v>99636.95</v>
      </c>
      <c r="U173" s="2"/>
      <c r="V173" s="19">
        <f t="shared" si="35"/>
        <v>3.0866056443089392E-3</v>
      </c>
      <c r="W173" s="2"/>
      <c r="X173" s="2">
        <f t="shared" si="36"/>
        <v>-37713.800000000003</v>
      </c>
      <c r="Y173" s="2"/>
      <c r="Z173" s="19">
        <f t="shared" si="37"/>
        <v>-0.37851218850035057</v>
      </c>
    </row>
    <row r="174" spans="1:26" s="24" customFormat="1" hidden="1" outlineLevel="1" x14ac:dyDescent="0.25">
      <c r="A174" s="44"/>
      <c r="B174" s="11" t="str">
        <f>CONCATENATE("          ", "5053", " - ", "PURCHASES @ COST-FOOD")</f>
        <v xml:space="preserve">          5053 - PURCHASES @ COST-FOOD</v>
      </c>
      <c r="C174" s="11"/>
      <c r="D174" s="2">
        <v>24302.030000000002</v>
      </c>
      <c r="E174" s="2"/>
      <c r="F174" s="19">
        <f t="shared" si="30"/>
        <v>4.8778899183922926E-2</v>
      </c>
      <c r="G174" s="2"/>
      <c r="H174" s="2">
        <v>761937.54999999993</v>
      </c>
      <c r="I174" s="2"/>
      <c r="J174" s="19">
        <f t="shared" si="31"/>
        <v>0.2223473821530427</v>
      </c>
      <c r="K174" s="2"/>
      <c r="L174" s="2">
        <f t="shared" si="32"/>
        <v>-737635.5199999999</v>
      </c>
      <c r="M174" s="2"/>
      <c r="N174" s="19">
        <f t="shared" si="33"/>
        <v>-0.96810495820818909</v>
      </c>
      <c r="O174" s="11"/>
      <c r="P174" s="2">
        <v>4915632.9399999995</v>
      </c>
      <c r="Q174" s="2"/>
      <c r="R174" s="19">
        <f t="shared" si="34"/>
        <v>0.17846699877982558</v>
      </c>
      <c r="S174" s="2"/>
      <c r="T174" s="2">
        <v>5785740.29</v>
      </c>
      <c r="U174" s="2"/>
      <c r="V174" s="19">
        <f t="shared" si="35"/>
        <v>0.17923369428329189</v>
      </c>
      <c r="W174" s="2"/>
      <c r="X174" s="2">
        <f t="shared" si="36"/>
        <v>-870107.35000000056</v>
      </c>
      <c r="Y174" s="2"/>
      <c r="Z174" s="19">
        <f t="shared" si="37"/>
        <v>-0.15038824876116252</v>
      </c>
    </row>
    <row r="175" spans="1:26" s="24" customFormat="1" hidden="1" outlineLevel="1" x14ac:dyDescent="0.25">
      <c r="A175" s="44"/>
      <c r="B175" s="11" t="str">
        <f>CONCATENATE("          ", "5059", " - ", "PURCHASES @ COST-FOOD")</f>
        <v xml:space="preserve">          5059 - PURCHASES @ COST-FOOD</v>
      </c>
      <c r="C175" s="11"/>
      <c r="D175" s="2">
        <v>169142.95</v>
      </c>
      <c r="E175" s="2"/>
      <c r="F175" s="19">
        <f t="shared" si="30"/>
        <v>0.33950278662816713</v>
      </c>
      <c r="G175" s="2"/>
      <c r="H175" s="2">
        <v>-10595.56</v>
      </c>
      <c r="I175" s="2"/>
      <c r="J175" s="19">
        <f t="shared" si="31"/>
        <v>-3.0919791634438981E-3</v>
      </c>
      <c r="K175" s="2"/>
      <c r="L175" s="2">
        <f t="shared" si="32"/>
        <v>179738.51</v>
      </c>
      <c r="M175" s="2"/>
      <c r="N175" s="19">
        <f t="shared" si="33"/>
        <v>-16.963568702362124</v>
      </c>
      <c r="O175" s="11"/>
      <c r="P175" s="2">
        <v>114633.53</v>
      </c>
      <c r="Q175" s="2"/>
      <c r="R175" s="19">
        <f t="shared" si="34"/>
        <v>4.1618856225333007E-3</v>
      </c>
      <c r="S175" s="2"/>
      <c r="T175" s="2">
        <v>-48244.270000000004</v>
      </c>
      <c r="U175" s="2"/>
      <c r="V175" s="19">
        <f t="shared" si="35"/>
        <v>-1.4945362748213834E-3</v>
      </c>
      <c r="W175" s="2"/>
      <c r="X175" s="2">
        <f t="shared" si="36"/>
        <v>162877.79999999999</v>
      </c>
      <c r="Y175" s="2"/>
      <c r="Z175" s="19">
        <f t="shared" si="37"/>
        <v>-3.3761066340106289</v>
      </c>
    </row>
    <row r="176" spans="1:26" s="24" customFormat="1" hidden="1" outlineLevel="1" x14ac:dyDescent="0.25">
      <c r="A176" s="44"/>
      <c r="B176" s="11" t="str">
        <f>CONCATENATE("          ", "5081", " - ", "PURCHASES @ COST-ELECTRONICS")</f>
        <v xml:space="preserve">          5081 - PURCHASES @ COST-ELECTRONICS</v>
      </c>
      <c r="C176" s="11"/>
      <c r="D176" s="2">
        <v>-6200.47</v>
      </c>
      <c r="E176" s="2"/>
      <c r="F176" s="19">
        <f t="shared" si="30"/>
        <v>-1.2445548829580844E-2</v>
      </c>
      <c r="G176" s="2"/>
      <c r="H176" s="2">
        <v>5419.24</v>
      </c>
      <c r="I176" s="2"/>
      <c r="J176" s="19">
        <f t="shared" si="31"/>
        <v>1.5814338422605045E-3</v>
      </c>
      <c r="K176" s="2"/>
      <c r="L176" s="2">
        <f t="shared" si="32"/>
        <v>-11619.71</v>
      </c>
      <c r="M176" s="2"/>
      <c r="N176" s="19">
        <f t="shared" si="33"/>
        <v>-2.1441585905034652</v>
      </c>
      <c r="O176" s="11"/>
      <c r="P176" s="2">
        <v>258832.17</v>
      </c>
      <c r="Q176" s="2"/>
      <c r="R176" s="19">
        <f t="shared" si="34"/>
        <v>9.3971623047122022E-3</v>
      </c>
      <c r="S176" s="2"/>
      <c r="T176" s="2">
        <v>195637.62</v>
      </c>
      <c r="U176" s="2"/>
      <c r="V176" s="19">
        <f t="shared" si="35"/>
        <v>6.0605647014603256E-3</v>
      </c>
      <c r="W176" s="2"/>
      <c r="X176" s="2">
        <f t="shared" si="36"/>
        <v>63194.550000000017</v>
      </c>
      <c r="Y176" s="2"/>
      <c r="Z176" s="19">
        <f t="shared" si="37"/>
        <v>0.3230183949283375</v>
      </c>
    </row>
    <row r="177" spans="1:26" s="24" customFormat="1" hidden="1" outlineLevel="1" x14ac:dyDescent="0.25">
      <c r="A177" s="44"/>
      <c r="B177" s="11" t="str">
        <f>CONCATENATE("          ", "5082", " - ", "PURCHASES @ COST-COMPUTER HARD")</f>
        <v xml:space="preserve">          5082 - PURCHASES @ COST-COMPUTER HARD</v>
      </c>
      <c r="C177" s="11"/>
      <c r="D177" s="2">
        <v>119657.48</v>
      </c>
      <c r="E177" s="2"/>
      <c r="F177" s="19">
        <f t="shared" si="30"/>
        <v>0.24017582702030543</v>
      </c>
      <c r="G177" s="2"/>
      <c r="H177" s="2">
        <v>272016.14</v>
      </c>
      <c r="I177" s="2"/>
      <c r="J177" s="19">
        <f t="shared" si="31"/>
        <v>7.9379309541018919E-2</v>
      </c>
      <c r="K177" s="2"/>
      <c r="L177" s="2">
        <f t="shared" si="32"/>
        <v>-152358.66000000003</v>
      </c>
      <c r="M177" s="2"/>
      <c r="N177" s="19">
        <f t="shared" si="33"/>
        <v>-0.56010889647945161</v>
      </c>
      <c r="O177" s="11"/>
      <c r="P177" s="2">
        <v>1500831.8699999999</v>
      </c>
      <c r="Q177" s="2"/>
      <c r="R177" s="19">
        <f t="shared" si="34"/>
        <v>5.4489210805885223E-2</v>
      </c>
      <c r="S177" s="2"/>
      <c r="T177" s="2">
        <v>1608969.85</v>
      </c>
      <c r="U177" s="2"/>
      <c r="V177" s="19">
        <f t="shared" si="35"/>
        <v>4.9843511072276976E-2</v>
      </c>
      <c r="W177" s="2"/>
      <c r="X177" s="2">
        <f t="shared" si="36"/>
        <v>-108137.98000000021</v>
      </c>
      <c r="Y177" s="2"/>
      <c r="Z177" s="19">
        <f t="shared" si="37"/>
        <v>-6.7209450817241986E-2</v>
      </c>
    </row>
    <row r="178" spans="1:26" s="24" customFormat="1" hidden="1" outlineLevel="1" x14ac:dyDescent="0.25">
      <c r="A178" s="44"/>
      <c r="B178" s="11" t="str">
        <f>CONCATENATE("          ", "5083", " - ", "PURCHASES @ COST-COMPUTER EQUI")</f>
        <v xml:space="preserve">          5083 - PURCHASES @ COST-COMPUTER EQUI</v>
      </c>
      <c r="C178" s="11"/>
      <c r="D178" s="2">
        <v>2539.54</v>
      </c>
      <c r="E178" s="2"/>
      <c r="F178" s="19">
        <f t="shared" si="30"/>
        <v>5.0973505354713006E-3</v>
      </c>
      <c r="G178" s="2"/>
      <c r="H178" s="2">
        <v>6608.01</v>
      </c>
      <c r="I178" s="2"/>
      <c r="J178" s="19">
        <f t="shared" si="31"/>
        <v>1.9283387788685935E-3</v>
      </c>
      <c r="K178" s="2"/>
      <c r="L178" s="2">
        <f t="shared" si="32"/>
        <v>-4068.4700000000003</v>
      </c>
      <c r="M178" s="2"/>
      <c r="N178" s="19">
        <f t="shared" si="33"/>
        <v>-0.61568762759136264</v>
      </c>
      <c r="O178" s="11"/>
      <c r="P178" s="2">
        <v>80412.33</v>
      </c>
      <c r="Q178" s="2"/>
      <c r="R178" s="19">
        <f t="shared" si="34"/>
        <v>2.91945053163244E-3</v>
      </c>
      <c r="S178" s="2"/>
      <c r="T178" s="2">
        <v>101902.11</v>
      </c>
      <c r="U178" s="2"/>
      <c r="V178" s="19">
        <f t="shared" si="35"/>
        <v>3.1567769576747425E-3</v>
      </c>
      <c r="W178" s="2"/>
      <c r="X178" s="2">
        <f t="shared" si="36"/>
        <v>-21489.78</v>
      </c>
      <c r="Y178" s="2"/>
      <c r="Z178" s="19">
        <f t="shared" si="37"/>
        <v>-0.21088650666801698</v>
      </c>
    </row>
    <row r="179" spans="1:26" s="24" customFormat="1" hidden="1" outlineLevel="1" x14ac:dyDescent="0.25">
      <c r="A179" s="44"/>
      <c r="B179" s="11" t="str">
        <f>CONCATENATE("          ", "5084", " - ", "PURCHASES @ COST-SOFTWARE LICE")</f>
        <v xml:space="preserve">          5084 - PURCHASES @ COST-SOFTWARE LICE</v>
      </c>
      <c r="C179" s="11"/>
      <c r="D179" s="2"/>
      <c r="E179" s="2"/>
      <c r="F179" s="19">
        <f t="shared" si="30"/>
        <v>0</v>
      </c>
      <c r="G179" s="2"/>
      <c r="H179" s="2">
        <v>79</v>
      </c>
      <c r="I179" s="2"/>
      <c r="J179" s="19">
        <f t="shared" si="31"/>
        <v>2.3053652087484566E-5</v>
      </c>
      <c r="K179" s="2"/>
      <c r="L179" s="2">
        <f t="shared" si="32"/>
        <v>-79</v>
      </c>
      <c r="M179" s="2"/>
      <c r="N179" s="19">
        <f t="shared" si="33"/>
        <v>-1</v>
      </c>
      <c r="O179" s="11"/>
      <c r="P179" s="2">
        <v>2728</v>
      </c>
      <c r="Q179" s="2"/>
      <c r="R179" s="19">
        <f t="shared" si="34"/>
        <v>9.9042784238353692E-5</v>
      </c>
      <c r="S179" s="2"/>
      <c r="T179" s="2">
        <v>5183</v>
      </c>
      <c r="U179" s="2"/>
      <c r="V179" s="19">
        <f t="shared" si="35"/>
        <v>1.6056168975920311E-4</v>
      </c>
      <c r="W179" s="2"/>
      <c r="X179" s="2">
        <f t="shared" si="36"/>
        <v>-2455</v>
      </c>
      <c r="Y179" s="2"/>
      <c r="Z179" s="19">
        <f t="shared" si="37"/>
        <v>-0.47366390121551227</v>
      </c>
    </row>
    <row r="180" spans="1:26" s="24" customFormat="1" hidden="1" outlineLevel="1" x14ac:dyDescent="0.25">
      <c r="A180" s="44"/>
      <c r="B180" s="11" t="str">
        <f>CONCATENATE("          ", "5085", " - ", "PURCHASES @ COST-SOFTWARE")</f>
        <v xml:space="preserve">          5085 - PURCHASES @ COST-SOFTWARE</v>
      </c>
      <c r="C180" s="11"/>
      <c r="D180" s="2">
        <v>2504.11</v>
      </c>
      <c r="E180" s="2"/>
      <c r="F180" s="19">
        <f t="shared" si="30"/>
        <v>5.0262356369181194E-3</v>
      </c>
      <c r="G180" s="2"/>
      <c r="H180" s="2">
        <v>580.01</v>
      </c>
      <c r="I180" s="2"/>
      <c r="J180" s="19">
        <f t="shared" si="31"/>
        <v>1.6925757907926484E-4</v>
      </c>
      <c r="K180" s="2"/>
      <c r="L180" s="2">
        <f t="shared" si="32"/>
        <v>1924.1000000000001</v>
      </c>
      <c r="M180" s="2"/>
      <c r="N180" s="19">
        <f t="shared" si="33"/>
        <v>3.3173565973000469</v>
      </c>
      <c r="O180" s="11"/>
      <c r="P180" s="2">
        <v>11666.5</v>
      </c>
      <c r="Q180" s="2"/>
      <c r="R180" s="19">
        <f t="shared" si="34"/>
        <v>4.235640184445577E-4</v>
      </c>
      <c r="S180" s="2"/>
      <c r="T180" s="2">
        <v>10860.37</v>
      </c>
      <c r="U180" s="2"/>
      <c r="V180" s="19">
        <f t="shared" si="35"/>
        <v>3.3643823241561967E-4</v>
      </c>
      <c r="W180" s="2"/>
      <c r="X180" s="2">
        <f t="shared" si="36"/>
        <v>806.1299999999992</v>
      </c>
      <c r="Y180" s="2"/>
      <c r="Z180" s="19">
        <f t="shared" si="37"/>
        <v>7.4226752863852621E-2</v>
      </c>
    </row>
    <row r="181" spans="1:26" s="24" customFormat="1" hidden="1" outlineLevel="1" x14ac:dyDescent="0.25">
      <c r="A181" s="44"/>
      <c r="B181" s="11" t="str">
        <f>CONCATENATE("          ", "5086", " - ", "PURCHASES @ COST-COMPUTER SUPP")</f>
        <v xml:space="preserve">          5086 - PURCHASES @ COST-COMPUTER SUPP</v>
      </c>
      <c r="C181" s="11"/>
      <c r="D181" s="2"/>
      <c r="E181" s="2"/>
      <c r="F181" s="19">
        <f t="shared" si="30"/>
        <v>0</v>
      </c>
      <c r="G181" s="2"/>
      <c r="H181" s="2">
        <v>7719.73</v>
      </c>
      <c r="I181" s="2"/>
      <c r="J181" s="19">
        <f t="shared" si="31"/>
        <v>2.2527591092318636E-3</v>
      </c>
      <c r="K181" s="2"/>
      <c r="L181" s="2">
        <f t="shared" si="32"/>
        <v>-7719.73</v>
      </c>
      <c r="M181" s="2"/>
      <c r="N181" s="19">
        <f t="shared" si="33"/>
        <v>-1</v>
      </c>
      <c r="O181" s="11"/>
      <c r="P181" s="2">
        <v>30376.769999999997</v>
      </c>
      <c r="Q181" s="2"/>
      <c r="R181" s="19">
        <f t="shared" si="34"/>
        <v>1.1028591924369851E-3</v>
      </c>
      <c r="S181" s="2"/>
      <c r="T181" s="2">
        <v>56383.44</v>
      </c>
      <c r="U181" s="2"/>
      <c r="V181" s="19">
        <f t="shared" si="35"/>
        <v>1.7466757477979248E-3</v>
      </c>
      <c r="W181" s="2"/>
      <c r="X181" s="2">
        <f t="shared" si="36"/>
        <v>-26006.670000000006</v>
      </c>
      <c r="Y181" s="2"/>
      <c r="Z181" s="19">
        <f t="shared" si="37"/>
        <v>-0.46124660006555124</v>
      </c>
    </row>
    <row r="182" spans="1:26" s="24" customFormat="1" hidden="1" outlineLevel="1" x14ac:dyDescent="0.25">
      <c r="A182" s="44"/>
      <c r="B182" s="11" t="str">
        <f>CONCATENATE("          ", "5088", " - ", "PURCHASES @ COST-MUSIC")</f>
        <v xml:space="preserve">          5088 - PURCHASES @ COST-MUSIC</v>
      </c>
      <c r="C182" s="11"/>
      <c r="D182" s="2"/>
      <c r="E182" s="2"/>
      <c r="F182" s="19">
        <f t="shared" si="30"/>
        <v>0</v>
      </c>
      <c r="G182" s="2"/>
      <c r="H182" s="2"/>
      <c r="I182" s="2"/>
      <c r="J182" s="19">
        <f t="shared" si="31"/>
        <v>0</v>
      </c>
      <c r="K182" s="2"/>
      <c r="L182" s="2">
        <f t="shared" si="32"/>
        <v>0</v>
      </c>
      <c r="M182" s="2"/>
      <c r="N182" s="19">
        <f t="shared" si="33"/>
        <v>0</v>
      </c>
      <c r="O182" s="11"/>
      <c r="P182" s="2">
        <v>95.65</v>
      </c>
      <c r="Q182" s="2"/>
      <c r="R182" s="19">
        <f t="shared" si="34"/>
        <v>3.4726694693543002E-6</v>
      </c>
      <c r="S182" s="2"/>
      <c r="T182" s="2">
        <v>0</v>
      </c>
      <c r="U182" s="2"/>
      <c r="V182" s="19">
        <f t="shared" si="35"/>
        <v>0</v>
      </c>
      <c r="W182" s="2"/>
      <c r="X182" s="2">
        <f t="shared" si="36"/>
        <v>95.65</v>
      </c>
      <c r="Y182" s="2"/>
      <c r="Z182" s="19">
        <f t="shared" si="37"/>
        <v>0</v>
      </c>
    </row>
    <row r="183" spans="1:26" s="24" customFormat="1" hidden="1" outlineLevel="1" x14ac:dyDescent="0.25">
      <c r="A183" s="44"/>
      <c r="B183" s="11" t="str">
        <f>CONCATENATE("          ", "5092", " - ", "PURCHASES @ COST-GRAD MERCH")</f>
        <v xml:space="preserve">          5092 - PURCHASES @ COST-GRAD MERCH</v>
      </c>
      <c r="C183" s="11"/>
      <c r="D183" s="2">
        <v>5539.35</v>
      </c>
      <c r="E183" s="2"/>
      <c r="F183" s="19">
        <f t="shared" si="30"/>
        <v>1.1118552449917289E-2</v>
      </c>
      <c r="G183" s="2"/>
      <c r="H183" s="2">
        <v>27387.5</v>
      </c>
      <c r="I183" s="2"/>
      <c r="J183" s="19">
        <f t="shared" si="31"/>
        <v>7.9921759056453615E-3</v>
      </c>
      <c r="K183" s="2"/>
      <c r="L183" s="2">
        <f t="shared" si="32"/>
        <v>-21848.15</v>
      </c>
      <c r="M183" s="2"/>
      <c r="N183" s="19">
        <f t="shared" si="33"/>
        <v>-0.79774167047010502</v>
      </c>
      <c r="O183" s="11"/>
      <c r="P183" s="2">
        <v>8485.48</v>
      </c>
      <c r="Q183" s="2"/>
      <c r="R183" s="19">
        <f t="shared" si="34"/>
        <v>3.0807388738961347E-4</v>
      </c>
      <c r="S183" s="2"/>
      <c r="T183" s="2">
        <v>35607.46</v>
      </c>
      <c r="U183" s="2"/>
      <c r="V183" s="19">
        <f t="shared" si="35"/>
        <v>1.1030665532767189E-3</v>
      </c>
      <c r="W183" s="2"/>
      <c r="X183" s="2">
        <f t="shared" si="36"/>
        <v>-27121.98</v>
      </c>
      <c r="Y183" s="2"/>
      <c r="Z183" s="19">
        <f t="shared" si="37"/>
        <v>-0.76169375743172918</v>
      </c>
    </row>
    <row r="184" spans="1:26" s="24" customFormat="1" hidden="1" outlineLevel="1" x14ac:dyDescent="0.25">
      <c r="A184" s="44"/>
      <c r="B184" s="11" t="str">
        <f>CONCATENATE("          ", "5095", " - ", "PURCHASES @ COST-CUSTOMER SERV")</f>
        <v xml:space="preserve">          5095 - PURCHASES @ COST-CUSTOMER SERV</v>
      </c>
      <c r="C184" s="11"/>
      <c r="D184" s="2"/>
      <c r="E184" s="2"/>
      <c r="F184" s="19">
        <f t="shared" si="30"/>
        <v>0</v>
      </c>
      <c r="G184" s="2"/>
      <c r="H184" s="2">
        <v>0</v>
      </c>
      <c r="I184" s="2"/>
      <c r="J184" s="19">
        <f t="shared" si="31"/>
        <v>0</v>
      </c>
      <c r="K184" s="2"/>
      <c r="L184" s="2">
        <f t="shared" si="32"/>
        <v>0</v>
      </c>
      <c r="M184" s="2"/>
      <c r="N184" s="19">
        <f t="shared" si="33"/>
        <v>0</v>
      </c>
      <c r="O184" s="11"/>
      <c r="P184" s="2">
        <v>0</v>
      </c>
      <c r="Q184" s="2"/>
      <c r="R184" s="19">
        <f t="shared" si="34"/>
        <v>0</v>
      </c>
      <c r="S184" s="2"/>
      <c r="T184" s="2">
        <v>0</v>
      </c>
      <c r="U184" s="2"/>
      <c r="V184" s="19">
        <f t="shared" si="35"/>
        <v>0</v>
      </c>
      <c r="W184" s="2"/>
      <c r="X184" s="2">
        <f t="shared" si="36"/>
        <v>0</v>
      </c>
      <c r="Y184" s="2"/>
      <c r="Z184" s="19">
        <f t="shared" si="37"/>
        <v>0</v>
      </c>
    </row>
    <row r="185" spans="1:26" s="24" customFormat="1" hidden="1" outlineLevel="1" x14ac:dyDescent="0.25">
      <c r="A185" s="44"/>
      <c r="B185" s="11" t="str">
        <f>CONCATENATE("          ", "5200", " - ", "PURCHASES OFFSET")</f>
        <v xml:space="preserve">          5200 - PURCHASES OFFSET</v>
      </c>
      <c r="C185" s="11"/>
      <c r="D185" s="2">
        <v>-169098</v>
      </c>
      <c r="E185" s="2"/>
      <c r="F185" s="19">
        <f t="shared" si="30"/>
        <v>-0.33941256323866764</v>
      </c>
      <c r="G185" s="2"/>
      <c r="H185" s="2">
        <v>-227451</v>
      </c>
      <c r="I185" s="2"/>
      <c r="J185" s="19">
        <f t="shared" si="31"/>
        <v>-6.6374382543676613E-2</v>
      </c>
      <c r="K185" s="2"/>
      <c r="L185" s="2">
        <f t="shared" si="32"/>
        <v>58353</v>
      </c>
      <c r="M185" s="2"/>
      <c r="N185" s="19">
        <f t="shared" si="33"/>
        <v>-0.25655196064207236</v>
      </c>
      <c r="O185" s="11"/>
      <c r="P185" s="2">
        <v>-5300591</v>
      </c>
      <c r="Q185" s="2"/>
      <c r="R185" s="19">
        <f t="shared" si="34"/>
        <v>-0.19244328839763911</v>
      </c>
      <c r="S185" s="2"/>
      <c r="T185" s="2">
        <v>-5877060</v>
      </c>
      <c r="U185" s="2"/>
      <c r="V185" s="19">
        <f t="shared" si="35"/>
        <v>-0.18206264410886017</v>
      </c>
      <c r="W185" s="2"/>
      <c r="X185" s="2">
        <f t="shared" si="36"/>
        <v>576469</v>
      </c>
      <c r="Y185" s="2"/>
      <c r="Z185" s="19">
        <f t="shared" si="37"/>
        <v>-9.80879895730178E-2</v>
      </c>
    </row>
    <row r="186" spans="1:26" s="24" customFormat="1" hidden="1" outlineLevel="1" x14ac:dyDescent="0.25">
      <c r="A186" s="44"/>
      <c r="B186" s="11" t="str">
        <f>CONCATENATE("          ", "5300", " - ", "COG$ OFFSET")</f>
        <v xml:space="preserve">          5300 - COG$ OFFSET</v>
      </c>
      <c r="C186" s="11"/>
      <c r="D186" s="2">
        <v>320186</v>
      </c>
      <c r="E186" s="2"/>
      <c r="F186" s="19">
        <f t="shared" si="30"/>
        <v>0.64267555484474115</v>
      </c>
      <c r="G186" s="2"/>
      <c r="H186" s="2">
        <v>453421</v>
      </c>
      <c r="I186" s="2"/>
      <c r="J186" s="19">
        <f t="shared" si="31"/>
        <v>0.13231658206530808</v>
      </c>
      <c r="K186" s="2"/>
      <c r="L186" s="2">
        <f t="shared" si="32"/>
        <v>-133235</v>
      </c>
      <c r="M186" s="2"/>
      <c r="N186" s="19">
        <f t="shared" si="33"/>
        <v>-0.29384391106719804</v>
      </c>
      <c r="O186" s="11"/>
      <c r="P186" s="2">
        <v>5919893.4700000007</v>
      </c>
      <c r="Q186" s="2"/>
      <c r="R186" s="19">
        <f t="shared" si="34"/>
        <v>0.21492768755984201</v>
      </c>
      <c r="S186" s="2"/>
      <c r="T186" s="2">
        <v>6594796</v>
      </c>
      <c r="U186" s="2"/>
      <c r="V186" s="19">
        <f t="shared" si="35"/>
        <v>0.20429704599213461</v>
      </c>
      <c r="W186" s="2"/>
      <c r="X186" s="2">
        <f t="shared" si="36"/>
        <v>-674902.52999999933</v>
      </c>
      <c r="Y186" s="2"/>
      <c r="Z186" s="19">
        <f t="shared" si="37"/>
        <v>-0.10233865156708401</v>
      </c>
    </row>
    <row r="187" spans="1:26" s="24" customFormat="1" hidden="1" outlineLevel="1" x14ac:dyDescent="0.25">
      <c r="A187" s="44"/>
      <c r="B187" s="11" t="str">
        <f>CONCATENATE("          ", "5500", " - ", "FREIGHT-IN")</f>
        <v xml:space="preserve">          5500 - FREIGHT-IN</v>
      </c>
      <c r="C187" s="11"/>
      <c r="D187" s="2"/>
      <c r="E187" s="2"/>
      <c r="F187" s="19">
        <f t="shared" si="30"/>
        <v>0</v>
      </c>
      <c r="G187" s="2"/>
      <c r="H187" s="2"/>
      <c r="I187" s="2"/>
      <c r="J187" s="19">
        <f t="shared" si="31"/>
        <v>0</v>
      </c>
      <c r="K187" s="2"/>
      <c r="L187" s="2">
        <f t="shared" si="32"/>
        <v>0</v>
      </c>
      <c r="M187" s="2"/>
      <c r="N187" s="19">
        <f t="shared" si="33"/>
        <v>0</v>
      </c>
      <c r="O187" s="11"/>
      <c r="P187" s="2">
        <v>156.47999999999999</v>
      </c>
      <c r="Q187" s="2"/>
      <c r="R187" s="19">
        <f t="shared" si="34"/>
        <v>5.6811638114433964E-6</v>
      </c>
      <c r="S187" s="2"/>
      <c r="T187" s="2">
        <v>188.91</v>
      </c>
      <c r="U187" s="2"/>
      <c r="V187" s="19">
        <f t="shared" si="35"/>
        <v>5.8521529639998184E-6</v>
      </c>
      <c r="W187" s="2"/>
      <c r="X187" s="2">
        <f t="shared" si="36"/>
        <v>-32.430000000000007</v>
      </c>
      <c r="Y187" s="2"/>
      <c r="Z187" s="19">
        <f t="shared" si="37"/>
        <v>-0.17166904875337466</v>
      </c>
    </row>
    <row r="188" spans="1:26" s="24" customFormat="1" hidden="1" outlineLevel="1" x14ac:dyDescent="0.25">
      <c r="A188" s="44"/>
      <c r="B188" s="11" t="str">
        <f>CONCATENATE("          ", "5501", " - ", "FREIGHT-IN-NEW TEXT")</f>
        <v xml:space="preserve">          5501 - FREIGHT-IN-NEW TEXT</v>
      </c>
      <c r="C188" s="11"/>
      <c r="D188" s="2">
        <v>2428.4</v>
      </c>
      <c r="E188" s="2"/>
      <c r="F188" s="19">
        <f t="shared" si="30"/>
        <v>4.8742709468401783E-3</v>
      </c>
      <c r="G188" s="2"/>
      <c r="H188" s="2">
        <v>105.61</v>
      </c>
      <c r="I188" s="2"/>
      <c r="J188" s="19">
        <f t="shared" si="31"/>
        <v>3.0818939202015756E-5</v>
      </c>
      <c r="K188" s="2"/>
      <c r="L188" s="2">
        <f t="shared" si="32"/>
        <v>2322.79</v>
      </c>
      <c r="M188" s="2"/>
      <c r="N188" s="19">
        <f t="shared" si="33"/>
        <v>21.994034655809109</v>
      </c>
      <c r="O188" s="11"/>
      <c r="P188" s="2">
        <v>69768.95</v>
      </c>
      <c r="Q188" s="2"/>
      <c r="R188" s="19">
        <f t="shared" si="34"/>
        <v>2.5330319139979791E-3</v>
      </c>
      <c r="S188" s="2"/>
      <c r="T188" s="2">
        <v>62766.54</v>
      </c>
      <c r="U188" s="2"/>
      <c r="V188" s="19">
        <f t="shared" si="35"/>
        <v>1.9444147641787793E-3</v>
      </c>
      <c r="W188" s="2"/>
      <c r="X188" s="2">
        <f t="shared" si="36"/>
        <v>7002.4099999999962</v>
      </c>
      <c r="Y188" s="2"/>
      <c r="Z188" s="19">
        <f t="shared" si="37"/>
        <v>0.11156278488506768</v>
      </c>
    </row>
    <row r="189" spans="1:26" s="24" customFormat="1" hidden="1" outlineLevel="1" x14ac:dyDescent="0.25">
      <c r="A189" s="44"/>
      <c r="B189" s="11" t="str">
        <f>CONCATENATE("          ", "5502", " - ", "FREIGHT-IN-USED TEXT")</f>
        <v xml:space="preserve">          5502 - FREIGHT-IN-USED TEXT</v>
      </c>
      <c r="C189" s="11"/>
      <c r="D189" s="2">
        <v>36.700000000000003</v>
      </c>
      <c r="E189" s="2"/>
      <c r="F189" s="19">
        <f t="shared" si="30"/>
        <v>7.3664035475636038E-5</v>
      </c>
      <c r="G189" s="2"/>
      <c r="H189" s="2">
        <v>107.69</v>
      </c>
      <c r="I189" s="2"/>
      <c r="J189" s="19">
        <f t="shared" si="31"/>
        <v>3.1425921434192569E-5</v>
      </c>
      <c r="K189" s="2"/>
      <c r="L189" s="2">
        <f t="shared" si="32"/>
        <v>-70.989999999999995</v>
      </c>
      <c r="M189" s="2"/>
      <c r="N189" s="19">
        <f t="shared" si="33"/>
        <v>-0.65920698300677871</v>
      </c>
      <c r="O189" s="11"/>
      <c r="P189" s="2">
        <v>15301.34</v>
      </c>
      <c r="Q189" s="2"/>
      <c r="R189" s="19">
        <f t="shared" si="34"/>
        <v>5.5553054112085444E-4</v>
      </c>
      <c r="S189" s="2"/>
      <c r="T189" s="2">
        <v>13737.1</v>
      </c>
      <c r="U189" s="2"/>
      <c r="V189" s="19">
        <f t="shared" si="35"/>
        <v>4.2555508168843319E-4</v>
      </c>
      <c r="W189" s="2"/>
      <c r="X189" s="2">
        <f t="shared" si="36"/>
        <v>1564.2399999999998</v>
      </c>
      <c r="Y189" s="2"/>
      <c r="Z189" s="19">
        <f t="shared" si="37"/>
        <v>0.11386973961025251</v>
      </c>
    </row>
    <row r="190" spans="1:26" s="24" customFormat="1" hidden="1" outlineLevel="1" x14ac:dyDescent="0.25">
      <c r="A190" s="44"/>
      <c r="B190" s="11" t="str">
        <f>CONCATENATE("          ", "5504", " - ", "FREIGHT-IN-DIGITAL TEXT")</f>
        <v xml:space="preserve">          5504 - FREIGHT-IN-DIGITAL TEXT</v>
      </c>
      <c r="C190" s="11"/>
      <c r="D190" s="2"/>
      <c r="E190" s="2"/>
      <c r="F190" s="19">
        <f t="shared" si="30"/>
        <v>0</v>
      </c>
      <c r="G190" s="2"/>
      <c r="H190" s="2"/>
      <c r="I190" s="2"/>
      <c r="J190" s="19">
        <f t="shared" si="31"/>
        <v>0</v>
      </c>
      <c r="K190" s="2"/>
      <c r="L190" s="2">
        <f t="shared" si="32"/>
        <v>0</v>
      </c>
      <c r="M190" s="2"/>
      <c r="N190" s="19">
        <f t="shared" si="33"/>
        <v>0</v>
      </c>
      <c r="O190" s="11"/>
      <c r="P190" s="2">
        <v>118.75</v>
      </c>
      <c r="Q190" s="2"/>
      <c r="R190" s="19">
        <f t="shared" si="34"/>
        <v>4.3113382068564888E-6</v>
      </c>
      <c r="S190" s="2"/>
      <c r="T190" s="2">
        <v>243.53</v>
      </c>
      <c r="U190" s="2"/>
      <c r="V190" s="19">
        <f t="shared" si="35"/>
        <v>7.5441999434803651E-6</v>
      </c>
      <c r="W190" s="2"/>
      <c r="X190" s="2">
        <f t="shared" si="36"/>
        <v>-124.78</v>
      </c>
      <c r="Y190" s="2"/>
      <c r="Z190" s="19">
        <f t="shared" si="37"/>
        <v>-0.5123804048782491</v>
      </c>
    </row>
    <row r="191" spans="1:26" s="24" customFormat="1" hidden="1" outlineLevel="1" x14ac:dyDescent="0.25">
      <c r="A191" s="44"/>
      <c r="B191" s="11" t="str">
        <f>CONCATENATE("          ", "5513", " - ", "FREIGHT-IN-TRADE BOOKS")</f>
        <v xml:space="preserve">          5513 - FREIGHT-IN-TRADE BOOKS</v>
      </c>
      <c r="C191" s="11"/>
      <c r="D191" s="2"/>
      <c r="E191" s="2"/>
      <c r="F191" s="19">
        <f t="shared" si="30"/>
        <v>0</v>
      </c>
      <c r="G191" s="2"/>
      <c r="H191" s="2">
        <v>40.18</v>
      </c>
      <c r="I191" s="2"/>
      <c r="J191" s="19">
        <f t="shared" si="31"/>
        <v>1.1725262542723163E-5</v>
      </c>
      <c r="K191" s="2"/>
      <c r="L191" s="2">
        <f t="shared" si="32"/>
        <v>-40.18</v>
      </c>
      <c r="M191" s="2"/>
      <c r="N191" s="19">
        <f t="shared" si="33"/>
        <v>-1</v>
      </c>
      <c r="O191" s="11"/>
      <c r="P191" s="2">
        <v>30.24</v>
      </c>
      <c r="Q191" s="2"/>
      <c r="R191" s="19">
        <f t="shared" si="34"/>
        <v>1.0978936200028649E-6</v>
      </c>
      <c r="S191" s="2"/>
      <c r="T191" s="2">
        <v>54.9</v>
      </c>
      <c r="U191" s="2"/>
      <c r="V191" s="19">
        <f t="shared" si="35"/>
        <v>1.7007209661933727E-6</v>
      </c>
      <c r="W191" s="2"/>
      <c r="X191" s="2">
        <f t="shared" si="36"/>
        <v>-24.66</v>
      </c>
      <c r="Y191" s="2"/>
      <c r="Z191" s="19">
        <f t="shared" si="37"/>
        <v>-0.44918032786885248</v>
      </c>
    </row>
    <row r="192" spans="1:26" s="24" customFormat="1" hidden="1" outlineLevel="1" x14ac:dyDescent="0.25">
      <c r="A192" s="44"/>
      <c r="B192" s="11" t="str">
        <f>CONCATENATE("          ", "5518", " - ", "FREIGHT-IN-STUDY GUIDES")</f>
        <v xml:space="preserve">          5518 - FREIGHT-IN-STUDY GUIDES</v>
      </c>
      <c r="C192" s="11"/>
      <c r="D192" s="2"/>
      <c r="E192" s="2"/>
      <c r="F192" s="19">
        <f t="shared" si="30"/>
        <v>0</v>
      </c>
      <c r="G192" s="2"/>
      <c r="H192" s="2"/>
      <c r="I192" s="2"/>
      <c r="J192" s="19">
        <f t="shared" si="31"/>
        <v>0</v>
      </c>
      <c r="K192" s="2"/>
      <c r="L192" s="2">
        <f t="shared" si="32"/>
        <v>0</v>
      </c>
      <c r="M192" s="2"/>
      <c r="N192" s="19">
        <f t="shared" si="33"/>
        <v>0</v>
      </c>
      <c r="O192" s="11"/>
      <c r="P192" s="2">
        <v>21.13</v>
      </c>
      <c r="Q192" s="2"/>
      <c r="R192" s="19">
        <f t="shared" si="34"/>
        <v>7.6714590577581135E-7</v>
      </c>
      <c r="S192" s="2"/>
      <c r="T192" s="2"/>
      <c r="U192" s="2"/>
      <c r="V192" s="19">
        <f t="shared" si="35"/>
        <v>0</v>
      </c>
      <c r="W192" s="2"/>
      <c r="X192" s="2">
        <f t="shared" si="36"/>
        <v>21.13</v>
      </c>
      <c r="Y192" s="2"/>
      <c r="Z192" s="19">
        <f t="shared" si="37"/>
        <v>0</v>
      </c>
    </row>
    <row r="193" spans="1:26" s="24" customFormat="1" hidden="1" outlineLevel="1" x14ac:dyDescent="0.25">
      <c r="A193" s="44"/>
      <c r="B193" s="11" t="str">
        <f>CONCATENATE("          ", "5525", " - ", "FREIGHT-IN-TEST FORMS")</f>
        <v xml:space="preserve">          5525 - FREIGHT-IN-TEST FORMS</v>
      </c>
      <c r="C193" s="11"/>
      <c r="D193" s="2"/>
      <c r="E193" s="2"/>
      <c r="F193" s="19">
        <f t="shared" si="30"/>
        <v>0</v>
      </c>
      <c r="G193" s="2"/>
      <c r="H193" s="2">
        <v>32.04</v>
      </c>
      <c r="I193" s="2"/>
      <c r="J193" s="19">
        <f t="shared" si="31"/>
        <v>9.3498609225696893E-6</v>
      </c>
      <c r="K193" s="2"/>
      <c r="L193" s="2">
        <f t="shared" si="32"/>
        <v>-32.04</v>
      </c>
      <c r="M193" s="2"/>
      <c r="N193" s="19">
        <f t="shared" si="33"/>
        <v>-1</v>
      </c>
      <c r="O193" s="11"/>
      <c r="P193" s="2">
        <v>1237.22</v>
      </c>
      <c r="Q193" s="2"/>
      <c r="R193" s="19">
        <f t="shared" si="34"/>
        <v>4.4918516684521983E-5</v>
      </c>
      <c r="S193" s="2"/>
      <c r="T193" s="2">
        <v>335.25</v>
      </c>
      <c r="U193" s="2"/>
      <c r="V193" s="19">
        <f t="shared" si="35"/>
        <v>1.0385550162410351E-5</v>
      </c>
      <c r="W193" s="2"/>
      <c r="X193" s="2">
        <f t="shared" si="36"/>
        <v>901.97</v>
      </c>
      <c r="Y193" s="2"/>
      <c r="Z193" s="19">
        <f t="shared" si="37"/>
        <v>2.6904399701715138</v>
      </c>
    </row>
    <row r="194" spans="1:26" s="24" customFormat="1" hidden="1" outlineLevel="1" x14ac:dyDescent="0.25">
      <c r="A194" s="44"/>
      <c r="B194" s="11" t="str">
        <f>CONCATENATE("          ", "5526", " - ", "FREIGHT-IN-WRITING INSTRUMENTS")</f>
        <v xml:space="preserve">          5526 - FREIGHT-IN-WRITING INSTRUMENTS</v>
      </c>
      <c r="C194" s="11"/>
      <c r="D194" s="2"/>
      <c r="E194" s="2"/>
      <c r="F194" s="19">
        <f t="shared" si="30"/>
        <v>0</v>
      </c>
      <c r="G194" s="2"/>
      <c r="H194" s="2">
        <v>100.95</v>
      </c>
      <c r="I194" s="2"/>
      <c r="J194" s="19">
        <f t="shared" si="31"/>
        <v>2.9459065547235026E-5</v>
      </c>
      <c r="K194" s="2"/>
      <c r="L194" s="2">
        <f t="shared" si="32"/>
        <v>-100.95</v>
      </c>
      <c r="M194" s="2"/>
      <c r="N194" s="19">
        <f t="shared" si="33"/>
        <v>-1</v>
      </c>
      <c r="O194" s="11"/>
      <c r="P194" s="2">
        <v>260.35000000000002</v>
      </c>
      <c r="Q194" s="2"/>
      <c r="R194" s="19">
        <f t="shared" si="34"/>
        <v>9.4522686497270476E-6</v>
      </c>
      <c r="S194" s="2"/>
      <c r="T194" s="2">
        <v>232.11</v>
      </c>
      <c r="U194" s="2"/>
      <c r="V194" s="19">
        <f t="shared" si="35"/>
        <v>7.1904251996929647E-6</v>
      </c>
      <c r="W194" s="2"/>
      <c r="X194" s="2">
        <f t="shared" si="36"/>
        <v>28.240000000000009</v>
      </c>
      <c r="Y194" s="2"/>
      <c r="Z194" s="19">
        <f t="shared" si="37"/>
        <v>0.12166645125156179</v>
      </c>
    </row>
    <row r="195" spans="1:26" s="24" customFormat="1" hidden="1" outlineLevel="1" x14ac:dyDescent="0.25">
      <c r="A195" s="44"/>
      <c r="B195" s="11" t="str">
        <f>CONCATENATE("          ", "5527", " - ", "FREIGHT-IN-SCHOOL SUPPLIES")</f>
        <v xml:space="preserve">          5527 - FREIGHT-IN-SCHOOL SUPPLIES</v>
      </c>
      <c r="C195" s="11"/>
      <c r="D195" s="2"/>
      <c r="E195" s="2"/>
      <c r="F195" s="19">
        <f t="shared" si="30"/>
        <v>0</v>
      </c>
      <c r="G195" s="2"/>
      <c r="H195" s="2">
        <v>336.32</v>
      </c>
      <c r="I195" s="2"/>
      <c r="J195" s="19">
        <f t="shared" si="31"/>
        <v>9.8144357848896322E-5</v>
      </c>
      <c r="K195" s="2"/>
      <c r="L195" s="2">
        <f t="shared" si="32"/>
        <v>-336.32</v>
      </c>
      <c r="M195" s="2"/>
      <c r="N195" s="19">
        <f t="shared" si="33"/>
        <v>-1</v>
      </c>
      <c r="O195" s="11"/>
      <c r="P195" s="2">
        <v>2058.91</v>
      </c>
      <c r="Q195" s="2"/>
      <c r="R195" s="19">
        <f t="shared" si="34"/>
        <v>7.475079871561173E-5</v>
      </c>
      <c r="S195" s="2"/>
      <c r="T195" s="2">
        <v>1761.28</v>
      </c>
      <c r="U195" s="2"/>
      <c r="V195" s="19">
        <f t="shared" si="35"/>
        <v>5.456185470559314E-5</v>
      </c>
      <c r="W195" s="2"/>
      <c r="X195" s="2">
        <f t="shared" si="36"/>
        <v>297.62999999999988</v>
      </c>
      <c r="Y195" s="2"/>
      <c r="Z195" s="19">
        <f t="shared" si="37"/>
        <v>0.16898505632267435</v>
      </c>
    </row>
    <row r="196" spans="1:26" s="24" customFormat="1" hidden="1" outlineLevel="1" x14ac:dyDescent="0.25">
      <c r="A196" s="44"/>
      <c r="B196" s="11" t="str">
        <f>CONCATENATE("          ", "5528", " - ", "FREIGHT-IN-ART/TECH")</f>
        <v xml:space="preserve">          5528 - FREIGHT-IN-ART/TECH</v>
      </c>
      <c r="C196" s="11"/>
      <c r="D196" s="2">
        <v>576.6</v>
      </c>
      <c r="E196" s="2"/>
      <c r="F196" s="19">
        <f t="shared" si="30"/>
        <v>1.1573483066826087E-3</v>
      </c>
      <c r="G196" s="2"/>
      <c r="H196" s="2">
        <v>241.6</v>
      </c>
      <c r="I196" s="2"/>
      <c r="J196" s="19">
        <f t="shared" si="31"/>
        <v>7.0503320814383182E-5</v>
      </c>
      <c r="K196" s="2"/>
      <c r="L196" s="2">
        <f t="shared" si="32"/>
        <v>335</v>
      </c>
      <c r="M196" s="2"/>
      <c r="N196" s="19">
        <f t="shared" si="33"/>
        <v>1.38658940397351</v>
      </c>
      <c r="O196" s="11"/>
      <c r="P196" s="2">
        <v>2844.12</v>
      </c>
      <c r="Q196" s="2"/>
      <c r="R196" s="19">
        <f t="shared" si="34"/>
        <v>1.0325863764955517E-4</v>
      </c>
      <c r="S196" s="2"/>
      <c r="T196" s="2">
        <v>7493.84</v>
      </c>
      <c r="U196" s="2"/>
      <c r="V196" s="19">
        <f t="shared" si="35"/>
        <v>2.3214810210015564E-4</v>
      </c>
      <c r="W196" s="2"/>
      <c r="X196" s="2">
        <f t="shared" si="36"/>
        <v>-4649.72</v>
      </c>
      <c r="Y196" s="2"/>
      <c r="Z196" s="19">
        <f t="shared" si="37"/>
        <v>-0.62047228123365328</v>
      </c>
    </row>
    <row r="197" spans="1:26" s="24" customFormat="1" hidden="1" outlineLevel="1" x14ac:dyDescent="0.25">
      <c r="A197" s="44"/>
      <c r="B197" s="11" t="str">
        <f>CONCATENATE("          ", "5540", " - ", "FREIGHT-IN-LOGO CLOTHING")</f>
        <v xml:space="preserve">          5540 - FREIGHT-IN-LOGO CLOTHING</v>
      </c>
      <c r="C197" s="11"/>
      <c r="D197" s="2">
        <v>1044.9100000000001</v>
      </c>
      <c r="E197" s="2"/>
      <c r="F197" s="19">
        <f t="shared" si="30"/>
        <v>2.0973375288514131E-3</v>
      </c>
      <c r="G197" s="2"/>
      <c r="H197" s="2">
        <v>4017.61</v>
      </c>
      <c r="I197" s="2"/>
      <c r="J197" s="19">
        <f t="shared" si="31"/>
        <v>1.1724124451037831E-3</v>
      </c>
      <c r="K197" s="2"/>
      <c r="L197" s="2">
        <f t="shared" si="32"/>
        <v>-2972.7</v>
      </c>
      <c r="M197" s="2"/>
      <c r="N197" s="19">
        <f t="shared" si="33"/>
        <v>-0.73991751314836429</v>
      </c>
      <c r="O197" s="11"/>
      <c r="P197" s="2">
        <v>31703.299999999996</v>
      </c>
      <c r="Q197" s="2"/>
      <c r="R197" s="19">
        <f t="shared" si="34"/>
        <v>1.1510201985131226E-3</v>
      </c>
      <c r="S197" s="2"/>
      <c r="T197" s="2">
        <v>29023.84</v>
      </c>
      <c r="U197" s="2"/>
      <c r="V197" s="19">
        <f t="shared" si="35"/>
        <v>8.9911572326852203E-4</v>
      </c>
      <c r="W197" s="2"/>
      <c r="X197" s="2">
        <f t="shared" si="36"/>
        <v>2679.4599999999955</v>
      </c>
      <c r="Y197" s="2"/>
      <c r="Z197" s="19">
        <f t="shared" si="37"/>
        <v>9.2319279599115608E-2</v>
      </c>
    </row>
    <row r="198" spans="1:26" s="24" customFormat="1" hidden="1" outlineLevel="1" x14ac:dyDescent="0.25">
      <c r="A198" s="44"/>
      <c r="B198" s="11" t="str">
        <f>CONCATENATE("          ", "5541", " - ", "FREIGHT-IN-LOGO GIFTS")</f>
        <v xml:space="preserve">          5541 - FREIGHT-IN-LOGO GIFTS</v>
      </c>
      <c r="C198" s="11"/>
      <c r="D198" s="2">
        <v>186.99</v>
      </c>
      <c r="E198" s="2"/>
      <c r="F198" s="19">
        <f t="shared" si="30"/>
        <v>3.7532528592886059E-4</v>
      </c>
      <c r="G198" s="2"/>
      <c r="H198" s="2">
        <v>769.17</v>
      </c>
      <c r="I198" s="2"/>
      <c r="J198" s="19">
        <f t="shared" si="31"/>
        <v>2.2445794400165192E-4</v>
      </c>
      <c r="K198" s="2"/>
      <c r="L198" s="2">
        <f t="shared" si="32"/>
        <v>-582.17999999999995</v>
      </c>
      <c r="M198" s="2"/>
      <c r="N198" s="19">
        <f t="shared" si="33"/>
        <v>-0.75689379460977413</v>
      </c>
      <c r="O198" s="11"/>
      <c r="P198" s="2">
        <v>4882.9399999999996</v>
      </c>
      <c r="Q198" s="2"/>
      <c r="R198" s="19">
        <f t="shared" si="34"/>
        <v>1.7728004870558165E-4</v>
      </c>
      <c r="S198" s="2"/>
      <c r="T198" s="2">
        <v>7484.78</v>
      </c>
      <c r="U198" s="2"/>
      <c r="V198" s="19">
        <f t="shared" si="35"/>
        <v>2.3186743667294777E-4</v>
      </c>
      <c r="W198" s="2"/>
      <c r="X198" s="2">
        <f t="shared" si="36"/>
        <v>-2601.84</v>
      </c>
      <c r="Y198" s="2"/>
      <c r="Z198" s="19">
        <f t="shared" si="37"/>
        <v>-0.3476174316412774</v>
      </c>
    </row>
    <row r="199" spans="1:26" s="24" customFormat="1" hidden="1" outlineLevel="1" x14ac:dyDescent="0.25">
      <c r="A199" s="44"/>
      <c r="B199" s="11" t="str">
        <f>CONCATENATE("          ", "5542", " - ", "FREIGHT-IN-EVERYDAY GIFTS")</f>
        <v xml:space="preserve">          5542 - FREIGHT-IN-EVERYDAY GIFTS</v>
      </c>
      <c r="C199" s="11"/>
      <c r="D199" s="2">
        <v>45.1</v>
      </c>
      <c r="E199" s="2"/>
      <c r="F199" s="19">
        <f t="shared" si="30"/>
        <v>9.0524468663520037E-5</v>
      </c>
      <c r="G199" s="2"/>
      <c r="H199" s="2">
        <v>86.05</v>
      </c>
      <c r="I199" s="2"/>
      <c r="J199" s="19">
        <f t="shared" si="31"/>
        <v>2.5110971672506922E-5</v>
      </c>
      <c r="K199" s="2"/>
      <c r="L199" s="2">
        <f t="shared" si="32"/>
        <v>-40.949999999999996</v>
      </c>
      <c r="M199" s="2"/>
      <c r="N199" s="19">
        <f t="shared" si="33"/>
        <v>-0.47588611272515974</v>
      </c>
      <c r="O199" s="11"/>
      <c r="P199" s="2">
        <v>1839.04</v>
      </c>
      <c r="Q199" s="2"/>
      <c r="R199" s="19">
        <f t="shared" si="34"/>
        <v>6.6768197186840907E-5</v>
      </c>
      <c r="S199" s="2"/>
      <c r="T199" s="2">
        <v>1592.16</v>
      </c>
      <c r="U199" s="2"/>
      <c r="V199" s="19">
        <f t="shared" si="35"/>
        <v>4.9322766731046275E-5</v>
      </c>
      <c r="W199" s="2"/>
      <c r="X199" s="2">
        <f t="shared" si="36"/>
        <v>246.87999999999988</v>
      </c>
      <c r="Y199" s="2"/>
      <c r="Z199" s="19">
        <f t="shared" si="37"/>
        <v>0.1550597929856295</v>
      </c>
    </row>
    <row r="200" spans="1:26" s="24" customFormat="1" hidden="1" outlineLevel="1" x14ac:dyDescent="0.25">
      <c r="A200" s="44"/>
      <c r="B200" s="11" t="str">
        <f>CONCATENATE("          ", "5543", " - ", "FREIGHT-IN-CARDS")</f>
        <v xml:space="preserve">          5543 - FREIGHT-IN-CARDS</v>
      </c>
      <c r="C200" s="11"/>
      <c r="D200" s="2"/>
      <c r="E200" s="2"/>
      <c r="F200" s="19">
        <f t="shared" si="30"/>
        <v>0</v>
      </c>
      <c r="G200" s="2"/>
      <c r="H200" s="2"/>
      <c r="I200" s="2"/>
      <c r="J200" s="19">
        <f t="shared" si="31"/>
        <v>0</v>
      </c>
      <c r="K200" s="2"/>
      <c r="L200" s="2">
        <f t="shared" si="32"/>
        <v>0</v>
      </c>
      <c r="M200" s="2"/>
      <c r="N200" s="19">
        <f t="shared" si="33"/>
        <v>0</v>
      </c>
      <c r="O200" s="11"/>
      <c r="P200" s="2">
        <v>2926.76</v>
      </c>
      <c r="Q200" s="2"/>
      <c r="R200" s="19">
        <f t="shared" si="34"/>
        <v>1.0625896598146777E-4</v>
      </c>
      <c r="S200" s="2"/>
      <c r="T200" s="2">
        <v>57.18</v>
      </c>
      <c r="U200" s="2"/>
      <c r="V200" s="19">
        <f t="shared" si="35"/>
        <v>1.7713520008549555E-6</v>
      </c>
      <c r="W200" s="2"/>
      <c r="X200" s="2">
        <f t="shared" si="36"/>
        <v>2869.5800000000004</v>
      </c>
      <c r="Y200" s="2"/>
      <c r="Z200" s="19">
        <f t="shared" si="37"/>
        <v>50.185029730675069</v>
      </c>
    </row>
    <row r="201" spans="1:26" s="24" customFormat="1" hidden="1" outlineLevel="1" x14ac:dyDescent="0.25">
      <c r="A201" s="44"/>
      <c r="B201" s="11" t="str">
        <f>CONCATENATE("          ", "5544", " - ", "FREIGHT-IN-ACCESSORIES")</f>
        <v xml:space="preserve">          5544 - FREIGHT-IN-ACCESSORIES</v>
      </c>
      <c r="C201" s="11"/>
      <c r="D201" s="2"/>
      <c r="E201" s="2"/>
      <c r="F201" s="19">
        <f t="shared" si="30"/>
        <v>0</v>
      </c>
      <c r="G201" s="2"/>
      <c r="H201" s="2">
        <v>66.27</v>
      </c>
      <c r="I201" s="2"/>
      <c r="J201" s="19">
        <f t="shared" si="31"/>
        <v>1.9338804099210153E-5</v>
      </c>
      <c r="K201" s="2"/>
      <c r="L201" s="2">
        <f t="shared" si="32"/>
        <v>-66.27</v>
      </c>
      <c r="M201" s="2"/>
      <c r="N201" s="19">
        <f t="shared" si="33"/>
        <v>-1</v>
      </c>
      <c r="O201" s="11"/>
      <c r="P201" s="2">
        <v>483.44</v>
      </c>
      <c r="Q201" s="2"/>
      <c r="R201" s="19">
        <f t="shared" si="34"/>
        <v>1.7551775517664848E-5</v>
      </c>
      <c r="S201" s="2"/>
      <c r="T201" s="2">
        <v>1133.42</v>
      </c>
      <c r="U201" s="2"/>
      <c r="V201" s="19">
        <f t="shared" si="35"/>
        <v>3.511167864303994E-5</v>
      </c>
      <c r="W201" s="2"/>
      <c r="X201" s="2">
        <f t="shared" si="36"/>
        <v>-649.98</v>
      </c>
      <c r="Y201" s="2"/>
      <c r="Z201" s="19">
        <f t="shared" si="37"/>
        <v>-0.57346791127737284</v>
      </c>
    </row>
    <row r="202" spans="1:26" s="24" customFormat="1" hidden="1" outlineLevel="1" x14ac:dyDescent="0.25">
      <c r="A202" s="44"/>
      <c r="B202" s="11" t="str">
        <f>CONCATENATE("          ", "5545", " - ", "FREIGHT-IN-SPECIAL ORDERS")</f>
        <v xml:space="preserve">          5545 - FREIGHT-IN-SPECIAL ORDERS</v>
      </c>
      <c r="C202" s="11"/>
      <c r="D202" s="2">
        <v>17.190000000000001</v>
      </c>
      <c r="E202" s="2"/>
      <c r="F202" s="19">
        <f t="shared" si="30"/>
        <v>3.4503672202348327E-5</v>
      </c>
      <c r="G202" s="2"/>
      <c r="H202" s="2">
        <v>86.51</v>
      </c>
      <c r="I202" s="2"/>
      <c r="J202" s="19">
        <f t="shared" si="31"/>
        <v>2.5245208127699872E-5</v>
      </c>
      <c r="K202" s="2"/>
      <c r="L202" s="2">
        <f t="shared" si="32"/>
        <v>-69.320000000000007</v>
      </c>
      <c r="M202" s="2"/>
      <c r="N202" s="19">
        <f t="shared" si="33"/>
        <v>-0.80129464801757022</v>
      </c>
      <c r="O202" s="11"/>
      <c r="P202" s="2">
        <v>892.26</v>
      </c>
      <c r="Q202" s="2"/>
      <c r="R202" s="19">
        <f t="shared" si="34"/>
        <v>3.2394396871155963E-5</v>
      </c>
      <c r="S202" s="2"/>
      <c r="T202" s="2">
        <v>1644.18</v>
      </c>
      <c r="U202" s="2"/>
      <c r="V202" s="19">
        <f t="shared" si="35"/>
        <v>5.0934269548193435E-5</v>
      </c>
      <c r="W202" s="2"/>
      <c r="X202" s="2">
        <f t="shared" si="36"/>
        <v>-751.92000000000007</v>
      </c>
      <c r="Y202" s="2"/>
      <c r="Z202" s="19">
        <f t="shared" si="37"/>
        <v>-0.45732219100098531</v>
      </c>
    </row>
    <row r="203" spans="1:26" s="24" customFormat="1" hidden="1" outlineLevel="1" x14ac:dyDescent="0.25">
      <c r="A203" s="44"/>
      <c r="B203" s="11" t="str">
        <f>CONCATENATE("          ", "5581", " - ", "FREIGHT-IN-ELECTRONICS")</f>
        <v xml:space="preserve">          5581 - FREIGHT-IN-ELECTRONICS</v>
      </c>
      <c r="C203" s="11"/>
      <c r="D203" s="2"/>
      <c r="E203" s="2"/>
      <c r="F203" s="19">
        <f t="shared" si="30"/>
        <v>0</v>
      </c>
      <c r="G203" s="2"/>
      <c r="H203" s="2"/>
      <c r="I203" s="2"/>
      <c r="J203" s="19">
        <f t="shared" si="31"/>
        <v>0</v>
      </c>
      <c r="K203" s="2"/>
      <c r="L203" s="2">
        <f t="shared" si="32"/>
        <v>0</v>
      </c>
      <c r="M203" s="2"/>
      <c r="N203" s="19">
        <f t="shared" si="33"/>
        <v>0</v>
      </c>
      <c r="O203" s="11"/>
      <c r="P203" s="2">
        <v>105.75</v>
      </c>
      <c r="Q203" s="2"/>
      <c r="R203" s="19">
        <f t="shared" si="34"/>
        <v>3.8393601294743051E-6</v>
      </c>
      <c r="S203" s="2"/>
      <c r="T203" s="2"/>
      <c r="U203" s="2"/>
      <c r="V203" s="19">
        <f t="shared" si="35"/>
        <v>0</v>
      </c>
      <c r="W203" s="2"/>
      <c r="X203" s="2">
        <f t="shared" si="36"/>
        <v>105.75</v>
      </c>
      <c r="Y203" s="2"/>
      <c r="Z203" s="19">
        <f t="shared" si="37"/>
        <v>0</v>
      </c>
    </row>
    <row r="204" spans="1:26" s="24" customFormat="1" hidden="1" outlineLevel="1" x14ac:dyDescent="0.25">
      <c r="A204" s="44"/>
      <c r="B204" s="11" t="str">
        <f>CONCATENATE("          ", "5582", " - ", "FREIGHT-IN-COMPUTER HARDWARE")</f>
        <v xml:space="preserve">          5582 - FREIGHT-IN-COMPUTER HARDWARE</v>
      </c>
      <c r="C204" s="11"/>
      <c r="D204" s="2"/>
      <c r="E204" s="2"/>
      <c r="F204" s="19">
        <f t="shared" si="30"/>
        <v>0</v>
      </c>
      <c r="G204" s="2"/>
      <c r="H204" s="2"/>
      <c r="I204" s="2"/>
      <c r="J204" s="19">
        <f t="shared" si="31"/>
        <v>0</v>
      </c>
      <c r="K204" s="2"/>
      <c r="L204" s="2">
        <f t="shared" si="32"/>
        <v>0</v>
      </c>
      <c r="M204" s="2"/>
      <c r="N204" s="19">
        <f t="shared" si="33"/>
        <v>0</v>
      </c>
      <c r="O204" s="11"/>
      <c r="P204" s="2">
        <v>154.30000000000001</v>
      </c>
      <c r="Q204" s="2"/>
      <c r="R204" s="19">
        <f t="shared" si="34"/>
        <v>5.6020167184670004E-6</v>
      </c>
      <c r="S204" s="2"/>
      <c r="T204" s="2">
        <v>12</v>
      </c>
      <c r="U204" s="2"/>
      <c r="V204" s="19">
        <f t="shared" si="35"/>
        <v>3.7174228769254049E-7</v>
      </c>
      <c r="W204" s="2"/>
      <c r="X204" s="2">
        <f t="shared" si="36"/>
        <v>142.30000000000001</v>
      </c>
      <c r="Y204" s="2"/>
      <c r="Z204" s="19">
        <f t="shared" si="37"/>
        <v>11.858333333333334</v>
      </c>
    </row>
    <row r="205" spans="1:26" s="24" customFormat="1" hidden="1" outlineLevel="1" x14ac:dyDescent="0.25">
      <c r="A205" s="44"/>
      <c r="B205" s="11" t="str">
        <f>CONCATENATE("          ", "5583", " - ", "FREIGHT-IN-COMPUTER EQUIPMENT")</f>
        <v xml:space="preserve">          5583 - FREIGHT-IN-COMPUTER EQUIPMENT</v>
      </c>
      <c r="C205" s="11"/>
      <c r="D205" s="2">
        <v>39.049999999999997</v>
      </c>
      <c r="E205" s="2"/>
      <c r="F205" s="19">
        <f t="shared" si="30"/>
        <v>7.8380942379389291E-5</v>
      </c>
      <c r="G205" s="2"/>
      <c r="H205" s="2"/>
      <c r="I205" s="2"/>
      <c r="J205" s="19">
        <f t="shared" si="31"/>
        <v>0</v>
      </c>
      <c r="K205" s="2"/>
      <c r="L205" s="2">
        <f t="shared" si="32"/>
        <v>39.049999999999997</v>
      </c>
      <c r="M205" s="2"/>
      <c r="N205" s="19">
        <f t="shared" si="33"/>
        <v>0</v>
      </c>
      <c r="O205" s="11"/>
      <c r="P205" s="2">
        <v>96.55</v>
      </c>
      <c r="Q205" s="2"/>
      <c r="R205" s="19">
        <f t="shared" si="34"/>
        <v>3.5053448747115281E-6</v>
      </c>
      <c r="S205" s="2"/>
      <c r="T205" s="2">
        <v>89.38</v>
      </c>
      <c r="U205" s="2"/>
      <c r="V205" s="19">
        <f t="shared" si="35"/>
        <v>2.768860472829939E-6</v>
      </c>
      <c r="W205" s="2"/>
      <c r="X205" s="2">
        <f t="shared" si="36"/>
        <v>7.1700000000000017</v>
      </c>
      <c r="Y205" s="2"/>
      <c r="Z205" s="19">
        <f t="shared" si="37"/>
        <v>8.0219288431416444E-2</v>
      </c>
    </row>
    <row r="206" spans="1:26" s="24" customFormat="1" hidden="1" outlineLevel="1" x14ac:dyDescent="0.25">
      <c r="A206" s="44"/>
      <c r="B206" s="11" t="str">
        <f>CONCATENATE("          ", "5586", " - ", "FREIGHT-IN-COMPUTER SUPPLIES")</f>
        <v xml:space="preserve">          5586 - FREIGHT-IN-COMPUTER SUPPLIES</v>
      </c>
      <c r="C206" s="11"/>
      <c r="D206" s="2"/>
      <c r="E206" s="2"/>
      <c r="F206" s="19">
        <f t="shared" si="30"/>
        <v>0</v>
      </c>
      <c r="G206" s="2"/>
      <c r="H206" s="2">
        <v>31.46</v>
      </c>
      <c r="I206" s="2"/>
      <c r="J206" s="19">
        <f t="shared" si="31"/>
        <v>9.1806062616742335E-6</v>
      </c>
      <c r="K206" s="2"/>
      <c r="L206" s="2">
        <f t="shared" si="32"/>
        <v>-31.46</v>
      </c>
      <c r="M206" s="2"/>
      <c r="N206" s="19">
        <f t="shared" si="33"/>
        <v>-1</v>
      </c>
      <c r="O206" s="11"/>
      <c r="P206" s="2">
        <v>301.27</v>
      </c>
      <c r="Q206" s="2"/>
      <c r="R206" s="19">
        <f t="shared" si="34"/>
        <v>1.0937910413302352E-5</v>
      </c>
      <c r="S206" s="2"/>
      <c r="T206" s="2">
        <v>365.96</v>
      </c>
      <c r="U206" s="2"/>
      <c r="V206" s="19">
        <f t="shared" si="35"/>
        <v>1.133690063366351E-5</v>
      </c>
      <c r="W206" s="2"/>
      <c r="X206" s="2">
        <f t="shared" si="36"/>
        <v>-64.69</v>
      </c>
      <c r="Y206" s="2"/>
      <c r="Z206" s="19">
        <f t="shared" si="37"/>
        <v>-0.17676795278172477</v>
      </c>
    </row>
    <row r="207" spans="1:26" s="24" customFormat="1" hidden="1" outlineLevel="1" x14ac:dyDescent="0.25">
      <c r="A207" s="44"/>
      <c r="B207" s="11" t="str">
        <f>CONCATENATE("          ", "5592", " - ", "FREIGHT-IN-GRAD MERCH")</f>
        <v xml:space="preserve">          5592 - FREIGHT-IN-GRAD MERCH</v>
      </c>
      <c r="C207" s="11"/>
      <c r="D207" s="2"/>
      <c r="E207" s="2"/>
      <c r="F207" s="19">
        <f t="shared" si="30"/>
        <v>0</v>
      </c>
      <c r="G207" s="2"/>
      <c r="H207" s="2">
        <v>1266.43</v>
      </c>
      <c r="I207" s="2"/>
      <c r="J207" s="19">
        <f t="shared" si="31"/>
        <v>3.6956755206522888E-4</v>
      </c>
      <c r="K207" s="2"/>
      <c r="L207" s="2">
        <f t="shared" si="32"/>
        <v>-1266.43</v>
      </c>
      <c r="M207" s="2"/>
      <c r="N207" s="19">
        <f t="shared" si="33"/>
        <v>-1</v>
      </c>
      <c r="O207" s="11"/>
      <c r="P207" s="2">
        <v>118.73</v>
      </c>
      <c r="Q207" s="2"/>
      <c r="R207" s="19">
        <f t="shared" si="34"/>
        <v>4.3106120867374395E-6</v>
      </c>
      <c r="S207" s="2"/>
      <c r="T207" s="2">
        <v>1580.77</v>
      </c>
      <c r="U207" s="2"/>
      <c r="V207" s="19">
        <f t="shared" si="35"/>
        <v>4.8969921342978098E-5</v>
      </c>
      <c r="W207" s="2"/>
      <c r="X207" s="2">
        <f t="shared" si="36"/>
        <v>-1462.04</v>
      </c>
      <c r="Y207" s="2"/>
      <c r="Z207" s="19">
        <f t="shared" si="37"/>
        <v>-0.92489103411628504</v>
      </c>
    </row>
    <row r="208" spans="1:26" x14ac:dyDescent="0.25">
      <c r="A208" s="9"/>
      <c r="B208" s="10"/>
      <c r="C208" s="10"/>
      <c r="D208" s="3"/>
      <c r="E208" s="3"/>
      <c r="F208" s="8"/>
      <c r="G208" s="3"/>
      <c r="H208" s="3"/>
      <c r="I208" s="3"/>
      <c r="J208" s="8"/>
      <c r="K208" s="3"/>
      <c r="L208" s="3"/>
      <c r="M208" s="3"/>
      <c r="N208" s="8"/>
      <c r="O208" s="10"/>
      <c r="P208" s="3"/>
      <c r="Q208" s="3"/>
      <c r="R208" s="8"/>
      <c r="S208" s="3"/>
      <c r="T208" s="3"/>
      <c r="U208" s="3"/>
      <c r="V208" s="8"/>
      <c r="W208" s="3"/>
      <c r="X208" s="3"/>
      <c r="Y208" s="3"/>
      <c r="Z208" s="8"/>
    </row>
    <row r="209" spans="1:26" s="23" customFormat="1" x14ac:dyDescent="0.25">
      <c r="A209" s="10"/>
      <c r="B209" s="28" t="s">
        <v>6</v>
      </c>
      <c r="C209" s="28"/>
      <c r="D209" s="21">
        <f>D12-D147</f>
        <v>-31766.479999999865</v>
      </c>
      <c r="E209" s="14"/>
      <c r="F209" s="20">
        <f>IF(D$12=0,0,D209/D$12)</f>
        <v>-6.3761501625506062E-2</v>
      </c>
      <c r="G209" s="14"/>
      <c r="H209" s="21">
        <f>H12-H147</f>
        <v>2255707.8399999989</v>
      </c>
      <c r="I209" s="14"/>
      <c r="J209" s="20">
        <f>IF(H$12=0,0,H209/H$12)</f>
        <v>0.65825700954900346</v>
      </c>
      <c r="K209" s="15"/>
      <c r="L209" s="21">
        <f>+D209-H209</f>
        <v>-2287474.3199999989</v>
      </c>
      <c r="M209" s="15"/>
      <c r="N209" s="20">
        <f>IF(H209=0,0,L209/H209)</f>
        <v>-1.0140827102857435</v>
      </c>
      <c r="O209" s="29"/>
      <c r="P209" s="21">
        <f>P12-P147</f>
        <v>15388737.549999995</v>
      </c>
      <c r="Q209" s="14"/>
      <c r="R209" s="20">
        <f>IF(P$12=0,0,P209/P$12)</f>
        <v>0.55870359709138606</v>
      </c>
      <c r="S209" s="14"/>
      <c r="T209" s="21">
        <f>T12-T147</f>
        <v>18458955.039999999</v>
      </c>
      <c r="U209" s="14"/>
      <c r="V209" s="20">
        <f>IF(T$12=0,0,T209/T$12)</f>
        <v>0.57183118124861254</v>
      </c>
      <c r="W209" s="15"/>
      <c r="X209" s="21">
        <f>+P209-T209</f>
        <v>-3070217.4900000039</v>
      </c>
      <c r="Y209" s="15"/>
      <c r="Z209" s="20">
        <f>IF(T209=0,0,X209/T209)</f>
        <v>-0.16632672236033597</v>
      </c>
    </row>
    <row r="210" spans="1:26" x14ac:dyDescent="0.25">
      <c r="A210" s="9"/>
      <c r="B210" s="10"/>
      <c r="C210" s="9"/>
      <c r="D210" s="1"/>
      <c r="E210" s="1"/>
      <c r="F210" s="5"/>
      <c r="G210" s="1"/>
      <c r="H210" s="1"/>
      <c r="I210" s="1"/>
      <c r="J210" s="5"/>
      <c r="K210" s="1"/>
      <c r="L210" s="1"/>
      <c r="M210" s="1"/>
      <c r="N210" s="5"/>
      <c r="O210" s="37"/>
      <c r="P210" s="1"/>
      <c r="Q210" s="1"/>
      <c r="R210" s="5"/>
      <c r="S210" s="1"/>
      <c r="T210" s="1"/>
      <c r="U210" s="1"/>
      <c r="V210" s="5"/>
      <c r="W210" s="1"/>
      <c r="X210" s="1"/>
      <c r="Y210" s="1"/>
      <c r="Z210" s="5"/>
    </row>
    <row r="211" spans="1:26" s="23" customFormat="1" x14ac:dyDescent="0.25">
      <c r="A211" s="10"/>
      <c r="B211" s="29" t="s">
        <v>9</v>
      </c>
      <c r="C211" s="10"/>
      <c r="D211" s="22">
        <f>SUM(OSRRefD22x_0)</f>
        <v>523929.18000000005</v>
      </c>
      <c r="E211" s="22"/>
      <c r="F211" s="35">
        <f t="shared" ref="F211:F221" si="38">IF(D$12=0,0,D211/D$12)</f>
        <v>1.0516277303062915</v>
      </c>
      <c r="G211" s="22"/>
      <c r="H211" s="22">
        <f>SUM(OSRRefH22x_0)</f>
        <v>1577003.2500000002</v>
      </c>
      <c r="I211" s="22"/>
      <c r="J211" s="35">
        <f t="shared" ref="J211:J221" si="39">IF(H$12=0,0,H211/H$12)</f>
        <v>0.46019853501686647</v>
      </c>
      <c r="K211" s="4"/>
      <c r="L211" s="22">
        <f t="shared" ref="L211:L221" si="40">+D211-H211</f>
        <v>-1053074.0700000003</v>
      </c>
      <c r="M211" s="4"/>
      <c r="N211" s="35">
        <f t="shared" ref="N211:N221" si="41">IF(H211=0,0,L211/H211)</f>
        <v>-0.66776911842128428</v>
      </c>
      <c r="O211" s="10"/>
      <c r="P211" s="22">
        <f>SUM(OSRRefP22x_0)</f>
        <v>14423452.350000001</v>
      </c>
      <c r="Q211" s="22"/>
      <c r="R211" s="35">
        <f t="shared" ref="R211:R221" si="42">IF(P$12=0,0,P211/P$12)</f>
        <v>0.52365794687434963</v>
      </c>
      <c r="S211" s="22"/>
      <c r="T211" s="22">
        <f>SUM(OSRRefT22x_0)</f>
        <v>14782375.200000003</v>
      </c>
      <c r="U211" s="22"/>
      <c r="V211" s="35">
        <f t="shared" ref="V211:V221" si="43">IF(T$12=0,0,T211/T$12)</f>
        <v>0.45793616453145641</v>
      </c>
      <c r="W211" s="4"/>
      <c r="X211" s="22">
        <f t="shared" ref="X211:X221" si="44">+P211-T211</f>
        <v>-358922.85000000149</v>
      </c>
      <c r="Y211" s="4"/>
      <c r="Z211" s="35">
        <f t="shared" ref="Z211:Z221" si="45">IF(T211=0,0,X211/T211)</f>
        <v>-2.4280458664044831E-2</v>
      </c>
    </row>
    <row r="212" spans="1:26" s="25" customFormat="1" outlineLevel="1" collapsed="1" x14ac:dyDescent="0.25">
      <c r="A212" s="26"/>
      <c r="B212" s="13" t="str">
        <f>CONCATENATE("     ","*Benefits                                         ")</f>
        <v xml:space="preserve">     *Benefits                                         </v>
      </c>
      <c r="C212" s="13"/>
      <c r="D212" s="1">
        <f>SUM(OSRRefD22_0x_0)</f>
        <v>12683.000000000022</v>
      </c>
      <c r="E212" s="1"/>
      <c r="F212" s="5">
        <f t="shared" si="38"/>
        <v>2.545724691927775E-2</v>
      </c>
      <c r="G212" s="1"/>
      <c r="H212" s="1">
        <f>SUM(OSRRefH22_0x_0)</f>
        <v>208287.40999999995</v>
      </c>
      <c r="I212" s="1"/>
      <c r="J212" s="5">
        <f t="shared" si="39"/>
        <v>6.0782094738522183E-2</v>
      </c>
      <c r="K212" s="1"/>
      <c r="L212" s="1">
        <f t="shared" si="40"/>
        <v>-195604.40999999992</v>
      </c>
      <c r="M212" s="1"/>
      <c r="N212" s="5">
        <f t="shared" si="41"/>
        <v>-0.93910817749378117</v>
      </c>
      <c r="O212" s="13"/>
      <c r="P212" s="1">
        <f>SUM(OSRRefP22_0x_0)</f>
        <v>2112894.0500000003</v>
      </c>
      <c r="Q212" s="1"/>
      <c r="R212" s="5">
        <f t="shared" si="42"/>
        <v>7.6710743956250493E-2</v>
      </c>
      <c r="S212" s="1"/>
      <c r="T212" s="1">
        <f>SUM(OSRRefT22_0x_0)</f>
        <v>2185077.63</v>
      </c>
      <c r="U212" s="1"/>
      <c r="V212" s="5">
        <f t="shared" si="43"/>
        <v>6.7690479746832871E-2</v>
      </c>
      <c r="W212" s="1"/>
      <c r="X212" s="1">
        <f t="shared" si="44"/>
        <v>-72183.579999999609</v>
      </c>
      <c r="Y212" s="1"/>
      <c r="Z212" s="5">
        <f t="shared" si="45"/>
        <v>-3.3034789706761866E-2</v>
      </c>
    </row>
    <row r="213" spans="1:26" s="24" customFormat="1" hidden="1" outlineLevel="2" x14ac:dyDescent="0.25">
      <c r="A213" s="27"/>
      <c r="B213" s="11" t="str">
        <f>CONCATENATE("          ", "6111", " - ", "F.I.C.A.")</f>
        <v xml:space="preserve">          6111 - F.I.C.A.</v>
      </c>
      <c r="C213" s="11"/>
      <c r="D213" s="6">
        <v>27197.98</v>
      </c>
      <c r="E213" s="2"/>
      <c r="F213" s="7">
        <f t="shared" si="38"/>
        <v>5.4591633885167287E-2</v>
      </c>
      <c r="G213" s="2"/>
      <c r="H213" s="6">
        <v>31345.500000000004</v>
      </c>
      <c r="I213" s="2"/>
      <c r="J213" s="7">
        <f t="shared" si="39"/>
        <v>9.1471930570664241E-3</v>
      </c>
      <c r="K213" s="2"/>
      <c r="L213" s="6">
        <f t="shared" si="40"/>
        <v>-4147.5200000000041</v>
      </c>
      <c r="M213" s="2"/>
      <c r="N213" s="7">
        <f t="shared" si="41"/>
        <v>-0.13231628144390753</v>
      </c>
      <c r="O213" s="11"/>
      <c r="P213" s="6">
        <v>402665.41000000003</v>
      </c>
      <c r="Q213" s="2"/>
      <c r="R213" s="7">
        <f t="shared" si="42"/>
        <v>1.4619172772316067E-2</v>
      </c>
      <c r="S213" s="2"/>
      <c r="T213" s="6">
        <v>359082.45</v>
      </c>
      <c r="U213" s="2"/>
      <c r="V213" s="7">
        <f t="shared" si="43"/>
        <v>1.1123844286103524E-2</v>
      </c>
      <c r="W213" s="2"/>
      <c r="X213" s="6">
        <f t="shared" si="44"/>
        <v>43582.960000000021</v>
      </c>
      <c r="Y213" s="2"/>
      <c r="Z213" s="7">
        <f t="shared" si="45"/>
        <v>0.1213731275365867</v>
      </c>
    </row>
    <row r="214" spans="1:26" s="24" customFormat="1" hidden="1" outlineLevel="2" x14ac:dyDescent="0.25">
      <c r="A214" s="27"/>
      <c r="B214" s="11" t="str">
        <f>CONCATENATE("          ", "6112", " - ", "COMPENSATION INSURANCE")</f>
        <v xml:space="preserve">          6112 - COMPENSATION INSURANCE</v>
      </c>
      <c r="C214" s="11"/>
      <c r="D214" s="6">
        <v>6193.7</v>
      </c>
      <c r="E214" s="2"/>
      <c r="F214" s="7">
        <f t="shared" si="38"/>
        <v>1.2431960123309179E-2</v>
      </c>
      <c r="G214" s="2"/>
      <c r="H214" s="6">
        <v>17333.809999999998</v>
      </c>
      <c r="I214" s="2"/>
      <c r="J214" s="7">
        <f t="shared" si="39"/>
        <v>5.0583243682349463E-3</v>
      </c>
      <c r="K214" s="2"/>
      <c r="L214" s="6">
        <f t="shared" si="40"/>
        <v>-11140.109999999997</v>
      </c>
      <c r="M214" s="2"/>
      <c r="N214" s="7">
        <f t="shared" si="41"/>
        <v>-0.6426809801192005</v>
      </c>
      <c r="O214" s="11"/>
      <c r="P214" s="6">
        <v>191651.80000000002</v>
      </c>
      <c r="Q214" s="2"/>
      <c r="R214" s="7">
        <f t="shared" si="42"/>
        <v>6.958111391602682E-3</v>
      </c>
      <c r="S214" s="2"/>
      <c r="T214" s="6">
        <v>164831.92000000001</v>
      </c>
      <c r="U214" s="2"/>
      <c r="V214" s="7">
        <f t="shared" si="43"/>
        <v>5.1062495854628182E-3</v>
      </c>
      <c r="W214" s="2"/>
      <c r="X214" s="6">
        <f t="shared" si="44"/>
        <v>26819.880000000005</v>
      </c>
      <c r="Y214" s="2"/>
      <c r="Z214" s="7">
        <f t="shared" si="45"/>
        <v>0.16271047500993741</v>
      </c>
    </row>
    <row r="215" spans="1:26" s="24" customFormat="1" hidden="1" outlineLevel="2" x14ac:dyDescent="0.25">
      <c r="A215" s="27"/>
      <c r="B215" s="11" t="str">
        <f>CONCATENATE("          ", "6113", " - ", "GROUP INSURANCE")</f>
        <v xml:space="preserve">          6113 - GROUP INSURANCE</v>
      </c>
      <c r="C215" s="11"/>
      <c r="D215" s="6">
        <v>75664.960000000006</v>
      </c>
      <c r="E215" s="2"/>
      <c r="F215" s="7">
        <f t="shared" si="38"/>
        <v>0.1518742860409423</v>
      </c>
      <c r="G215" s="2"/>
      <c r="H215" s="6">
        <v>96668.099999999991</v>
      </c>
      <c r="I215" s="2"/>
      <c r="J215" s="7">
        <f t="shared" si="39"/>
        <v>2.8209528422255273E-2</v>
      </c>
      <c r="K215" s="2"/>
      <c r="L215" s="6">
        <f t="shared" si="40"/>
        <v>-21003.139999999985</v>
      </c>
      <c r="M215" s="2"/>
      <c r="N215" s="7">
        <f t="shared" si="41"/>
        <v>-0.21727064046981359</v>
      </c>
      <c r="O215" s="11"/>
      <c r="P215" s="6">
        <v>952783.74</v>
      </c>
      <c r="Q215" s="2"/>
      <c r="R215" s="7">
        <f t="shared" si="42"/>
        <v>3.4591772135862058E-2</v>
      </c>
      <c r="S215" s="2"/>
      <c r="T215" s="6">
        <v>943478.9</v>
      </c>
      <c r="U215" s="2"/>
      <c r="V215" s="7">
        <f t="shared" si="43"/>
        <v>2.9227583722970137E-2</v>
      </c>
      <c r="W215" s="2"/>
      <c r="X215" s="6">
        <f t="shared" si="44"/>
        <v>9304.8399999999674</v>
      </c>
      <c r="Y215" s="2"/>
      <c r="Z215" s="7">
        <f t="shared" si="45"/>
        <v>9.8622661301699145E-3</v>
      </c>
    </row>
    <row r="216" spans="1:26" s="24" customFormat="1" hidden="1" outlineLevel="2" x14ac:dyDescent="0.25">
      <c r="A216" s="27"/>
      <c r="B216" s="11" t="str">
        <f>CONCATENATE("          ", "6114", " - ", "STATE UNEMPLOYMENT INSURANCE")</f>
        <v xml:space="preserve">          6114 - STATE UNEMPLOYMENT INSURANCE</v>
      </c>
      <c r="C216" s="11"/>
      <c r="D216" s="6">
        <v>654.33000000000004</v>
      </c>
      <c r="E216" s="2"/>
      <c r="F216" s="7">
        <f t="shared" si="38"/>
        <v>1.3133675295033496E-3</v>
      </c>
      <c r="G216" s="2"/>
      <c r="H216" s="6">
        <v>1716.69</v>
      </c>
      <c r="I216" s="2"/>
      <c r="J216" s="7">
        <f t="shared" si="39"/>
        <v>5.0096169622865672E-4</v>
      </c>
      <c r="K216" s="2"/>
      <c r="L216" s="6">
        <f t="shared" si="40"/>
        <v>-1062.3600000000001</v>
      </c>
      <c r="M216" s="2"/>
      <c r="N216" s="7">
        <f t="shared" si="41"/>
        <v>-0.61884207399122737</v>
      </c>
      <c r="O216" s="11"/>
      <c r="P216" s="6">
        <v>19648.710000000003</v>
      </c>
      <c r="Q216" s="2"/>
      <c r="R216" s="7">
        <f t="shared" si="42"/>
        <v>7.1336618221846883E-4</v>
      </c>
      <c r="S216" s="2"/>
      <c r="T216" s="6">
        <v>19123.82</v>
      </c>
      <c r="U216" s="2"/>
      <c r="V216" s="7">
        <f t="shared" si="43"/>
        <v>5.9242771635169668E-4</v>
      </c>
      <c r="W216" s="2"/>
      <c r="X216" s="6">
        <f t="shared" si="44"/>
        <v>524.89000000000306</v>
      </c>
      <c r="Y216" s="2"/>
      <c r="Z216" s="7">
        <f t="shared" si="45"/>
        <v>2.7446922215331616E-2</v>
      </c>
    </row>
    <row r="217" spans="1:26" s="24" customFormat="1" hidden="1" outlineLevel="2" x14ac:dyDescent="0.25">
      <c r="A217" s="27"/>
      <c r="B217" s="11" t="str">
        <f>CONCATENATE("          ", "6115", " - ", "P.E.R.S.")</f>
        <v xml:space="preserve">          6115 - P.E.R.S.</v>
      </c>
      <c r="C217" s="11"/>
      <c r="D217" s="6">
        <v>16995.66</v>
      </c>
      <c r="E217" s="2"/>
      <c r="F217" s="7">
        <f t="shared" si="38"/>
        <v>3.4113594037380061E-2</v>
      </c>
      <c r="G217" s="2"/>
      <c r="H217" s="6">
        <v>17306.28</v>
      </c>
      <c r="I217" s="2"/>
      <c r="J217" s="7">
        <f t="shared" si="39"/>
        <v>5.0502906082100299E-3</v>
      </c>
      <c r="K217" s="2"/>
      <c r="L217" s="6">
        <f t="shared" si="40"/>
        <v>-310.61999999999898</v>
      </c>
      <c r="M217" s="2"/>
      <c r="N217" s="7">
        <f t="shared" si="41"/>
        <v>-1.7948397922603759E-2</v>
      </c>
      <c r="O217" s="11"/>
      <c r="P217" s="6">
        <v>212891.25999999998</v>
      </c>
      <c r="Q217" s="2"/>
      <c r="R217" s="7">
        <f t="shared" si="42"/>
        <v>7.7292313527900502E-3</v>
      </c>
      <c r="S217" s="2"/>
      <c r="T217" s="6">
        <v>200601.66</v>
      </c>
      <c r="U217" s="2"/>
      <c r="V217" s="7">
        <f t="shared" si="43"/>
        <v>6.2143433336100994E-3</v>
      </c>
      <c r="W217" s="2"/>
      <c r="X217" s="6">
        <f t="shared" si="44"/>
        <v>12289.599999999977</v>
      </c>
      <c r="Y217" s="2"/>
      <c r="Z217" s="7">
        <f t="shared" si="45"/>
        <v>6.1263700410056313E-2</v>
      </c>
    </row>
    <row r="218" spans="1:26" s="24" customFormat="1" hidden="1" outlineLevel="2" x14ac:dyDescent="0.25">
      <c r="A218" s="27"/>
      <c r="B218" s="11" t="str">
        <f>CONCATENATE("          ", "6117", " - ", "RETIREMENT STAFF HOURLY")</f>
        <v xml:space="preserve">          6117 - RETIREMENT STAFF HOURLY</v>
      </c>
      <c r="C218" s="11"/>
      <c r="D218" s="6">
        <v>4773.1899999999996</v>
      </c>
      <c r="E218" s="2"/>
      <c r="F218" s="7">
        <f t="shared" si="38"/>
        <v>9.5807203676280973E-3</v>
      </c>
      <c r="G218" s="2"/>
      <c r="H218" s="6">
        <v>2787.09</v>
      </c>
      <c r="I218" s="2"/>
      <c r="J218" s="7">
        <f t="shared" si="39"/>
        <v>8.1332409109502988E-4</v>
      </c>
      <c r="K218" s="2"/>
      <c r="L218" s="6">
        <f t="shared" si="40"/>
        <v>1986.0999999999995</v>
      </c>
      <c r="M218" s="2"/>
      <c r="N218" s="7">
        <f t="shared" si="41"/>
        <v>0.71260705610511299</v>
      </c>
      <c r="O218" s="11"/>
      <c r="P218" s="6">
        <v>22717.62</v>
      </c>
      <c r="Q218" s="2"/>
      <c r="R218" s="7">
        <f t="shared" si="42"/>
        <v>8.2478604694608091E-4</v>
      </c>
      <c r="S218" s="2"/>
      <c r="T218" s="6">
        <v>20443.190000000002</v>
      </c>
      <c r="U218" s="2"/>
      <c r="V218" s="7">
        <f t="shared" si="43"/>
        <v>6.3329985152777227E-4</v>
      </c>
      <c r="W218" s="2"/>
      <c r="X218" s="6">
        <f t="shared" si="44"/>
        <v>2274.4299999999967</v>
      </c>
      <c r="Y218" s="2"/>
      <c r="Z218" s="7">
        <f t="shared" si="45"/>
        <v>0.11125612000866775</v>
      </c>
    </row>
    <row r="219" spans="1:26" s="24" customFormat="1" hidden="1" outlineLevel="2" x14ac:dyDescent="0.25">
      <c r="A219" s="27"/>
      <c r="B219" s="11" t="str">
        <f>CONCATENATE("          ", "6118", " - ", "VACATION")</f>
        <v xml:space="preserve">          6118 - VACATION</v>
      </c>
      <c r="C219" s="11"/>
      <c r="D219" s="6">
        <v>21579</v>
      </c>
      <c r="E219" s="2"/>
      <c r="F219" s="7">
        <f t="shared" si="38"/>
        <v>4.3313248543017713E-2</v>
      </c>
      <c r="G219" s="2"/>
      <c r="H219" s="6">
        <v>19418.8</v>
      </c>
      <c r="I219" s="2"/>
      <c r="J219" s="7">
        <f t="shared" si="39"/>
        <v>5.6667627741322189E-3</v>
      </c>
      <c r="K219" s="2"/>
      <c r="L219" s="6">
        <f t="shared" si="40"/>
        <v>2160.2000000000007</v>
      </c>
      <c r="M219" s="2"/>
      <c r="N219" s="7">
        <f t="shared" si="41"/>
        <v>0.1112427132469566</v>
      </c>
      <c r="O219" s="11"/>
      <c r="P219" s="6">
        <v>240270.43000000002</v>
      </c>
      <c r="Q219" s="2"/>
      <c r="R219" s="7">
        <f t="shared" si="42"/>
        <v>8.7232596617838956E-3</v>
      </c>
      <c r="S219" s="2"/>
      <c r="T219" s="6">
        <v>219649.69</v>
      </c>
      <c r="U219" s="2"/>
      <c r="V219" s="7">
        <f t="shared" si="43"/>
        <v>6.8044231876297776E-3</v>
      </c>
      <c r="W219" s="2"/>
      <c r="X219" s="6">
        <f t="shared" si="44"/>
        <v>20620.74000000002</v>
      </c>
      <c r="Y219" s="2"/>
      <c r="Z219" s="7">
        <f t="shared" si="45"/>
        <v>9.3880123391023307E-2</v>
      </c>
    </row>
    <row r="220" spans="1:26" s="24" customFormat="1" hidden="1" outlineLevel="2" x14ac:dyDescent="0.25">
      <c r="A220" s="27"/>
      <c r="B220" s="11" t="str">
        <f>CONCATENATE("          ", "6119", " - ", "SICK LEAVE")</f>
        <v xml:space="preserve">          6119 - SICK LEAVE</v>
      </c>
      <c r="C220" s="11"/>
      <c r="D220" s="6">
        <v>-143349.63999999998</v>
      </c>
      <c r="E220" s="2"/>
      <c r="F220" s="7">
        <f t="shared" si="38"/>
        <v>-0.28773059853895516</v>
      </c>
      <c r="G220" s="2"/>
      <c r="H220" s="6">
        <v>13313.96</v>
      </c>
      <c r="I220" s="2"/>
      <c r="J220" s="7">
        <f t="shared" si="39"/>
        <v>3.8852582499580507E-3</v>
      </c>
      <c r="K220" s="2"/>
      <c r="L220" s="6">
        <f t="shared" si="40"/>
        <v>-156663.59999999998</v>
      </c>
      <c r="M220" s="2"/>
      <c r="N220" s="7">
        <f t="shared" si="41"/>
        <v>-11.766867258126057</v>
      </c>
      <c r="O220" s="11"/>
      <c r="P220" s="6">
        <v>-18052.37</v>
      </c>
      <c r="Q220" s="2"/>
      <c r="R220" s="7">
        <f t="shared" si="42"/>
        <v>-6.5540945267629361E-4</v>
      </c>
      <c r="S220" s="2"/>
      <c r="T220" s="6">
        <v>167520.30000000002</v>
      </c>
      <c r="U220" s="2"/>
      <c r="V220" s="7">
        <f t="shared" si="43"/>
        <v>5.189531629745058E-3</v>
      </c>
      <c r="W220" s="2"/>
      <c r="X220" s="6">
        <f t="shared" si="44"/>
        <v>-185572.67</v>
      </c>
      <c r="Y220" s="2"/>
      <c r="Z220" s="7">
        <f t="shared" si="45"/>
        <v>-1.1077622831382226</v>
      </c>
    </row>
    <row r="221" spans="1:26" s="24" customFormat="1" hidden="1" outlineLevel="2" x14ac:dyDescent="0.25">
      <c r="A221" s="27"/>
      <c r="B221" s="11" t="str">
        <f>CONCATENATE("          ", "6156", " - ", "EMPLOYEE MEALS")</f>
        <v xml:space="preserve">          6156 - EMPLOYEE MEALS</v>
      </c>
      <c r="C221" s="11"/>
      <c r="D221" s="6">
        <v>2973.82</v>
      </c>
      <c r="E221" s="2"/>
      <c r="F221" s="7">
        <f t="shared" si="38"/>
        <v>5.969034931284904E-3</v>
      </c>
      <c r="G221" s="2"/>
      <c r="H221" s="6">
        <v>8397.18</v>
      </c>
      <c r="I221" s="2"/>
      <c r="J221" s="7">
        <f t="shared" si="39"/>
        <v>2.4504514713415654E-3</v>
      </c>
      <c r="K221" s="2"/>
      <c r="L221" s="6">
        <f t="shared" si="40"/>
        <v>-5423.3600000000006</v>
      </c>
      <c r="M221" s="2"/>
      <c r="N221" s="7">
        <f t="shared" si="41"/>
        <v>-0.6458549179605535</v>
      </c>
      <c r="O221" s="11"/>
      <c r="P221" s="6">
        <v>88317.45</v>
      </c>
      <c r="Q221" s="2"/>
      <c r="R221" s="7">
        <f t="shared" si="42"/>
        <v>3.2064538654074746E-3</v>
      </c>
      <c r="S221" s="2"/>
      <c r="T221" s="6">
        <v>90345.7</v>
      </c>
      <c r="U221" s="2"/>
      <c r="V221" s="7">
        <f t="shared" si="43"/>
        <v>2.7987764334319962E-3</v>
      </c>
      <c r="W221" s="2"/>
      <c r="X221" s="6">
        <f t="shared" si="44"/>
        <v>-2028.25</v>
      </c>
      <c r="Y221" s="2"/>
      <c r="Z221" s="7">
        <f t="shared" si="45"/>
        <v>-2.2449878632851372E-2</v>
      </c>
    </row>
    <row r="222" spans="1:26" s="25" customFormat="1" outlineLevel="1" collapsed="1" x14ac:dyDescent="0.25">
      <c r="A222" s="26"/>
      <c r="B222" s="13" t="str">
        <f>CONCATENATE("     ","*Payroll                                          ")</f>
        <v xml:space="preserve">     *Payroll                                          </v>
      </c>
      <c r="C222" s="13"/>
      <c r="D222" s="1">
        <f>SUM(OSRRefD22_1x_0)</f>
        <v>223320.49</v>
      </c>
      <c r="E222" s="1"/>
      <c r="F222" s="5">
        <f t="shared" ref="F222:F229" si="46">IF(D$12=0,0,D222/D$12)</f>
        <v>0.44824764299172815</v>
      </c>
      <c r="G222" s="1"/>
      <c r="H222" s="1">
        <f>SUM(OSRRefH22_1x_0)</f>
        <v>655189.34</v>
      </c>
      <c r="I222" s="1"/>
      <c r="J222" s="5">
        <f t="shared" ref="J222:J229" si="47">IF(H$12=0,0,H222/H$12)</f>
        <v>0.19119629235175487</v>
      </c>
      <c r="K222" s="1"/>
      <c r="L222" s="1">
        <f t="shared" ref="L222:L229" si="48">+D222-H222</f>
        <v>-431868.85</v>
      </c>
      <c r="M222" s="1"/>
      <c r="N222" s="5">
        <f t="shared" ref="N222:N229" si="49">IF(H222=0,0,L222/H222)</f>
        <v>-0.65915121573864432</v>
      </c>
      <c r="O222" s="13"/>
      <c r="P222" s="1">
        <f>SUM(OSRRefP22_1x_0)</f>
        <v>7044395.1899999995</v>
      </c>
      <c r="Q222" s="1"/>
      <c r="R222" s="5">
        <f t="shared" ref="R222:R229" si="50">IF(P$12=0,0,P222/P$12)</f>
        <v>0.25575385369973114</v>
      </c>
      <c r="S222" s="1"/>
      <c r="T222" s="1">
        <f>SUM(OSRRefT22_1x_0)</f>
        <v>6883599.4299999997</v>
      </c>
      <c r="U222" s="1"/>
      <c r="V222" s="5">
        <f t="shared" ref="V222:V229" si="51">IF(T$12=0,0,T222/T$12)</f>
        <v>0.2132437499722723</v>
      </c>
      <c r="W222" s="1"/>
      <c r="X222" s="1">
        <f t="shared" ref="X222:X229" si="52">+P222-T222</f>
        <v>160795.75999999978</v>
      </c>
      <c r="Y222" s="1"/>
      <c r="Z222" s="5">
        <f t="shared" ref="Z222:Z229" si="53">IF(T222=0,0,X222/T222)</f>
        <v>2.3359255813059386E-2</v>
      </c>
    </row>
    <row r="223" spans="1:26" s="24" customFormat="1" hidden="1" outlineLevel="2" x14ac:dyDescent="0.25">
      <c r="A223" s="27"/>
      <c r="B223" s="11" t="str">
        <f>CONCATENATE("          ", "6001", " - ", "ADMINISTRATIVE SALARIES")</f>
        <v xml:space="preserve">          6001 - ADMINISTRATIVE SALARIES</v>
      </c>
      <c r="C223" s="11"/>
      <c r="D223" s="6">
        <v>27803.230000000003</v>
      </c>
      <c r="E223" s="2"/>
      <c r="F223" s="7">
        <f t="shared" si="46"/>
        <v>5.5806488312187146E-2</v>
      </c>
      <c r="G223" s="2"/>
      <c r="H223" s="6">
        <v>27209.16</v>
      </c>
      <c r="I223" s="2"/>
      <c r="J223" s="7">
        <f t="shared" si="47"/>
        <v>7.9401330156038171E-3</v>
      </c>
      <c r="K223" s="2"/>
      <c r="L223" s="6">
        <f t="shared" si="48"/>
        <v>594.07000000000335</v>
      </c>
      <c r="M223" s="2"/>
      <c r="N223" s="7">
        <f t="shared" si="49"/>
        <v>2.1833456086112299E-2</v>
      </c>
      <c r="O223" s="11"/>
      <c r="P223" s="6">
        <v>345385.87</v>
      </c>
      <c r="Q223" s="2"/>
      <c r="R223" s="7">
        <f t="shared" si="50"/>
        <v>1.2539581452120996E-2</v>
      </c>
      <c r="S223" s="2"/>
      <c r="T223" s="6">
        <v>349009.13</v>
      </c>
      <c r="U223" s="2"/>
      <c r="V223" s="7">
        <f t="shared" si="51"/>
        <v>1.0811787700981939E-2</v>
      </c>
      <c r="W223" s="2"/>
      <c r="X223" s="6">
        <f t="shared" si="52"/>
        <v>-3623.2600000000093</v>
      </c>
      <c r="Y223" s="2"/>
      <c r="Z223" s="7">
        <f t="shared" si="53"/>
        <v>-1.0381562224461032E-2</v>
      </c>
    </row>
    <row r="224" spans="1:26" s="24" customFormat="1" hidden="1" outlineLevel="2" x14ac:dyDescent="0.25">
      <c r="A224" s="27"/>
      <c r="B224" s="11" t="str">
        <f>CONCATENATE("          ", "6002", " - ", "STAFF SALARIES")</f>
        <v xml:space="preserve">          6002 - STAFF SALARIES</v>
      </c>
      <c r="C224" s="11"/>
      <c r="D224" s="6">
        <v>99169.74</v>
      </c>
      <c r="E224" s="2"/>
      <c r="F224" s="7">
        <f t="shared" si="46"/>
        <v>0.19905294946783658</v>
      </c>
      <c r="G224" s="2"/>
      <c r="H224" s="6">
        <v>157029.45000000001</v>
      </c>
      <c r="I224" s="2"/>
      <c r="J224" s="7">
        <f t="shared" si="47"/>
        <v>4.5824079845431055E-2</v>
      </c>
      <c r="K224" s="2"/>
      <c r="L224" s="6">
        <f t="shared" si="48"/>
        <v>-57859.710000000006</v>
      </c>
      <c r="M224" s="2"/>
      <c r="N224" s="7">
        <f t="shared" si="49"/>
        <v>-0.36846406836424633</v>
      </c>
      <c r="O224" s="11"/>
      <c r="P224" s="6">
        <v>1789655.01</v>
      </c>
      <c r="Q224" s="2"/>
      <c r="R224" s="7">
        <f t="shared" si="50"/>
        <v>6.4975225445937951E-2</v>
      </c>
      <c r="S224" s="2"/>
      <c r="T224" s="6">
        <v>1752499.41</v>
      </c>
      <c r="U224" s="2"/>
      <c r="V224" s="7">
        <f t="shared" si="51"/>
        <v>5.4289844987768954E-2</v>
      </c>
      <c r="W224" s="2"/>
      <c r="X224" s="6">
        <f t="shared" si="52"/>
        <v>37155.600000000093</v>
      </c>
      <c r="Y224" s="2"/>
      <c r="Z224" s="7">
        <f t="shared" si="53"/>
        <v>2.1201490732598933E-2</v>
      </c>
    </row>
    <row r="225" spans="1:26" s="24" customFormat="1" hidden="1" outlineLevel="2" x14ac:dyDescent="0.25">
      <c r="A225" s="27"/>
      <c r="B225" s="11" t="str">
        <f>CONCATENATE("          ", "6004", " - ", "STAFF HOURLY")</f>
        <v xml:space="preserve">          6004 - STAFF HOURLY</v>
      </c>
      <c r="C225" s="11"/>
      <c r="D225" s="6">
        <v>80010.53</v>
      </c>
      <c r="E225" s="2"/>
      <c r="F225" s="7">
        <f t="shared" si="46"/>
        <v>0.16059668992764145</v>
      </c>
      <c r="G225" s="2"/>
      <c r="H225" s="6">
        <v>68816.479999999996</v>
      </c>
      <c r="I225" s="2"/>
      <c r="J225" s="7">
        <f t="shared" si="47"/>
        <v>2.0081913769687845E-2</v>
      </c>
      <c r="K225" s="2"/>
      <c r="L225" s="6">
        <f t="shared" si="48"/>
        <v>11194.050000000003</v>
      </c>
      <c r="M225" s="2"/>
      <c r="N225" s="7">
        <f t="shared" si="49"/>
        <v>0.16266525111426802</v>
      </c>
      <c r="O225" s="11"/>
      <c r="P225" s="6">
        <v>898180.52</v>
      </c>
      <c r="Q225" s="2"/>
      <c r="R225" s="7">
        <f t="shared" si="50"/>
        <v>3.2609347305517712E-2</v>
      </c>
      <c r="S225" s="2"/>
      <c r="T225" s="6">
        <v>759957.5</v>
      </c>
      <c r="U225" s="2"/>
      <c r="V225" s="7">
        <f t="shared" si="51"/>
        <v>2.3542361633258652E-2</v>
      </c>
      <c r="W225" s="2"/>
      <c r="X225" s="6">
        <f t="shared" si="52"/>
        <v>138223.02000000002</v>
      </c>
      <c r="Y225" s="2"/>
      <c r="Z225" s="7">
        <f t="shared" si="53"/>
        <v>0.18188256580137707</v>
      </c>
    </row>
    <row r="226" spans="1:26" s="24" customFormat="1" hidden="1" outlineLevel="2" x14ac:dyDescent="0.25">
      <c r="A226" s="27"/>
      <c r="B226" s="11" t="str">
        <f>CONCATENATE("          ", "6005", " - ", "TEMPORARY WAGES-HOURLY")</f>
        <v xml:space="preserve">          6005 - TEMPORARY WAGES-HOURLY</v>
      </c>
      <c r="C226" s="11"/>
      <c r="D226" s="6">
        <v>22940.489999999998</v>
      </c>
      <c r="E226" s="2"/>
      <c r="F226" s="7">
        <f t="shared" si="46"/>
        <v>4.6046023683609633E-2</v>
      </c>
      <c r="G226" s="2"/>
      <c r="H226" s="6">
        <v>109039.67</v>
      </c>
      <c r="I226" s="2"/>
      <c r="J226" s="7">
        <f t="shared" si="47"/>
        <v>3.1819779948280107E-2</v>
      </c>
      <c r="K226" s="2"/>
      <c r="L226" s="6">
        <f t="shared" si="48"/>
        <v>-86099.18</v>
      </c>
      <c r="M226" s="2"/>
      <c r="N226" s="7">
        <f t="shared" si="49"/>
        <v>-0.78961335814754385</v>
      </c>
      <c r="O226" s="11"/>
      <c r="P226" s="6">
        <v>1184059.6499999999</v>
      </c>
      <c r="Q226" s="2"/>
      <c r="R226" s="7">
        <f t="shared" si="50"/>
        <v>4.2988476700986288E-2</v>
      </c>
      <c r="S226" s="2"/>
      <c r="T226" s="6">
        <v>1068529.02</v>
      </c>
      <c r="U226" s="2"/>
      <c r="V226" s="7">
        <f t="shared" si="51"/>
        <v>3.3101451863389031E-2</v>
      </c>
      <c r="W226" s="2"/>
      <c r="X226" s="6">
        <f t="shared" si="52"/>
        <v>115530.62999999989</v>
      </c>
      <c r="Y226" s="2"/>
      <c r="Z226" s="7">
        <f t="shared" si="53"/>
        <v>0.10812119075624159</v>
      </c>
    </row>
    <row r="227" spans="1:26" s="24" customFormat="1" hidden="1" outlineLevel="2" x14ac:dyDescent="0.25">
      <c r="A227" s="27"/>
      <c r="B227" s="11" t="str">
        <f>CONCATENATE("          ", "6006", " - ", "TEMPORARY PART TIME")</f>
        <v xml:space="preserve">          6006 - TEMPORARY PART TIME</v>
      </c>
      <c r="C227" s="11"/>
      <c r="D227" s="6">
        <v>3309.56</v>
      </c>
      <c r="E227" s="2"/>
      <c r="F227" s="7">
        <f t="shared" si="46"/>
        <v>6.6429303882492097E-3</v>
      </c>
      <c r="G227" s="2"/>
      <c r="H227" s="6">
        <v>14569.79</v>
      </c>
      <c r="I227" s="2"/>
      <c r="J227" s="7">
        <f t="shared" si="47"/>
        <v>4.2517325271862246E-3</v>
      </c>
      <c r="K227" s="2"/>
      <c r="L227" s="6">
        <f t="shared" si="48"/>
        <v>-11260.230000000001</v>
      </c>
      <c r="M227" s="2"/>
      <c r="N227" s="7">
        <f t="shared" si="49"/>
        <v>-0.77284778984460312</v>
      </c>
      <c r="O227" s="11"/>
      <c r="P227" s="6">
        <v>109908.09999999999</v>
      </c>
      <c r="Q227" s="2"/>
      <c r="R227" s="7">
        <f t="shared" si="50"/>
        <v>3.9903241328252933E-3</v>
      </c>
      <c r="S227" s="2"/>
      <c r="T227" s="6">
        <v>133260.35999999999</v>
      </c>
      <c r="U227" s="2"/>
      <c r="V227" s="7">
        <f t="shared" si="51"/>
        <v>4.1282092570942928E-3</v>
      </c>
      <c r="W227" s="2"/>
      <c r="X227" s="6">
        <f t="shared" si="52"/>
        <v>-23352.259999999995</v>
      </c>
      <c r="Y227" s="2"/>
      <c r="Z227" s="7">
        <f t="shared" si="53"/>
        <v>-0.17523785767950797</v>
      </c>
    </row>
    <row r="228" spans="1:26" s="24" customFormat="1" hidden="1" outlineLevel="2" x14ac:dyDescent="0.25">
      <c r="A228" s="27"/>
      <c r="B228" s="11" t="str">
        <f>CONCATENATE("          ", "6007", " - ", "STUDENT HOURLY")</f>
        <v xml:space="preserve">          6007 - STUDENT HOURLY</v>
      </c>
      <c r="C228" s="11"/>
      <c r="D228" s="6">
        <v>-10069.06</v>
      </c>
      <c r="E228" s="2"/>
      <c r="F228" s="7">
        <f t="shared" si="46"/>
        <v>-2.0210561118428005E-2</v>
      </c>
      <c r="G228" s="2"/>
      <c r="H228" s="6">
        <v>249262.32</v>
      </c>
      <c r="I228" s="2"/>
      <c r="J228" s="7">
        <f t="shared" si="47"/>
        <v>7.2739326630370207E-2</v>
      </c>
      <c r="K228" s="2"/>
      <c r="L228" s="6">
        <f t="shared" si="48"/>
        <v>-259331.38</v>
      </c>
      <c r="M228" s="2"/>
      <c r="N228" s="7">
        <f t="shared" si="49"/>
        <v>-1.040395435619792</v>
      </c>
      <c r="O228" s="11"/>
      <c r="P228" s="6">
        <v>2476059.5</v>
      </c>
      <c r="Q228" s="2"/>
      <c r="R228" s="7">
        <f t="shared" si="50"/>
        <v>8.9895830945683999E-2</v>
      </c>
      <c r="S228" s="2"/>
      <c r="T228" s="6">
        <v>2520274.7000000002</v>
      </c>
      <c r="U228" s="2"/>
      <c r="V228" s="7">
        <f t="shared" si="51"/>
        <v>7.8074390215969264E-2</v>
      </c>
      <c r="W228" s="2"/>
      <c r="X228" s="6">
        <f t="shared" si="52"/>
        <v>-44215.200000000186</v>
      </c>
      <c r="Y228" s="2"/>
      <c r="Z228" s="7">
        <f t="shared" si="53"/>
        <v>-1.7543801872073779E-2</v>
      </c>
    </row>
    <row r="229" spans="1:26" s="24" customFormat="1" hidden="1" outlineLevel="2" x14ac:dyDescent="0.25">
      <c r="A229" s="27"/>
      <c r="B229" s="11" t="str">
        <f>CONCATENATE("          ", "6008", " - ", "STUDENT HOURLY-FICA EXEMPT")</f>
        <v xml:space="preserve">          6008 - STUDENT HOURLY-FICA EXEMPT</v>
      </c>
      <c r="C229" s="11"/>
      <c r="D229" s="6">
        <v>156</v>
      </c>
      <c r="E229" s="2"/>
      <c r="F229" s="7">
        <f t="shared" si="46"/>
        <v>3.1312233063213136E-4</v>
      </c>
      <c r="G229" s="2"/>
      <c r="H229" s="6">
        <v>29262.47</v>
      </c>
      <c r="I229" s="2"/>
      <c r="J229" s="7">
        <f t="shared" si="47"/>
        <v>8.5393266151956269E-3</v>
      </c>
      <c r="K229" s="2"/>
      <c r="L229" s="6">
        <f t="shared" si="48"/>
        <v>-29106.47</v>
      </c>
      <c r="M229" s="2"/>
      <c r="N229" s="7">
        <f t="shared" si="49"/>
        <v>-0.99466893942992507</v>
      </c>
      <c r="O229" s="11"/>
      <c r="P229" s="6">
        <v>241146.53999999998</v>
      </c>
      <c r="Q229" s="2"/>
      <c r="R229" s="7">
        <f t="shared" si="50"/>
        <v>8.755067716658918E-3</v>
      </c>
      <c r="S229" s="2"/>
      <c r="T229" s="6">
        <v>300069.31</v>
      </c>
      <c r="U229" s="2"/>
      <c r="V229" s="7">
        <f t="shared" si="51"/>
        <v>9.2957043138101759E-3</v>
      </c>
      <c r="W229" s="2"/>
      <c r="X229" s="6">
        <f t="shared" si="52"/>
        <v>-58922.770000000019</v>
      </c>
      <c r="Y229" s="2"/>
      <c r="Z229" s="7">
        <f t="shared" si="53"/>
        <v>-0.19636386673465547</v>
      </c>
    </row>
    <row r="230" spans="1:26" s="25" customFormat="1" outlineLevel="1" collapsed="1" x14ac:dyDescent="0.25">
      <c r="A230" s="26"/>
      <c r="B230" s="13" t="str">
        <f>CONCATENATE("     ","Advertising/Promo                                 ")</f>
        <v xml:space="preserve">     Advertising/Promo                                 </v>
      </c>
      <c r="C230" s="13"/>
      <c r="D230" s="1">
        <f>SUM(OSRRefD22_2x_0)</f>
        <v>1055.57</v>
      </c>
      <c r="E230" s="1"/>
      <c r="F230" s="5">
        <f t="shared" ref="F230:F234" si="54">IF(D$12=0,0,D230/D$12)</f>
        <v>2.1187342214446085E-3</v>
      </c>
      <c r="G230" s="1"/>
      <c r="H230" s="1">
        <f>SUM(OSRRefH22_2x_0)</f>
        <v>9533.2099999999991</v>
      </c>
      <c r="I230" s="1"/>
      <c r="J230" s="5">
        <f t="shared" ref="J230:J234" si="55">IF(H$12=0,0,H230/H$12)</f>
        <v>2.7819659065434015E-3</v>
      </c>
      <c r="K230" s="1"/>
      <c r="L230" s="1">
        <f t="shared" ref="L230:L234" si="56">+D230-H230</f>
        <v>-8477.64</v>
      </c>
      <c r="M230" s="1"/>
      <c r="N230" s="5">
        <f t="shared" ref="N230:N234" si="57">IF(H230=0,0,L230/H230)</f>
        <v>-0.88927444166235714</v>
      </c>
      <c r="O230" s="13"/>
      <c r="P230" s="1">
        <f>SUM(OSRRefP22_2x_0)</f>
        <v>86822.39</v>
      </c>
      <c r="Q230" s="1"/>
      <c r="R230" s="5">
        <f t="shared" ref="R230:R234" si="58">IF(P$12=0,0,P230/P$12)</f>
        <v>3.152174208148166E-3</v>
      </c>
      <c r="S230" s="1"/>
      <c r="T230" s="1">
        <f>SUM(OSRRefT22_2x_0)</f>
        <v>116407.36</v>
      </c>
      <c r="U230" s="1"/>
      <c r="V230" s="5">
        <f t="shared" ref="V230:V234" si="59">IF(T$12=0,0,T230/T$12)</f>
        <v>3.6061281925540943E-3</v>
      </c>
      <c r="W230" s="1"/>
      <c r="X230" s="1">
        <f t="shared" ref="X230:X234" si="60">+P230-T230</f>
        <v>-29584.97</v>
      </c>
      <c r="Y230" s="1"/>
      <c r="Z230" s="5">
        <f t="shared" ref="Z230:Z234" si="61">IF(T230=0,0,X230/T230)</f>
        <v>-0.25415033894764044</v>
      </c>
    </row>
    <row r="231" spans="1:26" s="24" customFormat="1" hidden="1" outlineLevel="2" x14ac:dyDescent="0.25">
      <c r="A231" s="27"/>
      <c r="B231" s="11" t="str">
        <f>CONCATENATE("          ", "6362", " - ", "ADVERTISING EXPENSE")</f>
        <v xml:space="preserve">          6362 - ADVERTISING EXPENSE</v>
      </c>
      <c r="C231" s="11"/>
      <c r="D231" s="6">
        <v>1055.57</v>
      </c>
      <c r="E231" s="2"/>
      <c r="F231" s="7">
        <f t="shared" si="54"/>
        <v>2.1187342214446085E-3</v>
      </c>
      <c r="G231" s="2"/>
      <c r="H231" s="6">
        <v>9533.2099999999991</v>
      </c>
      <c r="I231" s="2"/>
      <c r="J231" s="7">
        <f t="shared" si="55"/>
        <v>2.7819659065434015E-3</v>
      </c>
      <c r="K231" s="2"/>
      <c r="L231" s="6">
        <f t="shared" si="56"/>
        <v>-8477.64</v>
      </c>
      <c r="M231" s="2"/>
      <c r="N231" s="7">
        <f t="shared" si="57"/>
        <v>-0.88927444166235714</v>
      </c>
      <c r="O231" s="11"/>
      <c r="P231" s="6">
        <v>86822.39</v>
      </c>
      <c r="Q231" s="2"/>
      <c r="R231" s="7">
        <f t="shared" si="58"/>
        <v>3.152174208148166E-3</v>
      </c>
      <c r="S231" s="2"/>
      <c r="T231" s="6">
        <v>116407.36</v>
      </c>
      <c r="U231" s="2"/>
      <c r="V231" s="7">
        <f t="shared" si="59"/>
        <v>3.6061281925540943E-3</v>
      </c>
      <c r="W231" s="2"/>
      <c r="X231" s="6">
        <f t="shared" si="60"/>
        <v>-29584.97</v>
      </c>
      <c r="Y231" s="2"/>
      <c r="Z231" s="7">
        <f t="shared" si="61"/>
        <v>-0.25415033894764044</v>
      </c>
    </row>
    <row r="232" spans="1:26" s="25" customFormat="1" outlineLevel="1" collapsed="1" x14ac:dyDescent="0.25">
      <c r="A232" s="26"/>
      <c r="B232" s="13" t="str">
        <f>CONCATENATE("     ","Bad Debts/Over/Short                              ")</f>
        <v xml:space="preserve">     Bad Debts/Over/Short                              </v>
      </c>
      <c r="C232" s="13"/>
      <c r="D232" s="1">
        <f>SUM(OSRRefD22_3x_0)</f>
        <v>4.6500000000000004</v>
      </c>
      <c r="E232" s="1"/>
      <c r="F232" s="5">
        <f t="shared" si="54"/>
        <v>9.3334540861500716E-6</v>
      </c>
      <c r="G232" s="1"/>
      <c r="H232" s="1">
        <f>SUM(OSRRefH22_3x_0)</f>
        <v>-312.49</v>
      </c>
      <c r="I232" s="1"/>
      <c r="J232" s="5">
        <f t="shared" si="55"/>
        <v>-9.1190325833139901E-5</v>
      </c>
      <c r="K232" s="1"/>
      <c r="L232" s="1">
        <f t="shared" si="56"/>
        <v>317.14</v>
      </c>
      <c r="M232" s="1"/>
      <c r="N232" s="5">
        <f t="shared" si="57"/>
        <v>-1.0148804761752375</v>
      </c>
      <c r="O232" s="13"/>
      <c r="P232" s="1">
        <f>SUM(OSRRefP22_3x_0)</f>
        <v>-652.3900000000001</v>
      </c>
      <c r="Q232" s="1"/>
      <c r="R232" s="5">
        <f t="shared" si="58"/>
        <v>-2.3685675223335623E-5</v>
      </c>
      <c r="S232" s="1"/>
      <c r="T232" s="1">
        <f>SUM(OSRRefT22_3x_0)</f>
        <v>1745.05</v>
      </c>
      <c r="U232" s="1"/>
      <c r="V232" s="5">
        <f t="shared" si="59"/>
        <v>5.4059073261488983E-5</v>
      </c>
      <c r="W232" s="1"/>
      <c r="X232" s="1">
        <f t="shared" si="60"/>
        <v>-2397.44</v>
      </c>
      <c r="Y232" s="1"/>
      <c r="Z232" s="5">
        <f t="shared" si="61"/>
        <v>-1.3738517520987938</v>
      </c>
    </row>
    <row r="233" spans="1:26" s="24" customFormat="1" hidden="1" outlineLevel="2" x14ac:dyDescent="0.25">
      <c r="A233" s="27"/>
      <c r="B233" s="11" t="str">
        <f>CONCATENATE("          ", "6272", " - ", "CASH (OVER/SHORT)")</f>
        <v xml:space="preserve">          6272 - CASH (OVER/SHORT)</v>
      </c>
      <c r="C233" s="11"/>
      <c r="D233" s="6">
        <v>4.6500000000000004</v>
      </c>
      <c r="E233" s="2"/>
      <c r="F233" s="7">
        <f t="shared" si="54"/>
        <v>9.3334540861500716E-6</v>
      </c>
      <c r="G233" s="2"/>
      <c r="H233" s="6">
        <v>-312.49</v>
      </c>
      <c r="I233" s="2"/>
      <c r="J233" s="7">
        <f t="shared" si="55"/>
        <v>-9.1190325833139901E-5</v>
      </c>
      <c r="K233" s="2"/>
      <c r="L233" s="6">
        <f t="shared" si="56"/>
        <v>317.14</v>
      </c>
      <c r="M233" s="2"/>
      <c r="N233" s="7">
        <f t="shared" si="57"/>
        <v>-1.0148804761752375</v>
      </c>
      <c r="O233" s="11"/>
      <c r="P233" s="6">
        <v>-697.19</v>
      </c>
      <c r="Q233" s="2"/>
      <c r="R233" s="7">
        <f t="shared" si="58"/>
        <v>-2.5312184290006532E-5</v>
      </c>
      <c r="S233" s="2"/>
      <c r="T233" s="6">
        <v>1745.05</v>
      </c>
      <c r="U233" s="2"/>
      <c r="V233" s="7">
        <f t="shared" si="59"/>
        <v>5.4059073261488983E-5</v>
      </c>
      <c r="W233" s="2"/>
      <c r="X233" s="6">
        <f t="shared" si="60"/>
        <v>-2442.2399999999998</v>
      </c>
      <c r="Y233" s="2"/>
      <c r="Z233" s="7">
        <f t="shared" si="61"/>
        <v>-1.3995243689292569</v>
      </c>
    </row>
    <row r="234" spans="1:26" s="24" customFormat="1" hidden="1" outlineLevel="2" x14ac:dyDescent="0.25">
      <c r="A234" s="27"/>
      <c r="B234" s="11" t="str">
        <f>CONCATENATE("          ", "6342", " - ", "BAD DEBT")</f>
        <v xml:space="preserve">          6342 - BAD DEBT</v>
      </c>
      <c r="C234" s="11"/>
      <c r="D234" s="6"/>
      <c r="E234" s="2"/>
      <c r="F234" s="7">
        <f t="shared" si="54"/>
        <v>0</v>
      </c>
      <c r="G234" s="2"/>
      <c r="H234" s="6"/>
      <c r="I234" s="2"/>
      <c r="J234" s="7">
        <f t="shared" si="55"/>
        <v>0</v>
      </c>
      <c r="K234" s="2"/>
      <c r="L234" s="6">
        <f t="shared" si="56"/>
        <v>0</v>
      </c>
      <c r="M234" s="2"/>
      <c r="N234" s="7">
        <f t="shared" si="57"/>
        <v>0</v>
      </c>
      <c r="O234" s="11"/>
      <c r="P234" s="6">
        <v>44.8</v>
      </c>
      <c r="Q234" s="2"/>
      <c r="R234" s="7">
        <f t="shared" si="58"/>
        <v>1.6265090666709109E-6</v>
      </c>
      <c r="S234" s="2"/>
      <c r="T234" s="6"/>
      <c r="U234" s="2"/>
      <c r="V234" s="7">
        <f t="shared" si="59"/>
        <v>0</v>
      </c>
      <c r="W234" s="2"/>
      <c r="X234" s="6">
        <f t="shared" si="60"/>
        <v>44.8</v>
      </c>
      <c r="Y234" s="2"/>
      <c r="Z234" s="7">
        <f t="shared" si="61"/>
        <v>0</v>
      </c>
    </row>
    <row r="235" spans="1:26" s="25" customFormat="1" outlineLevel="1" collapsed="1" x14ac:dyDescent="0.25">
      <c r="A235" s="26"/>
      <c r="B235" s="13" t="str">
        <f>CONCATENATE("     ","Bank/card Fees                                    ")</f>
        <v xml:space="preserve">     Bank/card Fees                                    </v>
      </c>
      <c r="C235" s="13"/>
      <c r="D235" s="1">
        <f>SUM(OSRRefD22_4x_0)</f>
        <v>5575.56</v>
      </c>
      <c r="E235" s="1"/>
      <c r="F235" s="5">
        <f t="shared" ref="F235:F240" si="62">IF(D$12=0,0,D235/D$12)</f>
        <v>1.1191232960123632E-2</v>
      </c>
      <c r="G235" s="1"/>
      <c r="H235" s="1">
        <f>SUM(OSRRefH22_4x_0)</f>
        <v>41406.51</v>
      </c>
      <c r="I235" s="1"/>
      <c r="J235" s="5">
        <f t="shared" ref="J235:J240" si="63">IF(H$12=0,0,H235/H$12)</f>
        <v>1.208318070502469E-2</v>
      </c>
      <c r="K235" s="1"/>
      <c r="L235" s="1">
        <f t="shared" ref="L235:L240" si="64">+D235-H235</f>
        <v>-35830.950000000004</v>
      </c>
      <c r="M235" s="1"/>
      <c r="N235" s="5">
        <f t="shared" ref="N235:N240" si="65">IF(H235=0,0,L235/H235)</f>
        <v>-0.86534581156441348</v>
      </c>
      <c r="O235" s="13"/>
      <c r="P235" s="1">
        <f>SUM(OSRRefP22_4x_0)</f>
        <v>399027.31</v>
      </c>
      <c r="Q235" s="1"/>
      <c r="R235" s="5">
        <f t="shared" ref="R235:R240" si="66">IF(P$12=0,0,P235/P$12)</f>
        <v>1.4487087892060364E-2</v>
      </c>
      <c r="S235" s="1"/>
      <c r="T235" s="1">
        <f>SUM(OSRRefT22_4x_0)</f>
        <v>457420.22000000003</v>
      </c>
      <c r="U235" s="1"/>
      <c r="V235" s="5">
        <f t="shared" ref="V235:V240" si="67">IF(T$12=0,0,T235/T$12)</f>
        <v>1.4170203251635431E-2</v>
      </c>
      <c r="W235" s="1"/>
      <c r="X235" s="1">
        <f t="shared" ref="X235:X240" si="68">+P235-T235</f>
        <v>-58392.910000000033</v>
      </c>
      <c r="Y235" s="1"/>
      <c r="Z235" s="5">
        <f t="shared" ref="Z235:Z240" si="69">IF(T235=0,0,X235/T235)</f>
        <v>-0.12765703711130222</v>
      </c>
    </row>
    <row r="236" spans="1:26" s="24" customFormat="1" hidden="1" outlineLevel="2" x14ac:dyDescent="0.25">
      <c r="A236" s="27"/>
      <c r="B236" s="11" t="str">
        <f>CONCATENATE("          ", "6381", " - ", "BANK/CREDIT CARD FEES")</f>
        <v xml:space="preserve">          6381 - BANK/CREDIT CARD FEES</v>
      </c>
      <c r="C236" s="11"/>
      <c r="D236" s="6">
        <v>5575.56</v>
      </c>
      <c r="E236" s="2"/>
      <c r="F236" s="7">
        <f t="shared" si="62"/>
        <v>1.1191232960123632E-2</v>
      </c>
      <c r="G236" s="2"/>
      <c r="H236" s="6">
        <v>41406.51</v>
      </c>
      <c r="I236" s="2"/>
      <c r="J236" s="7">
        <f t="shared" si="63"/>
        <v>1.208318070502469E-2</v>
      </c>
      <c r="K236" s="2"/>
      <c r="L236" s="6">
        <f t="shared" si="64"/>
        <v>-35830.950000000004</v>
      </c>
      <c r="M236" s="2"/>
      <c r="N236" s="7">
        <f t="shared" si="65"/>
        <v>-0.86534581156441348</v>
      </c>
      <c r="O236" s="11"/>
      <c r="P236" s="6">
        <v>399027.31</v>
      </c>
      <c r="Q236" s="2"/>
      <c r="R236" s="7">
        <f t="shared" si="66"/>
        <v>1.4487087892060364E-2</v>
      </c>
      <c r="S236" s="2"/>
      <c r="T236" s="6">
        <v>457420.22000000003</v>
      </c>
      <c r="U236" s="2"/>
      <c r="V236" s="7">
        <f t="shared" si="67"/>
        <v>1.4170203251635431E-2</v>
      </c>
      <c r="W236" s="2"/>
      <c r="X236" s="6">
        <f t="shared" si="68"/>
        <v>-58392.910000000033</v>
      </c>
      <c r="Y236" s="2"/>
      <c r="Z236" s="7">
        <f t="shared" si="69"/>
        <v>-0.12765703711130222</v>
      </c>
    </row>
    <row r="237" spans="1:26" s="25" customFormat="1" outlineLevel="1" collapsed="1" x14ac:dyDescent="0.25">
      <c r="A237" s="26"/>
      <c r="B237" s="13" t="str">
        <f>CONCATENATE("     ","Depreciation                                      ")</f>
        <v xml:space="preserve">     Depreciation                                      </v>
      </c>
      <c r="C237" s="13"/>
      <c r="D237" s="1">
        <f>SUM(OSRRefD22_5x_0)</f>
        <v>77975.16</v>
      </c>
      <c r="E237" s="1"/>
      <c r="F237" s="5">
        <f t="shared" si="62"/>
        <v>0.15651130660649581</v>
      </c>
      <c r="G237" s="1"/>
      <c r="H237" s="1">
        <f>SUM(OSRRefH22_5x_0)</f>
        <v>80539.989999999991</v>
      </c>
      <c r="I237" s="1"/>
      <c r="J237" s="5">
        <f t="shared" si="63"/>
        <v>2.3503049475816277E-2</v>
      </c>
      <c r="K237" s="1"/>
      <c r="L237" s="1">
        <f t="shared" si="64"/>
        <v>-2564.8299999999872</v>
      </c>
      <c r="M237" s="1"/>
      <c r="N237" s="5">
        <f t="shared" si="65"/>
        <v>-3.184542237961524E-2</v>
      </c>
      <c r="O237" s="13"/>
      <c r="P237" s="1">
        <f>SUM(OSRRefP22_5x_0)</f>
        <v>789534.71999999997</v>
      </c>
      <c r="Q237" s="1"/>
      <c r="R237" s="5">
        <f t="shared" si="66"/>
        <v>2.8664852244006229E-2</v>
      </c>
      <c r="S237" s="1"/>
      <c r="T237" s="1">
        <f>SUM(OSRRefT22_5x_0)</f>
        <v>772062.37999999989</v>
      </c>
      <c r="U237" s="1"/>
      <c r="V237" s="5">
        <f t="shared" si="67"/>
        <v>2.3917352948545623E-2</v>
      </c>
      <c r="W237" s="1"/>
      <c r="X237" s="1">
        <f t="shared" si="68"/>
        <v>17472.340000000084</v>
      </c>
      <c r="Y237" s="1"/>
      <c r="Z237" s="5">
        <f t="shared" si="69"/>
        <v>2.2630736133005324E-2</v>
      </c>
    </row>
    <row r="238" spans="1:26" s="24" customFormat="1" hidden="1" outlineLevel="2" x14ac:dyDescent="0.25">
      <c r="A238" s="27"/>
      <c r="B238" s="11" t="str">
        <f>CONCATENATE("          ", "6321", " - ", "BUILDING DEPRECIATION")</f>
        <v xml:space="preserve">          6321 - BUILDING DEPRECIATION</v>
      </c>
      <c r="C238" s="11"/>
      <c r="D238" s="6">
        <v>45519.990000000005</v>
      </c>
      <c r="E238" s="2"/>
      <c r="F238" s="7">
        <f t="shared" si="62"/>
        <v>9.1367470250969973E-2</v>
      </c>
      <c r="G238" s="2"/>
      <c r="H238" s="6">
        <v>48433.689999999995</v>
      </c>
      <c r="I238" s="2"/>
      <c r="J238" s="7">
        <f t="shared" si="63"/>
        <v>1.4133840994595952E-2</v>
      </c>
      <c r="K238" s="2"/>
      <c r="L238" s="6">
        <f t="shared" si="64"/>
        <v>-2913.6999999999898</v>
      </c>
      <c r="M238" s="2"/>
      <c r="N238" s="7">
        <f t="shared" si="65"/>
        <v>-6.0158538405807822E-2</v>
      </c>
      <c r="O238" s="11"/>
      <c r="P238" s="6">
        <v>455199.89999999997</v>
      </c>
      <c r="Q238" s="2"/>
      <c r="R238" s="7">
        <f t="shared" si="66"/>
        <v>1.6526490278966341E-2</v>
      </c>
      <c r="S238" s="2"/>
      <c r="T238" s="6">
        <v>465238.19999999995</v>
      </c>
      <c r="U238" s="2"/>
      <c r="V238" s="7">
        <f t="shared" si="67"/>
        <v>1.4412392732496639E-2</v>
      </c>
      <c r="W238" s="2"/>
      <c r="X238" s="6">
        <f t="shared" si="68"/>
        <v>-10038.299999999988</v>
      </c>
      <c r="Y238" s="2"/>
      <c r="Z238" s="7">
        <f t="shared" si="69"/>
        <v>-2.1576689102485544E-2</v>
      </c>
    </row>
    <row r="239" spans="1:26" s="24" customFormat="1" hidden="1" outlineLevel="2" x14ac:dyDescent="0.25">
      <c r="A239" s="27"/>
      <c r="B239" s="11" t="str">
        <f>CONCATENATE("          ", "6322", " - ", "EQUIPMENT DEPRECIATION EXPENSE")</f>
        <v xml:space="preserve">          6322 - EQUIPMENT DEPRECIATION EXPENSE</v>
      </c>
      <c r="C239" s="11"/>
      <c r="D239" s="6">
        <v>32030.940000000002</v>
      </c>
      <c r="E239" s="2"/>
      <c r="F239" s="7">
        <f t="shared" si="62"/>
        <v>6.4292324263704889E-2</v>
      </c>
      <c r="G239" s="2"/>
      <c r="H239" s="6">
        <v>31682.05</v>
      </c>
      <c r="I239" s="2"/>
      <c r="J239" s="7">
        <f t="shared" si="63"/>
        <v>9.2454045331429157E-3</v>
      </c>
      <c r="K239" s="2"/>
      <c r="L239" s="6">
        <f t="shared" si="64"/>
        <v>348.89000000000306</v>
      </c>
      <c r="M239" s="2"/>
      <c r="N239" s="7">
        <f t="shared" si="65"/>
        <v>1.1012229322281956E-2</v>
      </c>
      <c r="O239" s="11"/>
      <c r="P239" s="6">
        <v>330092.34000000003</v>
      </c>
      <c r="Q239" s="2"/>
      <c r="R239" s="7">
        <f t="shared" si="66"/>
        <v>1.1984334460906632E-2</v>
      </c>
      <c r="S239" s="2"/>
      <c r="T239" s="6">
        <v>302581.68</v>
      </c>
      <c r="U239" s="2"/>
      <c r="V239" s="7">
        <f t="shared" si="67"/>
        <v>9.3735338280876851E-3</v>
      </c>
      <c r="W239" s="2"/>
      <c r="X239" s="6">
        <f t="shared" si="68"/>
        <v>27510.660000000033</v>
      </c>
      <c r="Y239" s="2"/>
      <c r="Z239" s="7">
        <f t="shared" si="69"/>
        <v>9.0919780734907793E-2</v>
      </c>
    </row>
    <row r="240" spans="1:26" s="24" customFormat="1" hidden="1" outlineLevel="2" x14ac:dyDescent="0.25">
      <c r="A240" s="27"/>
      <c r="B240" s="11" t="str">
        <f>CONCATENATE("          ", "6326", " - ", "VEHICLES DEPRECIATION EXPENSE")</f>
        <v xml:space="preserve">          6326 - VEHICLES DEPRECIATION EXPENSE</v>
      </c>
      <c r="C240" s="11"/>
      <c r="D240" s="6">
        <v>424.23</v>
      </c>
      <c r="E240" s="2"/>
      <c r="F240" s="7">
        <f t="shared" si="62"/>
        <v>8.515120918209558E-4</v>
      </c>
      <c r="G240" s="2"/>
      <c r="H240" s="6">
        <v>424.25</v>
      </c>
      <c r="I240" s="2"/>
      <c r="J240" s="7">
        <f t="shared" si="63"/>
        <v>1.2380394807740922E-4</v>
      </c>
      <c r="K240" s="2"/>
      <c r="L240" s="6">
        <f t="shared" si="64"/>
        <v>-1.999999999998181E-2</v>
      </c>
      <c r="M240" s="2"/>
      <c r="N240" s="7">
        <f t="shared" si="65"/>
        <v>-4.7142015321112106E-5</v>
      </c>
      <c r="O240" s="11"/>
      <c r="P240" s="6">
        <v>4242.4799999999996</v>
      </c>
      <c r="Q240" s="2"/>
      <c r="R240" s="7">
        <f t="shared" si="66"/>
        <v>1.5402750413325906E-4</v>
      </c>
      <c r="S240" s="2"/>
      <c r="T240" s="6">
        <v>4242.5</v>
      </c>
      <c r="U240" s="2"/>
      <c r="V240" s="7">
        <f t="shared" si="67"/>
        <v>1.3142638796130026E-4</v>
      </c>
      <c r="W240" s="2"/>
      <c r="X240" s="6">
        <f t="shared" si="68"/>
        <v>-2.0000000000436557E-2</v>
      </c>
      <c r="Y240" s="2"/>
      <c r="Z240" s="7">
        <f t="shared" si="69"/>
        <v>-4.7142015322183987E-6</v>
      </c>
    </row>
    <row r="241" spans="1:26" s="25" customFormat="1" outlineLevel="1" collapsed="1" x14ac:dyDescent="0.25">
      <c r="A241" s="26"/>
      <c r="B241" s="13" t="str">
        <f>CONCATENATE("     ","Discounts and Markdowns                           ")</f>
        <v xml:space="preserve">     Discounts and Markdowns                           </v>
      </c>
      <c r="C241" s="13"/>
      <c r="D241" s="1">
        <f>SUM(OSRRefD22_6x_0)</f>
        <v>46887.76</v>
      </c>
      <c r="E241" s="1"/>
      <c r="F241" s="5">
        <f t="shared" ref="F241:F243" si="70">IF(D$12=0,0,D241/D$12)</f>
        <v>9.4112850572564258E-2</v>
      </c>
      <c r="G241" s="1"/>
      <c r="H241" s="1">
        <f>SUM(OSRRefH22_6x_0)</f>
        <v>34096.410000000003</v>
      </c>
      <c r="I241" s="1"/>
      <c r="J241" s="5">
        <f t="shared" ref="J241:J243" si="71">IF(H$12=0,0,H241/H$12)</f>
        <v>9.9499591591421487E-3</v>
      </c>
      <c r="K241" s="1"/>
      <c r="L241" s="1">
        <f t="shared" ref="L241:L243" si="72">+D241-H241</f>
        <v>12791.349999999999</v>
      </c>
      <c r="M241" s="1"/>
      <c r="N241" s="5">
        <f t="shared" ref="N241:N243" si="73">IF(H241=0,0,L241/H241)</f>
        <v>0.37515239874227219</v>
      </c>
      <c r="O241" s="13"/>
      <c r="P241" s="1">
        <f>SUM(OSRRefP22_6x_0)</f>
        <v>373780.76999999996</v>
      </c>
      <c r="Q241" s="1"/>
      <c r="R241" s="5">
        <f t="shared" ref="R241:R243" si="74">IF(P$12=0,0,P241/P$12)</f>
        <v>1.3570486860540947E-2</v>
      </c>
      <c r="S241" s="1"/>
      <c r="T241" s="1">
        <f>SUM(OSRRefT22_6x_0)</f>
        <v>400599.60000000003</v>
      </c>
      <c r="U241" s="1"/>
      <c r="V241" s="5">
        <f t="shared" ref="V241:V243" si="75">IF(T$12=0,0,T241/T$12)</f>
        <v>1.2409984312726389E-2</v>
      </c>
      <c r="W241" s="1"/>
      <c r="X241" s="1">
        <f t="shared" ref="X241:X243" si="76">+P241-T241</f>
        <v>-26818.830000000075</v>
      </c>
      <c r="Y241" s="1"/>
      <c r="Z241" s="5">
        <f t="shared" ref="Z241:Z243" si="77">IF(T241=0,0,X241/T241)</f>
        <v>-6.6946721863926154E-2</v>
      </c>
    </row>
    <row r="242" spans="1:26" s="24" customFormat="1" hidden="1" outlineLevel="2" x14ac:dyDescent="0.25">
      <c r="A242" s="27"/>
      <c r="B242" s="11" t="str">
        <f>CONCATENATE("          ", "6382", " - ", "DISCOUNTS/MARK DOWNS")</f>
        <v xml:space="preserve">          6382 - DISCOUNTS/MARK DOWNS</v>
      </c>
      <c r="C242" s="11"/>
      <c r="D242" s="6">
        <v>46887.9</v>
      </c>
      <c r="E242" s="2"/>
      <c r="F242" s="7">
        <f t="shared" si="70"/>
        <v>9.4113131579784057E-2</v>
      </c>
      <c r="G242" s="2"/>
      <c r="H242" s="6">
        <v>34445.630000000005</v>
      </c>
      <c r="I242" s="2"/>
      <c r="J242" s="7">
        <f t="shared" si="71"/>
        <v>1.0051867974104064E-2</v>
      </c>
      <c r="K242" s="2"/>
      <c r="L242" s="6">
        <f t="shared" si="72"/>
        <v>12442.269999999997</v>
      </c>
      <c r="M242" s="2"/>
      <c r="N242" s="7">
        <f t="shared" si="73"/>
        <v>0.36121476076936304</v>
      </c>
      <c r="O242" s="11"/>
      <c r="P242" s="6">
        <v>377012.38999999996</v>
      </c>
      <c r="Q242" s="2"/>
      <c r="R242" s="7">
        <f t="shared" si="74"/>
        <v>1.3687814075497087E-2</v>
      </c>
      <c r="S242" s="2"/>
      <c r="T242" s="6">
        <v>405093.97000000003</v>
      </c>
      <c r="U242" s="2"/>
      <c r="V242" s="7">
        <f t="shared" si="75"/>
        <v>1.2549213261521116E-2</v>
      </c>
      <c r="W242" s="2"/>
      <c r="X242" s="6">
        <f t="shared" si="76"/>
        <v>-28081.580000000075</v>
      </c>
      <c r="Y242" s="2"/>
      <c r="Z242" s="7">
        <f t="shared" si="77"/>
        <v>-6.9321150349387017E-2</v>
      </c>
    </row>
    <row r="243" spans="1:26" s="24" customFormat="1" hidden="1" outlineLevel="2" x14ac:dyDescent="0.25">
      <c r="A243" s="27"/>
      <c r="B243" s="11" t="str">
        <f>CONCATENATE("          ", "9175", " - ", "EARNED DISCOUNTS")</f>
        <v xml:space="preserve">          9175 - EARNED DISCOUNTS</v>
      </c>
      <c r="C243" s="11"/>
      <c r="D243" s="6">
        <v>-0.14000000000000001</v>
      </c>
      <c r="E243" s="2"/>
      <c r="F243" s="7">
        <f t="shared" si="70"/>
        <v>-2.8100721979806663E-7</v>
      </c>
      <c r="G243" s="2"/>
      <c r="H243" s="6">
        <v>-349.22</v>
      </c>
      <c r="I243" s="2"/>
      <c r="J243" s="7">
        <f t="shared" si="71"/>
        <v>-1.0190881496191596E-4</v>
      </c>
      <c r="K243" s="2"/>
      <c r="L243" s="6">
        <f t="shared" si="72"/>
        <v>349.08000000000004</v>
      </c>
      <c r="M243" s="2"/>
      <c r="N243" s="7">
        <f t="shared" si="73"/>
        <v>-0.9995991065803792</v>
      </c>
      <c r="O243" s="11"/>
      <c r="P243" s="6">
        <v>-3231.62</v>
      </c>
      <c r="Q243" s="2"/>
      <c r="R243" s="7">
        <f t="shared" si="74"/>
        <v>-1.173272149561395E-4</v>
      </c>
      <c r="S243" s="2"/>
      <c r="T243" s="6">
        <v>-4494.37</v>
      </c>
      <c r="U243" s="2"/>
      <c r="V243" s="7">
        <f t="shared" si="75"/>
        <v>-1.3922894879472692E-4</v>
      </c>
      <c r="W243" s="2"/>
      <c r="X243" s="6">
        <f t="shared" si="76"/>
        <v>1262.75</v>
      </c>
      <c r="Y243" s="2"/>
      <c r="Z243" s="7">
        <f t="shared" si="77"/>
        <v>-0.28096262657502608</v>
      </c>
    </row>
    <row r="244" spans="1:26" s="25" customFormat="1" outlineLevel="1" collapsed="1" x14ac:dyDescent="0.25">
      <c r="A244" s="26"/>
      <c r="B244" s="13" t="str">
        <f>CONCATENATE("     ","Donations                                         ")</f>
        <v xml:space="preserve">     Donations                                         </v>
      </c>
      <c r="C244" s="13"/>
      <c r="D244" s="1">
        <f>SUM(OSRRefD22_7x_0)</f>
        <v>0</v>
      </c>
      <c r="E244" s="1"/>
      <c r="F244" s="5">
        <f t="shared" ref="F244:F252" si="78">IF(D$12=0,0,D244/D$12)</f>
        <v>0</v>
      </c>
      <c r="G244" s="1"/>
      <c r="H244" s="1">
        <f>SUM(OSRRefH22_7x_0)</f>
        <v>17387.66</v>
      </c>
      <c r="I244" s="1"/>
      <c r="J244" s="5">
        <f t="shared" ref="J244:J252" si="79">IF(H$12=0,0,H244/H$12)</f>
        <v>5.0740387880439481E-3</v>
      </c>
      <c r="K244" s="1"/>
      <c r="L244" s="1">
        <f t="shared" ref="L244:L252" si="80">+D244-H244</f>
        <v>-17387.66</v>
      </c>
      <c r="M244" s="1"/>
      <c r="N244" s="5">
        <f t="shared" ref="N244:N252" si="81">IF(H244=0,0,L244/H244)</f>
        <v>-1</v>
      </c>
      <c r="O244" s="13"/>
      <c r="P244" s="1">
        <f>SUM(OSRRefP22_7x_0)</f>
        <v>132751.98000000001</v>
      </c>
      <c r="Q244" s="1"/>
      <c r="R244" s="5">
        <f t="shared" ref="R244:R252" si="82">IF(P$12=0,0,P244/P$12)</f>
        <v>4.8196941760829349E-3</v>
      </c>
      <c r="S244" s="1"/>
      <c r="T244" s="1">
        <f>SUM(OSRRefT22_7x_0)</f>
        <v>134687.22</v>
      </c>
      <c r="U244" s="1"/>
      <c r="V244" s="5">
        <f t="shared" ref="V244:V252" si="83">IF(T$12=0,0,T244/T$12)</f>
        <v>4.1724112738123747E-3</v>
      </c>
      <c r="W244" s="1"/>
      <c r="X244" s="1">
        <f t="shared" ref="X244:X252" si="84">+P244-T244</f>
        <v>-1935.2399999999907</v>
      </c>
      <c r="Y244" s="1"/>
      <c r="Z244" s="5">
        <f t="shared" ref="Z244:Z252" si="85">IF(T244=0,0,X244/T244)</f>
        <v>-1.4368401099970663E-2</v>
      </c>
    </row>
    <row r="245" spans="1:26" s="24" customFormat="1" hidden="1" outlineLevel="2" x14ac:dyDescent="0.25">
      <c r="A245" s="27"/>
      <c r="B245" s="11" t="str">
        <f>CONCATENATE("          ", "6399", " - ", "DONATION-ON CAMPUS")</f>
        <v xml:space="preserve">          6399 - DONATION-ON CAMPUS</v>
      </c>
      <c r="C245" s="11"/>
      <c r="D245" s="6"/>
      <c r="E245" s="2"/>
      <c r="F245" s="7">
        <f t="shared" si="78"/>
        <v>0</v>
      </c>
      <c r="G245" s="2"/>
      <c r="H245" s="6">
        <v>17387.66</v>
      </c>
      <c r="I245" s="2"/>
      <c r="J245" s="7">
        <f t="shared" si="79"/>
        <v>5.0740387880439481E-3</v>
      </c>
      <c r="K245" s="2"/>
      <c r="L245" s="6">
        <f t="shared" si="80"/>
        <v>-17387.66</v>
      </c>
      <c r="M245" s="2"/>
      <c r="N245" s="7">
        <f t="shared" si="81"/>
        <v>-1</v>
      </c>
      <c r="O245" s="11"/>
      <c r="P245" s="6">
        <v>132751.98000000001</v>
      </c>
      <c r="Q245" s="2"/>
      <c r="R245" s="7">
        <f t="shared" si="82"/>
        <v>4.8196941760829349E-3</v>
      </c>
      <c r="S245" s="2"/>
      <c r="T245" s="6">
        <v>134687.22</v>
      </c>
      <c r="U245" s="2"/>
      <c r="V245" s="7">
        <f t="shared" si="83"/>
        <v>4.1724112738123747E-3</v>
      </c>
      <c r="W245" s="2"/>
      <c r="X245" s="6">
        <f t="shared" si="84"/>
        <v>-1935.2399999999907</v>
      </c>
      <c r="Y245" s="2"/>
      <c r="Z245" s="7">
        <f t="shared" si="85"/>
        <v>-1.4368401099970663E-2</v>
      </c>
    </row>
    <row r="246" spans="1:26" s="25" customFormat="1" outlineLevel="1" collapsed="1" x14ac:dyDescent="0.25">
      <c r="A246" s="26"/>
      <c r="B246" s="13" t="str">
        <f>CONCATENATE("     ","Employees' Appreciation                           ")</f>
        <v xml:space="preserve">     Employees' Appreciation                           </v>
      </c>
      <c r="C246" s="13"/>
      <c r="D246" s="1">
        <f>SUM(OSRRefD22_8x_0)</f>
        <v>30.15</v>
      </c>
      <c r="E246" s="1"/>
      <c r="F246" s="5">
        <f t="shared" si="78"/>
        <v>6.0516911977940771E-5</v>
      </c>
      <c r="G246" s="1"/>
      <c r="H246" s="1">
        <f>SUM(OSRRefH22_8x_0)</f>
        <v>1431</v>
      </c>
      <c r="I246" s="1"/>
      <c r="J246" s="5">
        <f t="shared" si="79"/>
        <v>4.1759210300241031E-4</v>
      </c>
      <c r="K246" s="1"/>
      <c r="L246" s="1">
        <f t="shared" si="80"/>
        <v>-1400.85</v>
      </c>
      <c r="M246" s="1"/>
      <c r="N246" s="5">
        <f t="shared" si="81"/>
        <v>-0.97893081761006284</v>
      </c>
      <c r="O246" s="13"/>
      <c r="P246" s="1">
        <f>SUM(OSRRefP22_8x_0)</f>
        <v>5253.59</v>
      </c>
      <c r="Q246" s="1"/>
      <c r="R246" s="5">
        <f t="shared" si="82"/>
        <v>1.9073686981186679E-4</v>
      </c>
      <c r="S246" s="1"/>
      <c r="T246" s="1">
        <f>SUM(OSRRefT22_8x_0)</f>
        <v>9822.33</v>
      </c>
      <c r="U246" s="1"/>
      <c r="V246" s="5">
        <f t="shared" si="83"/>
        <v>3.0428128538925595E-4</v>
      </c>
      <c r="W246" s="1"/>
      <c r="X246" s="1">
        <f t="shared" si="84"/>
        <v>-4568.74</v>
      </c>
      <c r="Y246" s="1"/>
      <c r="Z246" s="5">
        <f t="shared" si="85"/>
        <v>-0.46513810877867062</v>
      </c>
    </row>
    <row r="247" spans="1:26" s="24" customFormat="1" hidden="1" outlineLevel="2" x14ac:dyDescent="0.25">
      <c r="A247" s="27"/>
      <c r="B247" s="11" t="str">
        <f>CONCATENATE("          ", "6277", " - ", "EMPLOYEE APPRECIATION")</f>
        <v xml:space="preserve">          6277 - EMPLOYEE APPRECIATION</v>
      </c>
      <c r="C247" s="11"/>
      <c r="D247" s="6">
        <v>30.15</v>
      </c>
      <c r="E247" s="2"/>
      <c r="F247" s="7">
        <f t="shared" si="78"/>
        <v>6.0516911977940771E-5</v>
      </c>
      <c r="G247" s="2"/>
      <c r="H247" s="6">
        <v>1431</v>
      </c>
      <c r="I247" s="2"/>
      <c r="J247" s="7">
        <f t="shared" si="79"/>
        <v>4.1759210300241031E-4</v>
      </c>
      <c r="K247" s="2"/>
      <c r="L247" s="6">
        <f t="shared" si="80"/>
        <v>-1400.85</v>
      </c>
      <c r="M247" s="2"/>
      <c r="N247" s="7">
        <f t="shared" si="81"/>
        <v>-0.97893081761006284</v>
      </c>
      <c r="O247" s="11"/>
      <c r="P247" s="6">
        <v>5253.59</v>
      </c>
      <c r="Q247" s="2"/>
      <c r="R247" s="7">
        <f t="shared" si="82"/>
        <v>1.9073686981186679E-4</v>
      </c>
      <c r="S247" s="2"/>
      <c r="T247" s="6">
        <v>9822.33</v>
      </c>
      <c r="U247" s="2"/>
      <c r="V247" s="7">
        <f t="shared" si="83"/>
        <v>3.0428128538925595E-4</v>
      </c>
      <c r="W247" s="2"/>
      <c r="X247" s="6">
        <f t="shared" si="84"/>
        <v>-4568.74</v>
      </c>
      <c r="Y247" s="2"/>
      <c r="Z247" s="7">
        <f t="shared" si="85"/>
        <v>-0.46513810877867062</v>
      </c>
    </row>
    <row r="248" spans="1:26" s="25" customFormat="1" outlineLevel="1" collapsed="1" x14ac:dyDescent="0.25">
      <c r="A248" s="26"/>
      <c r="B248" s="13" t="str">
        <f>CONCATENATE("     ","Equipment Rental                                  ")</f>
        <v xml:space="preserve">     Equipment Rental                                  </v>
      </c>
      <c r="C248" s="13"/>
      <c r="D248" s="1">
        <f>SUM(OSRRefD22_9x_0)</f>
        <v>2893.57</v>
      </c>
      <c r="E248" s="1"/>
      <c r="F248" s="5">
        <f t="shared" si="78"/>
        <v>5.807957578507798E-3</v>
      </c>
      <c r="G248" s="1"/>
      <c r="H248" s="1">
        <f>SUM(OSRRefH22_9x_0)</f>
        <v>6022.35</v>
      </c>
      <c r="I248" s="1"/>
      <c r="J248" s="5">
        <f t="shared" si="79"/>
        <v>1.7574324259375022E-3</v>
      </c>
      <c r="K248" s="1"/>
      <c r="L248" s="1">
        <f t="shared" si="80"/>
        <v>-3128.78</v>
      </c>
      <c r="M248" s="1"/>
      <c r="N248" s="5">
        <f t="shared" si="81"/>
        <v>-0.51952809119363708</v>
      </c>
      <c r="O248" s="13"/>
      <c r="P248" s="1">
        <f>SUM(OSRRefP22_9x_0)</f>
        <v>47669.299999999996</v>
      </c>
      <c r="Q248" s="1"/>
      <c r="R248" s="5">
        <f t="shared" si="82"/>
        <v>1.7306818895503494E-3</v>
      </c>
      <c r="S248" s="1"/>
      <c r="T248" s="1">
        <f>SUM(OSRRefT22_9x_0)</f>
        <v>56897.740000000005</v>
      </c>
      <c r="U248" s="1"/>
      <c r="V248" s="5">
        <f t="shared" si="83"/>
        <v>1.7626080026779476E-3</v>
      </c>
      <c r="W248" s="1"/>
      <c r="X248" s="1">
        <f t="shared" si="84"/>
        <v>-9228.4400000000096</v>
      </c>
      <c r="Y248" s="1"/>
      <c r="Z248" s="5">
        <f t="shared" si="85"/>
        <v>-0.16219343685707041</v>
      </c>
    </row>
    <row r="249" spans="1:26" s="24" customFormat="1" hidden="1" outlineLevel="2" x14ac:dyDescent="0.25">
      <c r="A249" s="27"/>
      <c r="B249" s="11" t="str">
        <f>CONCATENATE("          ", "6351", " - ", "EQUIPMENT RENTAL")</f>
        <v xml:space="preserve">          6351 - EQUIPMENT RENTAL</v>
      </c>
      <c r="C249" s="11"/>
      <c r="D249" s="6">
        <v>2893.57</v>
      </c>
      <c r="E249" s="2"/>
      <c r="F249" s="7">
        <f t="shared" si="78"/>
        <v>5.807957578507798E-3</v>
      </c>
      <c r="G249" s="2"/>
      <c r="H249" s="6">
        <v>6022.35</v>
      </c>
      <c r="I249" s="2"/>
      <c r="J249" s="7">
        <f t="shared" si="79"/>
        <v>1.7574324259375022E-3</v>
      </c>
      <c r="K249" s="2"/>
      <c r="L249" s="6">
        <f t="shared" si="80"/>
        <v>-3128.78</v>
      </c>
      <c r="M249" s="2"/>
      <c r="N249" s="7">
        <f t="shared" si="81"/>
        <v>-0.51952809119363708</v>
      </c>
      <c r="O249" s="11"/>
      <c r="P249" s="6">
        <v>47669.299999999996</v>
      </c>
      <c r="Q249" s="2"/>
      <c r="R249" s="7">
        <f t="shared" si="82"/>
        <v>1.7306818895503494E-3</v>
      </c>
      <c r="S249" s="2"/>
      <c r="T249" s="6">
        <v>56897.740000000005</v>
      </c>
      <c r="U249" s="2"/>
      <c r="V249" s="7">
        <f t="shared" si="83"/>
        <v>1.7626080026779476E-3</v>
      </c>
      <c r="W249" s="2"/>
      <c r="X249" s="6">
        <f t="shared" si="84"/>
        <v>-9228.4400000000096</v>
      </c>
      <c r="Y249" s="2"/>
      <c r="Z249" s="7">
        <f t="shared" si="85"/>
        <v>-0.16219343685707041</v>
      </c>
    </row>
    <row r="250" spans="1:26" s="25" customFormat="1" outlineLevel="1" collapsed="1" x14ac:dyDescent="0.25">
      <c r="A250" s="26"/>
      <c r="B250" s="13" t="str">
        <f>CONCATENATE("     ","Freight out/Postage                               ")</f>
        <v xml:space="preserve">     Freight out/Postage                               </v>
      </c>
      <c r="C250" s="13"/>
      <c r="D250" s="1">
        <f>SUM(OSRRefD22_10x_0)</f>
        <v>9113.75</v>
      </c>
      <c r="E250" s="1"/>
      <c r="F250" s="5">
        <f t="shared" si="78"/>
        <v>1.8293068210247353E-2</v>
      </c>
      <c r="G250" s="1"/>
      <c r="H250" s="1">
        <f>SUM(OSRRefH22_10x_0)</f>
        <v>6529</v>
      </c>
      <c r="I250" s="1"/>
      <c r="J250" s="5">
        <f t="shared" si="79"/>
        <v>1.9052822085973004E-3</v>
      </c>
      <c r="K250" s="1"/>
      <c r="L250" s="1">
        <f t="shared" si="80"/>
        <v>2584.75</v>
      </c>
      <c r="M250" s="1"/>
      <c r="N250" s="5">
        <f t="shared" si="81"/>
        <v>0.39588757849594119</v>
      </c>
      <c r="O250" s="13"/>
      <c r="P250" s="1">
        <f>SUM(OSRRefP22_10x_0)</f>
        <v>10345.969999999994</v>
      </c>
      <c r="Q250" s="1"/>
      <c r="R250" s="5">
        <f t="shared" si="82"/>
        <v>3.7562084840413472E-4</v>
      </c>
      <c r="S250" s="1"/>
      <c r="T250" s="1">
        <f>SUM(OSRRefT22_10x_0)</f>
        <v>-3258.2100000000064</v>
      </c>
      <c r="U250" s="1"/>
      <c r="V250" s="5">
        <f t="shared" si="83"/>
        <v>-1.0093453659855957E-4</v>
      </c>
      <c r="W250" s="1"/>
      <c r="X250" s="1">
        <f t="shared" si="84"/>
        <v>13604.18</v>
      </c>
      <c r="Y250" s="1"/>
      <c r="Z250" s="5">
        <f t="shared" si="85"/>
        <v>-4.1753539520165903</v>
      </c>
    </row>
    <row r="251" spans="1:26" s="24" customFormat="1" hidden="1" outlineLevel="2" x14ac:dyDescent="0.25">
      <c r="A251" s="27"/>
      <c r="B251" s="11" t="str">
        <f>CONCATENATE("          ", "6305", " - ", "FREIGHT OUT")</f>
        <v xml:space="preserve">          6305 - FREIGHT OUT</v>
      </c>
      <c r="C251" s="11"/>
      <c r="D251" s="6">
        <v>10673.59</v>
      </c>
      <c r="E251" s="2"/>
      <c r="F251" s="7">
        <f t="shared" si="78"/>
        <v>2.1423970365460329E-2</v>
      </c>
      <c r="G251" s="2"/>
      <c r="H251" s="6">
        <v>8620.92</v>
      </c>
      <c r="I251" s="2"/>
      <c r="J251" s="7">
        <f t="shared" si="79"/>
        <v>2.5157429158738915E-3</v>
      </c>
      <c r="K251" s="2"/>
      <c r="L251" s="6">
        <f t="shared" si="80"/>
        <v>2052.67</v>
      </c>
      <c r="M251" s="2"/>
      <c r="N251" s="7">
        <f t="shared" si="81"/>
        <v>0.23810335787827749</v>
      </c>
      <c r="O251" s="11"/>
      <c r="P251" s="6">
        <v>62776.959999999999</v>
      </c>
      <c r="Q251" s="2"/>
      <c r="R251" s="7">
        <f t="shared" si="82"/>
        <v>2.2791806834383285E-3</v>
      </c>
      <c r="S251" s="2"/>
      <c r="T251" s="6">
        <v>68392.11</v>
      </c>
      <c r="U251" s="2"/>
      <c r="V251" s="7">
        <f t="shared" si="83"/>
        <v>2.1186866192933231E-3</v>
      </c>
      <c r="W251" s="2"/>
      <c r="X251" s="6">
        <f t="shared" si="84"/>
        <v>-5615.1500000000015</v>
      </c>
      <c r="Y251" s="2"/>
      <c r="Z251" s="7">
        <f t="shared" si="85"/>
        <v>-8.2102306830422425E-2</v>
      </c>
    </row>
    <row r="252" spans="1:26" s="24" customFormat="1" hidden="1" outlineLevel="2" x14ac:dyDescent="0.25">
      <c r="A252" s="27"/>
      <c r="B252" s="11" t="str">
        <f>CONCATENATE("          ", "6307", " - ", "POSTAGE")</f>
        <v xml:space="preserve">          6307 - POSTAGE</v>
      </c>
      <c r="C252" s="11"/>
      <c r="D252" s="6">
        <v>-1559.84</v>
      </c>
      <c r="E252" s="2"/>
      <c r="F252" s="7">
        <f t="shared" si="78"/>
        <v>-3.1309021552129732E-3</v>
      </c>
      <c r="G252" s="2"/>
      <c r="H252" s="6">
        <v>-2091.92</v>
      </c>
      <c r="I252" s="2"/>
      <c r="J252" s="7">
        <f t="shared" si="79"/>
        <v>-6.104607072765913E-4</v>
      </c>
      <c r="K252" s="2"/>
      <c r="L252" s="6">
        <f t="shared" si="80"/>
        <v>532.08000000000015</v>
      </c>
      <c r="M252" s="2"/>
      <c r="N252" s="7">
        <f t="shared" si="81"/>
        <v>-0.25435007074840343</v>
      </c>
      <c r="O252" s="11"/>
      <c r="P252" s="6">
        <v>-52430.990000000005</v>
      </c>
      <c r="Q252" s="2"/>
      <c r="R252" s="7">
        <f t="shared" si="82"/>
        <v>-1.9035598350341939E-3</v>
      </c>
      <c r="S252" s="2"/>
      <c r="T252" s="6">
        <v>-71650.320000000007</v>
      </c>
      <c r="U252" s="2"/>
      <c r="V252" s="7">
        <f t="shared" si="83"/>
        <v>-2.2196211558918825E-3</v>
      </c>
      <c r="W252" s="2"/>
      <c r="X252" s="6">
        <f t="shared" si="84"/>
        <v>19219.330000000002</v>
      </c>
      <c r="Y252" s="2"/>
      <c r="Z252" s="7">
        <f t="shared" si="85"/>
        <v>-0.2682378808636165</v>
      </c>
    </row>
    <row r="253" spans="1:26" s="25" customFormat="1" outlineLevel="1" collapsed="1" x14ac:dyDescent="0.25">
      <c r="A253" s="26"/>
      <c r="B253" s="13" t="str">
        <f>CONCATENATE("     ","General                                           ")</f>
        <v xml:space="preserve">     General                                           </v>
      </c>
      <c r="C253" s="13"/>
      <c r="D253" s="1">
        <f>SUM(OSRRefD22_11x_0)</f>
        <v>231.4</v>
      </c>
      <c r="E253" s="1"/>
      <c r="F253" s="5">
        <f t="shared" ref="F253:F255" si="86">IF(D$12=0,0,D253/D$12)</f>
        <v>4.6446479043766155E-4</v>
      </c>
      <c r="G253" s="1"/>
      <c r="H253" s="1">
        <f>SUM(OSRRefH22_11x_0)</f>
        <v>18430.150000000001</v>
      </c>
      <c r="I253" s="1"/>
      <c r="J253" s="5">
        <f t="shared" ref="J253:J255" si="87">IF(H$12=0,0,H253/H$12)</f>
        <v>5.3782565319006794E-3</v>
      </c>
      <c r="K253" s="1"/>
      <c r="L253" s="1">
        <f t="shared" ref="L253:L255" si="88">+D253-H253</f>
        <v>-18198.75</v>
      </c>
      <c r="M253" s="1"/>
      <c r="N253" s="5">
        <f t="shared" ref="N253:N255" si="89">IF(H253=0,0,L253/H253)</f>
        <v>-0.98744448634438675</v>
      </c>
      <c r="O253" s="13"/>
      <c r="P253" s="1">
        <f>SUM(OSRRefP22_11x_0)</f>
        <v>103223.31999999999</v>
      </c>
      <c r="Q253" s="1"/>
      <c r="R253" s="5">
        <f t="shared" ref="R253:R255" si="90">IF(P$12=0,0,P253/P$12)</f>
        <v>3.7476264703543032E-3</v>
      </c>
      <c r="S253" s="1"/>
      <c r="T253" s="1">
        <f>SUM(OSRRefT22_11x_0)</f>
        <v>101943.06</v>
      </c>
      <c r="U253" s="1"/>
      <c r="V253" s="5">
        <f t="shared" ref="V253:V255" si="91">IF(T$12=0,0,T253/T$12)</f>
        <v>3.1580455282314928E-3</v>
      </c>
      <c r="W253" s="1"/>
      <c r="X253" s="1">
        <f t="shared" ref="X253:X255" si="92">+P253-T253</f>
        <v>1280.2599999999948</v>
      </c>
      <c r="Y253" s="1"/>
      <c r="Z253" s="5">
        <f t="shared" ref="Z253:Z255" si="93">IF(T253=0,0,X253/T253)</f>
        <v>1.2558579269643218E-2</v>
      </c>
    </row>
    <row r="254" spans="1:26" s="24" customFormat="1" hidden="1" outlineLevel="2" x14ac:dyDescent="0.25">
      <c r="A254" s="27"/>
      <c r="B254" s="11" t="str">
        <f>CONCATENATE("          ", "6269", " - ", "ENTERTAINMENT")</f>
        <v xml:space="preserve">          6269 - ENTERTAINMENT</v>
      </c>
      <c r="C254" s="11"/>
      <c r="D254" s="6"/>
      <c r="E254" s="2"/>
      <c r="F254" s="7">
        <f t="shared" si="86"/>
        <v>0</v>
      </c>
      <c r="G254" s="2"/>
      <c r="H254" s="6">
        <v>1700</v>
      </c>
      <c r="I254" s="2"/>
      <c r="J254" s="7">
        <f t="shared" si="87"/>
        <v>4.9609124745219951E-4</v>
      </c>
      <c r="K254" s="2"/>
      <c r="L254" s="6">
        <f t="shared" si="88"/>
        <v>-1700</v>
      </c>
      <c r="M254" s="2"/>
      <c r="N254" s="7">
        <f t="shared" si="89"/>
        <v>-1</v>
      </c>
      <c r="O254" s="11"/>
      <c r="P254" s="6">
        <v>10050</v>
      </c>
      <c r="Q254" s="2"/>
      <c r="R254" s="7">
        <f t="shared" si="90"/>
        <v>3.6487535982238073E-4</v>
      </c>
      <c r="S254" s="2"/>
      <c r="T254" s="6">
        <v>10660</v>
      </c>
      <c r="U254" s="2"/>
      <c r="V254" s="7">
        <f t="shared" si="91"/>
        <v>3.3023106556687349E-4</v>
      </c>
      <c r="W254" s="2"/>
      <c r="X254" s="6">
        <f t="shared" si="92"/>
        <v>-610</v>
      </c>
      <c r="Y254" s="2"/>
      <c r="Z254" s="7">
        <f t="shared" si="93"/>
        <v>-5.7223264540337708E-2</v>
      </c>
    </row>
    <row r="255" spans="1:26" s="24" customFormat="1" hidden="1" outlineLevel="2" x14ac:dyDescent="0.25">
      <c r="A255" s="27"/>
      <c r="B255" s="11" t="str">
        <f>CONCATENATE("          ", "6279", " - ", "GENERAL EXPENSE")</f>
        <v xml:space="preserve">          6279 - GENERAL EXPENSE</v>
      </c>
      <c r="C255" s="11"/>
      <c r="D255" s="6">
        <v>231.4</v>
      </c>
      <c r="E255" s="2"/>
      <c r="F255" s="7">
        <f t="shared" si="86"/>
        <v>4.6446479043766155E-4</v>
      </c>
      <c r="G255" s="2"/>
      <c r="H255" s="6">
        <v>16730.150000000001</v>
      </c>
      <c r="I255" s="2"/>
      <c r="J255" s="7">
        <f t="shared" si="87"/>
        <v>4.8821652844484803E-3</v>
      </c>
      <c r="K255" s="2"/>
      <c r="L255" s="6">
        <f t="shared" si="88"/>
        <v>-16498.75</v>
      </c>
      <c r="M255" s="2"/>
      <c r="N255" s="7">
        <f t="shared" si="89"/>
        <v>-0.98616868348460707</v>
      </c>
      <c r="O255" s="11"/>
      <c r="P255" s="6">
        <v>93173.319999999992</v>
      </c>
      <c r="Q255" s="2"/>
      <c r="R255" s="7">
        <f t="shared" si="90"/>
        <v>3.3827511105319224E-3</v>
      </c>
      <c r="S255" s="2"/>
      <c r="T255" s="6">
        <v>91283.06</v>
      </c>
      <c r="U255" s="2"/>
      <c r="V255" s="7">
        <f t="shared" si="91"/>
        <v>2.8278144626646194E-3</v>
      </c>
      <c r="W255" s="2"/>
      <c r="X255" s="6">
        <f t="shared" si="92"/>
        <v>1890.2599999999948</v>
      </c>
      <c r="Y255" s="2"/>
      <c r="Z255" s="7">
        <f t="shared" si="93"/>
        <v>2.0707675662932364E-2</v>
      </c>
    </row>
    <row r="256" spans="1:26" s="25" customFormat="1" outlineLevel="1" collapsed="1" x14ac:dyDescent="0.25">
      <c r="A256" s="26"/>
      <c r="B256" s="13" t="str">
        <f>CONCATENATE("     ","Insurance                                         ")</f>
        <v xml:space="preserve">     Insurance                                         </v>
      </c>
      <c r="C256" s="13"/>
      <c r="D256" s="1">
        <f>SUM(OSRRefD22_12x_0)</f>
        <v>8563.32</v>
      </c>
      <c r="E256" s="1"/>
      <c r="F256" s="5">
        <f t="shared" ref="F256:F272" si="94">IF(D$12=0,0,D256/D$12)</f>
        <v>1.7188248181722713E-2</v>
      </c>
      <c r="G256" s="1"/>
      <c r="H256" s="1">
        <f>SUM(OSRRefH22_12x_0)</f>
        <v>8064.85</v>
      </c>
      <c r="I256" s="1"/>
      <c r="J256" s="5">
        <f t="shared" ref="J256:J272" si="95">IF(H$12=0,0,H256/H$12)</f>
        <v>2.3534714688322775E-3</v>
      </c>
      <c r="K256" s="1"/>
      <c r="L256" s="1">
        <f t="shared" ref="L256:L272" si="96">+D256-H256</f>
        <v>498.46999999999935</v>
      </c>
      <c r="M256" s="1"/>
      <c r="N256" s="5">
        <f t="shared" ref="N256:N272" si="97">IF(H256=0,0,L256/H256)</f>
        <v>6.180772116034388E-2</v>
      </c>
      <c r="O256" s="13"/>
      <c r="P256" s="1">
        <f>SUM(OSRRefP22_12x_0)</f>
        <v>91394.200000000012</v>
      </c>
      <c r="Q256" s="1"/>
      <c r="R256" s="5">
        <f t="shared" ref="R256:R272" si="98">IF(P$12=0,0,P256/P$12)</f>
        <v>3.3181583692217546E-3</v>
      </c>
      <c r="S256" s="1"/>
      <c r="T256" s="1">
        <f>SUM(OSRRefT22_12x_0)</f>
        <v>70886.259999999995</v>
      </c>
      <c r="U256" s="1"/>
      <c r="V256" s="5">
        <f t="shared" ref="V256:V272" si="99">IF(T$12=0,0,T256/T$12)</f>
        <v>2.1959517048640185E-3</v>
      </c>
      <c r="W256" s="1"/>
      <c r="X256" s="1">
        <f t="shared" ref="X256:X272" si="100">+P256-T256</f>
        <v>20507.940000000017</v>
      </c>
      <c r="Y256" s="1"/>
      <c r="Z256" s="5">
        <f t="shared" ref="Z256:Z272" si="101">IF(T256=0,0,X256/T256)</f>
        <v>0.28930768811896718</v>
      </c>
    </row>
    <row r="257" spans="1:26" s="24" customFormat="1" hidden="1" outlineLevel="2" x14ac:dyDescent="0.25">
      <c r="A257" s="27"/>
      <c r="B257" s="11" t="str">
        <f>CONCATENATE("          ", "6314", " - ", "LIABILITY INSURANCE")</f>
        <v xml:space="preserve">          6314 - LIABILITY INSURANCE</v>
      </c>
      <c r="C257" s="11"/>
      <c r="D257" s="6">
        <v>8563.32</v>
      </c>
      <c r="E257" s="2"/>
      <c r="F257" s="7">
        <f t="shared" si="94"/>
        <v>1.7188248181722713E-2</v>
      </c>
      <c r="G257" s="2"/>
      <c r="H257" s="6">
        <v>8064.85</v>
      </c>
      <c r="I257" s="2"/>
      <c r="J257" s="7">
        <f t="shared" si="95"/>
        <v>2.3534714688322775E-3</v>
      </c>
      <c r="K257" s="2"/>
      <c r="L257" s="6">
        <f t="shared" si="96"/>
        <v>498.46999999999935</v>
      </c>
      <c r="M257" s="2"/>
      <c r="N257" s="7">
        <f t="shared" si="97"/>
        <v>6.180772116034388E-2</v>
      </c>
      <c r="O257" s="11"/>
      <c r="P257" s="6">
        <v>91394.200000000012</v>
      </c>
      <c r="Q257" s="2"/>
      <c r="R257" s="7">
        <f t="shared" si="98"/>
        <v>3.3181583692217546E-3</v>
      </c>
      <c r="S257" s="2"/>
      <c r="T257" s="6">
        <v>70886.259999999995</v>
      </c>
      <c r="U257" s="2"/>
      <c r="V257" s="7">
        <f t="shared" si="99"/>
        <v>2.1959517048640185E-3</v>
      </c>
      <c r="W257" s="2"/>
      <c r="X257" s="6">
        <f t="shared" si="100"/>
        <v>20507.940000000017</v>
      </c>
      <c r="Y257" s="2"/>
      <c r="Z257" s="7">
        <f t="shared" si="101"/>
        <v>0.28930768811896718</v>
      </c>
    </row>
    <row r="258" spans="1:26" s="25" customFormat="1" outlineLevel="1" collapsed="1" x14ac:dyDescent="0.25">
      <c r="A258" s="26"/>
      <c r="B258" s="13" t="str">
        <f>CONCATENATE("     ","Interest                                          ")</f>
        <v xml:space="preserve">     Interest                                          </v>
      </c>
      <c r="C258" s="13"/>
      <c r="D258" s="1">
        <f>SUM(OSRRefD22_13x_0)</f>
        <v>8928.0499999999993</v>
      </c>
      <c r="E258" s="1"/>
      <c r="F258" s="5">
        <f t="shared" si="94"/>
        <v>1.792033220512949E-2</v>
      </c>
      <c r="G258" s="1"/>
      <c r="H258" s="1">
        <f>SUM(OSRRefH22_13x_0)</f>
        <v>10430</v>
      </c>
      <c r="I258" s="1"/>
      <c r="J258" s="5">
        <f t="shared" si="95"/>
        <v>3.043665712309671E-3</v>
      </c>
      <c r="K258" s="1"/>
      <c r="L258" s="1">
        <f t="shared" si="96"/>
        <v>-1501.9500000000007</v>
      </c>
      <c r="M258" s="1"/>
      <c r="N258" s="5">
        <f t="shared" si="97"/>
        <v>-0.14400287631831263</v>
      </c>
      <c r="O258" s="13"/>
      <c r="P258" s="1">
        <f>SUM(OSRRefP22_13x_0)</f>
        <v>115690.05</v>
      </c>
      <c r="Q258" s="1"/>
      <c r="R258" s="5">
        <f t="shared" si="98"/>
        <v>4.2002436439422105E-3</v>
      </c>
      <c r="S258" s="1"/>
      <c r="T258" s="1">
        <f>SUM(OSRRefT22_13x_0)</f>
        <v>119876</v>
      </c>
      <c r="U258" s="1"/>
      <c r="V258" s="5">
        <f t="shared" si="99"/>
        <v>3.7135815399525819E-3</v>
      </c>
      <c r="W258" s="1"/>
      <c r="X258" s="1">
        <f t="shared" si="100"/>
        <v>-4185.9499999999971</v>
      </c>
      <c r="Y258" s="1"/>
      <c r="Z258" s="5">
        <f t="shared" si="101"/>
        <v>-3.4918999632954029E-2</v>
      </c>
    </row>
    <row r="259" spans="1:26" s="24" customFormat="1" hidden="1" outlineLevel="2" x14ac:dyDescent="0.25">
      <c r="A259" s="27"/>
      <c r="B259" s="11" t="str">
        <f>CONCATENATE("          ", "6401", " - ", "INTEREST EXPENSE")</f>
        <v xml:space="preserve">          6401 - INTEREST EXPENSE</v>
      </c>
      <c r="C259" s="11"/>
      <c r="D259" s="6">
        <v>8928.0499999999993</v>
      </c>
      <c r="E259" s="2"/>
      <c r="F259" s="7">
        <f t="shared" si="94"/>
        <v>1.792033220512949E-2</v>
      </c>
      <c r="G259" s="2"/>
      <c r="H259" s="6">
        <v>10430</v>
      </c>
      <c r="I259" s="2"/>
      <c r="J259" s="7">
        <f t="shared" si="95"/>
        <v>3.043665712309671E-3</v>
      </c>
      <c r="K259" s="2"/>
      <c r="L259" s="6">
        <f t="shared" si="96"/>
        <v>-1501.9500000000007</v>
      </c>
      <c r="M259" s="2"/>
      <c r="N259" s="7">
        <f t="shared" si="97"/>
        <v>-0.14400287631831263</v>
      </c>
      <c r="O259" s="11"/>
      <c r="P259" s="6">
        <v>115690.05</v>
      </c>
      <c r="Q259" s="2"/>
      <c r="R259" s="7">
        <f t="shared" si="98"/>
        <v>4.2002436439422105E-3</v>
      </c>
      <c r="S259" s="2"/>
      <c r="T259" s="6">
        <v>119876</v>
      </c>
      <c r="U259" s="2"/>
      <c r="V259" s="7">
        <f t="shared" si="99"/>
        <v>3.7135815399525819E-3</v>
      </c>
      <c r="W259" s="2"/>
      <c r="X259" s="6">
        <f t="shared" si="100"/>
        <v>-4185.9499999999971</v>
      </c>
      <c r="Y259" s="2"/>
      <c r="Z259" s="7">
        <f t="shared" si="101"/>
        <v>-3.4918999632954029E-2</v>
      </c>
    </row>
    <row r="260" spans="1:26" s="25" customFormat="1" outlineLevel="1" collapsed="1" x14ac:dyDescent="0.25">
      <c r="A260" s="26"/>
      <c r="B260" s="13" t="str">
        <f>CONCATENATE("     ","Inventory Adjustment                              ")</f>
        <v xml:space="preserve">     Inventory Adjustment                              </v>
      </c>
      <c r="C260" s="13"/>
      <c r="D260" s="1">
        <f>SUM(OSRRefD22_14x_0)</f>
        <v>4550</v>
      </c>
      <c r="E260" s="1"/>
      <c r="F260" s="5">
        <f t="shared" si="94"/>
        <v>9.1327346434371647E-3</v>
      </c>
      <c r="G260" s="1"/>
      <c r="H260" s="1">
        <f>SUM(OSRRefH22_14x_0)</f>
        <v>10300</v>
      </c>
      <c r="I260" s="1"/>
      <c r="J260" s="5">
        <f t="shared" si="95"/>
        <v>3.0057293227986207E-3</v>
      </c>
      <c r="K260" s="1"/>
      <c r="L260" s="1">
        <f t="shared" si="96"/>
        <v>-5750</v>
      </c>
      <c r="M260" s="1"/>
      <c r="N260" s="5">
        <f t="shared" si="97"/>
        <v>-0.55825242718446599</v>
      </c>
      <c r="O260" s="13"/>
      <c r="P260" s="1">
        <f>SUM(OSRRefP22_14x_0)</f>
        <v>48800</v>
      </c>
      <c r="Q260" s="1"/>
      <c r="R260" s="5">
        <f t="shared" si="98"/>
        <v>1.771733090480814E-3</v>
      </c>
      <c r="S260" s="1"/>
      <c r="T260" s="1">
        <f>SUM(OSRRefT22_14x_0)</f>
        <v>100600</v>
      </c>
      <c r="U260" s="1"/>
      <c r="V260" s="5">
        <f t="shared" si="99"/>
        <v>3.1164395118224645E-3</v>
      </c>
      <c r="W260" s="1"/>
      <c r="X260" s="1">
        <f t="shared" si="100"/>
        <v>-51800</v>
      </c>
      <c r="Y260" s="1"/>
      <c r="Z260" s="5">
        <f t="shared" si="101"/>
        <v>-0.51491053677932408</v>
      </c>
    </row>
    <row r="261" spans="1:26" s="24" customFormat="1" hidden="1" outlineLevel="2" x14ac:dyDescent="0.25">
      <c r="A261" s="27"/>
      <c r="B261" s="11" t="str">
        <f>CONCATENATE("          ", "6408", " - ", "INVENTORY ADJUSTMENT")</f>
        <v xml:space="preserve">          6408 - INVENTORY ADJUSTMENT</v>
      </c>
      <c r="C261" s="11"/>
      <c r="D261" s="6">
        <v>4550</v>
      </c>
      <c r="E261" s="2"/>
      <c r="F261" s="7">
        <f t="shared" si="94"/>
        <v>9.1327346434371647E-3</v>
      </c>
      <c r="G261" s="2"/>
      <c r="H261" s="6">
        <v>10300</v>
      </c>
      <c r="I261" s="2"/>
      <c r="J261" s="7">
        <f t="shared" si="95"/>
        <v>3.0057293227986207E-3</v>
      </c>
      <c r="K261" s="2"/>
      <c r="L261" s="6">
        <f t="shared" si="96"/>
        <v>-5750</v>
      </c>
      <c r="M261" s="2"/>
      <c r="N261" s="7">
        <f t="shared" si="97"/>
        <v>-0.55825242718446599</v>
      </c>
      <c r="O261" s="11"/>
      <c r="P261" s="6">
        <v>48800</v>
      </c>
      <c r="Q261" s="2"/>
      <c r="R261" s="7">
        <f t="shared" si="98"/>
        <v>1.771733090480814E-3</v>
      </c>
      <c r="S261" s="2"/>
      <c r="T261" s="6">
        <v>100600</v>
      </c>
      <c r="U261" s="2"/>
      <c r="V261" s="7">
        <f t="shared" si="99"/>
        <v>3.1164395118224645E-3</v>
      </c>
      <c r="W261" s="2"/>
      <c r="X261" s="6">
        <f t="shared" si="100"/>
        <v>-51800</v>
      </c>
      <c r="Y261" s="2"/>
      <c r="Z261" s="7">
        <f t="shared" si="101"/>
        <v>-0.51491053677932408</v>
      </c>
    </row>
    <row r="262" spans="1:26" s="25" customFormat="1" outlineLevel="1" collapsed="1" x14ac:dyDescent="0.25">
      <c r="A262" s="26"/>
      <c r="B262" s="13" t="str">
        <f>CONCATENATE("     ","Professional Services                             ")</f>
        <v xml:space="preserve">     Professional Services                             </v>
      </c>
      <c r="C262" s="13"/>
      <c r="D262" s="1">
        <f>SUM(OSRRefD22_15x_0)</f>
        <v>2930</v>
      </c>
      <c r="E262" s="1"/>
      <c r="F262" s="5">
        <f t="shared" si="94"/>
        <v>5.881079671488109E-3</v>
      </c>
      <c r="G262" s="1"/>
      <c r="H262" s="1">
        <f>SUM(OSRRefH22_15x_0)</f>
        <v>0</v>
      </c>
      <c r="I262" s="1"/>
      <c r="J262" s="5">
        <f t="shared" si="95"/>
        <v>0</v>
      </c>
      <c r="K262" s="1"/>
      <c r="L262" s="1">
        <f t="shared" si="96"/>
        <v>2930</v>
      </c>
      <c r="M262" s="1"/>
      <c r="N262" s="5">
        <f t="shared" si="97"/>
        <v>0</v>
      </c>
      <c r="O262" s="13"/>
      <c r="P262" s="1">
        <f>SUM(OSRRefP22_15x_0)</f>
        <v>9254.56</v>
      </c>
      <c r="Q262" s="1"/>
      <c r="R262" s="5">
        <f t="shared" si="98"/>
        <v>3.3599611044754344E-4</v>
      </c>
      <c r="S262" s="1"/>
      <c r="T262" s="1">
        <f>SUM(OSRRefT22_15x_0)</f>
        <v>9956.43</v>
      </c>
      <c r="U262" s="1"/>
      <c r="V262" s="5">
        <f t="shared" si="99"/>
        <v>3.0843550545422006E-4</v>
      </c>
      <c r="W262" s="1"/>
      <c r="X262" s="1">
        <f t="shared" si="100"/>
        <v>-701.8700000000008</v>
      </c>
      <c r="Y262" s="1"/>
      <c r="Z262" s="5">
        <f t="shared" si="101"/>
        <v>-7.049414298096815E-2</v>
      </c>
    </row>
    <row r="263" spans="1:26" s="24" customFormat="1" hidden="1" outlineLevel="2" x14ac:dyDescent="0.25">
      <c r="A263" s="27"/>
      <c r="B263" s="11" t="str">
        <f>CONCATENATE("          ", "6336", " - ", "PROFESSIONAL SERVICES")</f>
        <v xml:space="preserve">          6336 - PROFESSIONAL SERVICES</v>
      </c>
      <c r="C263" s="11"/>
      <c r="D263" s="6">
        <v>2930</v>
      </c>
      <c r="E263" s="2"/>
      <c r="F263" s="7">
        <f t="shared" si="94"/>
        <v>5.881079671488109E-3</v>
      </c>
      <c r="G263" s="2"/>
      <c r="H263" s="6"/>
      <c r="I263" s="2"/>
      <c r="J263" s="7">
        <f t="shared" si="95"/>
        <v>0</v>
      </c>
      <c r="K263" s="2"/>
      <c r="L263" s="6">
        <f t="shared" si="96"/>
        <v>2930</v>
      </c>
      <c r="M263" s="2"/>
      <c r="N263" s="7">
        <f t="shared" si="97"/>
        <v>0</v>
      </c>
      <c r="O263" s="11"/>
      <c r="P263" s="6">
        <v>9254.56</v>
      </c>
      <c r="Q263" s="2"/>
      <c r="R263" s="7">
        <f t="shared" si="98"/>
        <v>3.3599611044754344E-4</v>
      </c>
      <c r="S263" s="2"/>
      <c r="T263" s="6">
        <v>9956.43</v>
      </c>
      <c r="U263" s="2"/>
      <c r="V263" s="7">
        <f t="shared" si="99"/>
        <v>3.0843550545422006E-4</v>
      </c>
      <c r="W263" s="2"/>
      <c r="X263" s="6">
        <f t="shared" si="100"/>
        <v>-701.8700000000008</v>
      </c>
      <c r="Y263" s="2"/>
      <c r="Z263" s="7">
        <f t="shared" si="101"/>
        <v>-7.049414298096815E-2</v>
      </c>
    </row>
    <row r="264" spans="1:26" s="25" customFormat="1" outlineLevel="1" collapsed="1" x14ac:dyDescent="0.25">
      <c r="A264" s="26"/>
      <c r="B264" s="13" t="str">
        <f>CONCATENATE("     ","R/H Commissions                                   ")</f>
        <v xml:space="preserve">     R/H Commissions                                   </v>
      </c>
      <c r="C264" s="13"/>
      <c r="D264" s="1">
        <f>SUM(OSRRefD22_16x_0)</f>
        <v>3314.86</v>
      </c>
      <c r="E264" s="1"/>
      <c r="F264" s="5">
        <f t="shared" si="94"/>
        <v>6.6535685187129939E-3</v>
      </c>
      <c r="G264" s="1"/>
      <c r="H264" s="1">
        <f>SUM(OSRRefH22_16x_0)</f>
        <v>94771.23</v>
      </c>
      <c r="I264" s="1"/>
      <c r="J264" s="5">
        <f t="shared" si="95"/>
        <v>2.76559868901643E-2</v>
      </c>
      <c r="K264" s="1"/>
      <c r="L264" s="1">
        <f t="shared" si="96"/>
        <v>-91456.37</v>
      </c>
      <c r="M264" s="1"/>
      <c r="N264" s="5">
        <f t="shared" si="97"/>
        <v>-0.9650225073579819</v>
      </c>
      <c r="O264" s="13"/>
      <c r="P264" s="1">
        <f>SUM(OSRRefP22_16x_0)</f>
        <v>705863.29</v>
      </c>
      <c r="Q264" s="1"/>
      <c r="R264" s="5">
        <f t="shared" si="98"/>
        <v>2.5627076808374078E-2</v>
      </c>
      <c r="S264" s="1"/>
      <c r="T264" s="1">
        <f>SUM(OSRRefT22_16x_0)</f>
        <v>788999.4</v>
      </c>
      <c r="U264" s="1"/>
      <c r="V264" s="5">
        <f t="shared" si="99"/>
        <v>2.4442036828670154E-2</v>
      </c>
      <c r="W264" s="1"/>
      <c r="X264" s="1">
        <f t="shared" si="100"/>
        <v>-83136.109999999986</v>
      </c>
      <c r="Y264" s="1"/>
      <c r="Z264" s="5">
        <f t="shared" si="101"/>
        <v>-0.10536904083830734</v>
      </c>
    </row>
    <row r="265" spans="1:26" s="24" customFormat="1" hidden="1" outlineLevel="2" x14ac:dyDescent="0.25">
      <c r="A265" s="27"/>
      <c r="B265" s="11" t="str">
        <f>CONCATENATE("          ", "6387", " - ", "COMMISSION DUE HOUSING")</f>
        <v xml:space="preserve">          6387 - COMMISSION DUE HOUSING</v>
      </c>
      <c r="C265" s="11"/>
      <c r="D265" s="6">
        <v>3314.86</v>
      </c>
      <c r="E265" s="2"/>
      <c r="F265" s="7">
        <f t="shared" si="94"/>
        <v>6.6535685187129939E-3</v>
      </c>
      <c r="G265" s="2"/>
      <c r="H265" s="6">
        <v>94771.23</v>
      </c>
      <c r="I265" s="2"/>
      <c r="J265" s="7">
        <f t="shared" si="95"/>
        <v>2.76559868901643E-2</v>
      </c>
      <c r="K265" s="2"/>
      <c r="L265" s="6">
        <f t="shared" si="96"/>
        <v>-91456.37</v>
      </c>
      <c r="M265" s="2"/>
      <c r="N265" s="7">
        <f t="shared" si="97"/>
        <v>-0.9650225073579819</v>
      </c>
      <c r="O265" s="11"/>
      <c r="P265" s="6">
        <v>705863.29</v>
      </c>
      <c r="Q265" s="2"/>
      <c r="R265" s="7">
        <f t="shared" si="98"/>
        <v>2.5627076808374078E-2</v>
      </c>
      <c r="S265" s="2"/>
      <c r="T265" s="6">
        <v>788999.4</v>
      </c>
      <c r="U265" s="2"/>
      <c r="V265" s="7">
        <f t="shared" si="99"/>
        <v>2.4442036828670154E-2</v>
      </c>
      <c r="W265" s="2"/>
      <c r="X265" s="6">
        <f t="shared" si="100"/>
        <v>-83136.109999999986</v>
      </c>
      <c r="Y265" s="2"/>
      <c r="Z265" s="7">
        <f t="shared" si="101"/>
        <v>-0.10536904083830734</v>
      </c>
    </row>
    <row r="266" spans="1:26" s="25" customFormat="1" outlineLevel="1" collapsed="1" x14ac:dyDescent="0.25">
      <c r="A266" s="26"/>
      <c r="B266" s="13" t="str">
        <f>CONCATENATE("     ","Rent                                              ")</f>
        <v xml:space="preserve">     Rent                                              </v>
      </c>
      <c r="C266" s="13"/>
      <c r="D266" s="1">
        <f>SUM(OSRRefD22_17x_0)</f>
        <v>9900</v>
      </c>
      <c r="E266" s="1"/>
      <c r="F266" s="5">
        <f t="shared" si="94"/>
        <v>1.9871224828577568E-2</v>
      </c>
      <c r="G266" s="1"/>
      <c r="H266" s="1">
        <f>SUM(OSRRefH22_17x_0)</f>
        <v>9900</v>
      </c>
      <c r="I266" s="1"/>
      <c r="J266" s="5">
        <f t="shared" si="95"/>
        <v>2.8890019704569266E-3</v>
      </c>
      <c r="K266" s="1"/>
      <c r="L266" s="1">
        <f t="shared" si="96"/>
        <v>0</v>
      </c>
      <c r="M266" s="1"/>
      <c r="N266" s="5">
        <f t="shared" si="97"/>
        <v>0</v>
      </c>
      <c r="O266" s="13"/>
      <c r="P266" s="1">
        <f>SUM(OSRRefP22_17x_0)</f>
        <v>99000</v>
      </c>
      <c r="Q266" s="1"/>
      <c r="R266" s="5">
        <f t="shared" si="98"/>
        <v>3.5942945892950937E-3</v>
      </c>
      <c r="S266" s="1"/>
      <c r="T266" s="1">
        <f>SUM(OSRRefT22_17x_0)</f>
        <v>99101.08</v>
      </c>
      <c r="U266" s="1"/>
      <c r="V266" s="5">
        <f t="shared" si="99"/>
        <v>3.0700051826667895E-3</v>
      </c>
      <c r="W266" s="1"/>
      <c r="X266" s="1">
        <f t="shared" si="100"/>
        <v>-101.08000000000175</v>
      </c>
      <c r="Y266" s="1"/>
      <c r="Z266" s="5">
        <f t="shared" si="101"/>
        <v>-1.0199687026619865E-3</v>
      </c>
    </row>
    <row r="267" spans="1:26" s="24" customFormat="1" hidden="1" outlineLevel="2" x14ac:dyDescent="0.25">
      <c r="A267" s="27"/>
      <c r="B267" s="11" t="str">
        <f>CONCATENATE("          ", "6273", " - ", "RENT")</f>
        <v xml:space="preserve">          6273 - RENT</v>
      </c>
      <c r="C267" s="11"/>
      <c r="D267" s="6">
        <v>9900</v>
      </c>
      <c r="E267" s="2"/>
      <c r="F267" s="7">
        <f t="shared" si="94"/>
        <v>1.9871224828577568E-2</v>
      </c>
      <c r="G267" s="2"/>
      <c r="H267" s="6">
        <v>9900</v>
      </c>
      <c r="I267" s="2"/>
      <c r="J267" s="7">
        <f t="shared" si="95"/>
        <v>2.8890019704569266E-3</v>
      </c>
      <c r="K267" s="2"/>
      <c r="L267" s="6">
        <f t="shared" si="96"/>
        <v>0</v>
      </c>
      <c r="M267" s="2"/>
      <c r="N267" s="7">
        <f t="shared" si="97"/>
        <v>0</v>
      </c>
      <c r="O267" s="11"/>
      <c r="P267" s="6">
        <v>99000</v>
      </c>
      <c r="Q267" s="2"/>
      <c r="R267" s="7">
        <f t="shared" si="98"/>
        <v>3.5942945892950937E-3</v>
      </c>
      <c r="S267" s="2"/>
      <c r="T267" s="6">
        <v>99101.08</v>
      </c>
      <c r="U267" s="2"/>
      <c r="V267" s="7">
        <f t="shared" si="99"/>
        <v>3.0700051826667895E-3</v>
      </c>
      <c r="W267" s="2"/>
      <c r="X267" s="6">
        <f t="shared" si="100"/>
        <v>-101.08000000000175</v>
      </c>
      <c r="Y267" s="2"/>
      <c r="Z267" s="7">
        <f t="shared" si="101"/>
        <v>-1.0199687026619865E-3</v>
      </c>
    </row>
    <row r="268" spans="1:26" s="25" customFormat="1" outlineLevel="1" collapsed="1" x14ac:dyDescent="0.25">
      <c r="A268" s="26"/>
      <c r="B268" s="13" t="str">
        <f>CONCATENATE("     ","Repair and Maintenance                            ")</f>
        <v xml:space="preserve">     Repair and Maintenance                            </v>
      </c>
      <c r="C268" s="13"/>
      <c r="D268" s="1">
        <f>SUM(OSRRefD22_18x_0)</f>
        <v>23562.41</v>
      </c>
      <c r="E268" s="1"/>
      <c r="F268" s="5">
        <f t="shared" si="94"/>
        <v>4.7294338041729736E-2</v>
      </c>
      <c r="G268" s="1"/>
      <c r="H268" s="1">
        <f>SUM(OSRRefH22_18x_0)</f>
        <v>148858.87</v>
      </c>
      <c r="I268" s="1"/>
      <c r="J268" s="5">
        <f t="shared" si="95"/>
        <v>4.3439754419191054E-2</v>
      </c>
      <c r="K268" s="1"/>
      <c r="L268" s="1">
        <f t="shared" si="96"/>
        <v>-125296.45999999999</v>
      </c>
      <c r="M268" s="1"/>
      <c r="N268" s="5">
        <f t="shared" si="97"/>
        <v>-0.84171309375114833</v>
      </c>
      <c r="O268" s="13"/>
      <c r="P268" s="1">
        <f>SUM(OSRRefP22_18x_0)</f>
        <v>548003</v>
      </c>
      <c r="Q268" s="1"/>
      <c r="R268" s="5">
        <f t="shared" si="98"/>
        <v>1.9895800179974537E-2</v>
      </c>
      <c r="S268" s="1"/>
      <c r="T268" s="1">
        <f>SUM(OSRRefT22_18x_0)</f>
        <v>566148.15999999992</v>
      </c>
      <c r="U268" s="1"/>
      <c r="V268" s="5">
        <f t="shared" si="99"/>
        <v>1.75384343476102E-2</v>
      </c>
      <c r="W268" s="1"/>
      <c r="X268" s="1">
        <f t="shared" si="100"/>
        <v>-18145.159999999916</v>
      </c>
      <c r="Y268" s="1"/>
      <c r="Z268" s="5">
        <f t="shared" si="101"/>
        <v>-3.2050196895455629E-2</v>
      </c>
    </row>
    <row r="269" spans="1:26" s="24" customFormat="1" hidden="1" outlineLevel="2" x14ac:dyDescent="0.25">
      <c r="A269" s="27"/>
      <c r="B269" s="11" t="str">
        <f>CONCATENATE("          ", "6371", " - ", "COMPUTER SOFTWARE MAINTENANCE")</f>
        <v xml:space="preserve">          6371 - COMPUTER SOFTWARE MAINTENANCE</v>
      </c>
      <c r="C269" s="11"/>
      <c r="D269" s="6">
        <v>631.04999999999995</v>
      </c>
      <c r="E269" s="2"/>
      <c r="F269" s="7">
        <f t="shared" si="94"/>
        <v>1.2666400432397853E-3</v>
      </c>
      <c r="G269" s="2"/>
      <c r="H269" s="6">
        <v>601</v>
      </c>
      <c r="I269" s="2"/>
      <c r="J269" s="7">
        <f t="shared" si="95"/>
        <v>1.7538284689339525E-4</v>
      </c>
      <c r="K269" s="2"/>
      <c r="L269" s="6">
        <f t="shared" si="96"/>
        <v>30.049999999999955</v>
      </c>
      <c r="M269" s="2"/>
      <c r="N269" s="7">
        <f t="shared" si="97"/>
        <v>4.9999999999999926E-2</v>
      </c>
      <c r="O269" s="11"/>
      <c r="P269" s="6">
        <v>92162.36</v>
      </c>
      <c r="Q269" s="2"/>
      <c r="R269" s="7">
        <f t="shared" si="98"/>
        <v>3.346047190754208E-3</v>
      </c>
      <c r="S269" s="2"/>
      <c r="T269" s="6">
        <v>74458.040000000008</v>
      </c>
      <c r="U269" s="2"/>
      <c r="V269" s="7">
        <f t="shared" si="99"/>
        <v>2.3066001772252243E-3</v>
      </c>
      <c r="W269" s="2"/>
      <c r="X269" s="6">
        <f t="shared" si="100"/>
        <v>17704.319999999992</v>
      </c>
      <c r="Y269" s="2"/>
      <c r="Z269" s="7">
        <f t="shared" si="101"/>
        <v>0.23777579963157761</v>
      </c>
    </row>
    <row r="270" spans="1:26" s="24" customFormat="1" hidden="1" outlineLevel="2" x14ac:dyDescent="0.25">
      <c r="A270" s="27"/>
      <c r="B270" s="11" t="str">
        <f>CONCATENATE("          ", "6372", " - ", "COMPUTER HARDWARE MAINTENANCE")</f>
        <v xml:space="preserve">          6372 - COMPUTER HARDWARE MAINTENANCE</v>
      </c>
      <c r="C270" s="11"/>
      <c r="D270" s="6">
        <v>8142.88</v>
      </c>
      <c r="E270" s="2"/>
      <c r="F270" s="7">
        <f t="shared" si="94"/>
        <v>1.6344343356780578E-2</v>
      </c>
      <c r="G270" s="2"/>
      <c r="H270" s="6"/>
      <c r="I270" s="2"/>
      <c r="J270" s="7">
        <f t="shared" si="95"/>
        <v>0</v>
      </c>
      <c r="K270" s="2"/>
      <c r="L270" s="6">
        <f t="shared" si="96"/>
        <v>8142.88</v>
      </c>
      <c r="M270" s="2"/>
      <c r="N270" s="7">
        <f t="shared" si="97"/>
        <v>0</v>
      </c>
      <c r="O270" s="11"/>
      <c r="P270" s="6">
        <v>8195.19</v>
      </c>
      <c r="Q270" s="2"/>
      <c r="R270" s="7">
        <f t="shared" si="98"/>
        <v>2.9753461692166931E-4</v>
      </c>
      <c r="S270" s="2"/>
      <c r="T270" s="6">
        <v>932.75</v>
      </c>
      <c r="U270" s="2"/>
      <c r="V270" s="7">
        <f t="shared" si="99"/>
        <v>2.8895218237101429E-5</v>
      </c>
      <c r="W270" s="2"/>
      <c r="X270" s="6">
        <f t="shared" si="100"/>
        <v>7262.4400000000005</v>
      </c>
      <c r="Y270" s="2"/>
      <c r="Z270" s="7">
        <f t="shared" si="101"/>
        <v>7.786051996783705</v>
      </c>
    </row>
    <row r="271" spans="1:26" s="24" customFormat="1" hidden="1" outlineLevel="2" x14ac:dyDescent="0.25">
      <c r="A271" s="27"/>
      <c r="B271" s="11" t="str">
        <f>CONCATENATE("          ", "6373", " - ", "MAINTENANCE CONTRACTS")</f>
        <v xml:space="preserve">          6373 - MAINTENANCE CONTRACTS</v>
      </c>
      <c r="C271" s="11"/>
      <c r="D271" s="6">
        <v>12283.39</v>
      </c>
      <c r="E271" s="2"/>
      <c r="F271" s="7">
        <f t="shared" si="94"/>
        <v>2.4655151954252667E-2</v>
      </c>
      <c r="G271" s="2"/>
      <c r="H271" s="6">
        <v>131261.47</v>
      </c>
      <c r="I271" s="2"/>
      <c r="J271" s="7">
        <f t="shared" si="95"/>
        <v>3.8304509643946744E-2</v>
      </c>
      <c r="K271" s="2"/>
      <c r="L271" s="6">
        <f t="shared" si="96"/>
        <v>-118978.08</v>
      </c>
      <c r="M271" s="2"/>
      <c r="N271" s="7">
        <f t="shared" si="97"/>
        <v>-0.9064204446285723</v>
      </c>
      <c r="O271" s="11"/>
      <c r="P271" s="6">
        <v>280087.01</v>
      </c>
      <c r="Q271" s="2"/>
      <c r="R271" s="7">
        <f t="shared" si="98"/>
        <v>1.0168840652271119E-2</v>
      </c>
      <c r="S271" s="2"/>
      <c r="T271" s="6">
        <v>307769.69</v>
      </c>
      <c r="U271" s="2"/>
      <c r="V271" s="7">
        <f t="shared" si="99"/>
        <v>9.5342507202519997E-3</v>
      </c>
      <c r="W271" s="2"/>
      <c r="X271" s="6">
        <f t="shared" si="100"/>
        <v>-27682.679999999993</v>
      </c>
      <c r="Y271" s="2"/>
      <c r="Z271" s="7">
        <f t="shared" si="101"/>
        <v>-8.9946089233153503E-2</v>
      </c>
    </row>
    <row r="272" spans="1:26" s="24" customFormat="1" hidden="1" outlineLevel="2" x14ac:dyDescent="0.25">
      <c r="A272" s="27"/>
      <c r="B272" s="11" t="str">
        <f>CONCATENATE("          ", "6375", " - ", "OUTSIDE REPAIRS &amp; MAINTENANCE")</f>
        <v xml:space="preserve">          6375 - OUTSIDE REPAIRS &amp; MAINTENANCE</v>
      </c>
      <c r="C272" s="11"/>
      <c r="D272" s="6">
        <v>2505.09</v>
      </c>
      <c r="E272" s="2"/>
      <c r="F272" s="7">
        <f t="shared" si="94"/>
        <v>5.0282026874567051E-3</v>
      </c>
      <c r="G272" s="2"/>
      <c r="H272" s="6">
        <v>16996.400000000001</v>
      </c>
      <c r="I272" s="2"/>
      <c r="J272" s="7">
        <f t="shared" si="95"/>
        <v>4.9598619283509207E-3</v>
      </c>
      <c r="K272" s="2"/>
      <c r="L272" s="6">
        <f t="shared" si="96"/>
        <v>-14491.310000000001</v>
      </c>
      <c r="M272" s="2"/>
      <c r="N272" s="7">
        <f t="shared" si="97"/>
        <v>-0.85261055282295073</v>
      </c>
      <c r="O272" s="11"/>
      <c r="P272" s="6">
        <v>167558.44</v>
      </c>
      <c r="Q272" s="2"/>
      <c r="R272" s="7">
        <f t="shared" si="98"/>
        <v>6.083377720027542E-3</v>
      </c>
      <c r="S272" s="2"/>
      <c r="T272" s="6">
        <v>182987.68</v>
      </c>
      <c r="U272" s="2"/>
      <c r="V272" s="7">
        <f t="shared" si="99"/>
        <v>5.6686882318958782E-3</v>
      </c>
      <c r="W272" s="2"/>
      <c r="X272" s="6">
        <f t="shared" si="100"/>
        <v>-15429.239999999991</v>
      </c>
      <c r="Y272" s="2"/>
      <c r="Z272" s="7">
        <f t="shared" si="101"/>
        <v>-8.4318463406935329E-2</v>
      </c>
    </row>
    <row r="273" spans="1:26" s="25" customFormat="1" outlineLevel="1" collapsed="1" x14ac:dyDescent="0.25">
      <c r="A273" s="26"/>
      <c r="B273" s="13" t="str">
        <f>CONCATENATE("     ","Royalty &amp; Commissions                             ")</f>
        <v xml:space="preserve">     Royalty &amp; Commissions                             </v>
      </c>
      <c r="C273" s="13"/>
      <c r="D273" s="1">
        <f>SUM(OSRRefD22_19x_0)</f>
        <v>20337.45</v>
      </c>
      <c r="E273" s="1"/>
      <c r="F273" s="5">
        <f t="shared" ref="F273:F276" si="102">IF(D$12=0,0,D273/D$12)</f>
        <v>4.0821216302015642E-2</v>
      </c>
      <c r="G273" s="1"/>
      <c r="H273" s="1">
        <f>SUM(OSRRefH22_19x_0)</f>
        <v>85424.85</v>
      </c>
      <c r="I273" s="1"/>
      <c r="J273" s="5">
        <f t="shared" ref="J273:J276" si="103">IF(H$12=0,0,H273/H$12)</f>
        <v>2.4928541411715899E-2</v>
      </c>
      <c r="K273" s="1"/>
      <c r="L273" s="1">
        <f t="shared" ref="L273:L276" si="104">+D273-H273</f>
        <v>-65087.400000000009</v>
      </c>
      <c r="M273" s="1"/>
      <c r="N273" s="5">
        <f t="shared" ref="N273:N276" si="105">IF(H273=0,0,L273/H273)</f>
        <v>-0.76192583305677453</v>
      </c>
      <c r="O273" s="13"/>
      <c r="P273" s="1">
        <f>SUM(OSRRefP22_19x_0)</f>
        <v>381769.01</v>
      </c>
      <c r="Q273" s="1"/>
      <c r="R273" s="5">
        <f t="shared" ref="R273:R276" si="106">IF(P$12=0,0,P273/P$12)</f>
        <v>1.3860507949530754E-2</v>
      </c>
      <c r="S273" s="1"/>
      <c r="T273" s="1">
        <f>SUM(OSRRefT22_19x_0)</f>
        <v>505822.12</v>
      </c>
      <c r="U273" s="1"/>
      <c r="V273" s="5">
        <f t="shared" ref="V273:V276" si="107">IF(T$12=0,0,T273/T$12)</f>
        <v>1.5669622671190896E-2</v>
      </c>
      <c r="W273" s="1"/>
      <c r="X273" s="1">
        <f t="shared" ref="X273:X276" si="108">+P273-T273</f>
        <v>-124053.10999999999</v>
      </c>
      <c r="Y273" s="1"/>
      <c r="Z273" s="5">
        <f t="shared" ref="Z273:Z276" si="109">IF(T273=0,0,X273/T273)</f>
        <v>-0.24525046472858875</v>
      </c>
    </row>
    <row r="274" spans="1:26" s="24" customFormat="1" hidden="1" outlineLevel="2" x14ac:dyDescent="0.25">
      <c r="A274" s="27"/>
      <c r="B274" s="11" t="str">
        <f>CONCATENATE("          ", "6253", " - ", "ROYALTY DUE ATHLETICS-LRG")</f>
        <v xml:space="preserve">          6253 - ROYALTY DUE ATHLETICS-LRG</v>
      </c>
      <c r="C274" s="11"/>
      <c r="D274" s="6">
        <v>14555.51</v>
      </c>
      <c r="E274" s="2"/>
      <c r="F274" s="7">
        <f t="shared" si="102"/>
        <v>2.921573855602112E-2</v>
      </c>
      <c r="G274" s="2"/>
      <c r="H274" s="6">
        <v>6150.32</v>
      </c>
      <c r="I274" s="2"/>
      <c r="J274" s="7">
        <f t="shared" si="103"/>
        <v>1.7947764241354185E-3</v>
      </c>
      <c r="K274" s="2"/>
      <c r="L274" s="6">
        <f t="shared" si="104"/>
        <v>8405.19</v>
      </c>
      <c r="M274" s="2"/>
      <c r="N274" s="7">
        <f t="shared" si="105"/>
        <v>1.3666264519569715</v>
      </c>
      <c r="O274" s="11"/>
      <c r="P274" s="6">
        <v>32870.44</v>
      </c>
      <c r="Q274" s="2"/>
      <c r="R274" s="7">
        <f t="shared" si="106"/>
        <v>1.1933943903004952E-3</v>
      </c>
      <c r="S274" s="2"/>
      <c r="T274" s="6">
        <v>41365.990000000005</v>
      </c>
      <c r="U274" s="2"/>
      <c r="V274" s="7">
        <f t="shared" si="107"/>
        <v>1.2814573129388963E-3</v>
      </c>
      <c r="W274" s="2"/>
      <c r="X274" s="6">
        <f t="shared" si="108"/>
        <v>-8495.5500000000029</v>
      </c>
      <c r="Y274" s="2"/>
      <c r="Z274" s="7">
        <f t="shared" si="109"/>
        <v>-0.20537523700025073</v>
      </c>
    </row>
    <row r="275" spans="1:26" s="24" customFormat="1" hidden="1" outlineLevel="2" x14ac:dyDescent="0.25">
      <c r="A275" s="27"/>
      <c r="B275" s="11" t="str">
        <f>CONCATENATE("          ", "6254", " - ", "ROYALTY &amp; COMMISSIONS")</f>
        <v xml:space="preserve">          6254 - ROYALTY &amp; COMMISSIONS</v>
      </c>
      <c r="C275" s="11"/>
      <c r="D275" s="6"/>
      <c r="E275" s="2"/>
      <c r="F275" s="7">
        <f t="shared" si="102"/>
        <v>0</v>
      </c>
      <c r="G275" s="2"/>
      <c r="H275" s="6">
        <v>38057.449999999997</v>
      </c>
      <c r="I275" s="2"/>
      <c r="J275" s="7">
        <f t="shared" si="103"/>
        <v>1.1105863438441005E-2</v>
      </c>
      <c r="K275" s="2"/>
      <c r="L275" s="6">
        <f t="shared" si="104"/>
        <v>-38057.449999999997</v>
      </c>
      <c r="M275" s="2"/>
      <c r="N275" s="7">
        <f t="shared" si="105"/>
        <v>-1</v>
      </c>
      <c r="O275" s="11"/>
      <c r="P275" s="6">
        <v>161620.87</v>
      </c>
      <c r="Q275" s="2"/>
      <c r="R275" s="7">
        <f t="shared" si="106"/>
        <v>5.8678082682643001E-3</v>
      </c>
      <c r="S275" s="2"/>
      <c r="T275" s="6">
        <v>230016.58000000002</v>
      </c>
      <c r="U275" s="2"/>
      <c r="V275" s="7">
        <f t="shared" si="107"/>
        <v>7.1255741380345222E-3</v>
      </c>
      <c r="W275" s="2"/>
      <c r="X275" s="6">
        <f t="shared" si="108"/>
        <v>-68395.710000000021</v>
      </c>
      <c r="Y275" s="2"/>
      <c r="Z275" s="7">
        <f t="shared" si="109"/>
        <v>-0.29735121702965939</v>
      </c>
    </row>
    <row r="276" spans="1:26" s="24" customFormat="1" hidden="1" outlineLevel="2" x14ac:dyDescent="0.25">
      <c r="A276" s="27"/>
      <c r="B276" s="11" t="str">
        <f>CONCATENATE("          ", "6259", " - ", "ROYALTY &amp; COMMISSIONS")</f>
        <v xml:space="preserve">          6259 - ROYALTY &amp; COMMISSIONS</v>
      </c>
      <c r="C276" s="11"/>
      <c r="D276" s="6">
        <v>5781.94</v>
      </c>
      <c r="E276" s="2"/>
      <c r="F276" s="7">
        <f t="shared" si="102"/>
        <v>1.1605477745994523E-2</v>
      </c>
      <c r="G276" s="2"/>
      <c r="H276" s="6">
        <v>41217.08</v>
      </c>
      <c r="I276" s="2"/>
      <c r="J276" s="7">
        <f t="shared" si="103"/>
        <v>1.2027901549139474E-2</v>
      </c>
      <c r="K276" s="2"/>
      <c r="L276" s="6">
        <f t="shared" si="104"/>
        <v>-35435.14</v>
      </c>
      <c r="M276" s="2"/>
      <c r="N276" s="7">
        <f t="shared" si="105"/>
        <v>-0.85971980547869953</v>
      </c>
      <c r="O276" s="11"/>
      <c r="P276" s="6">
        <v>187277.7</v>
      </c>
      <c r="Q276" s="2"/>
      <c r="R276" s="7">
        <f t="shared" si="106"/>
        <v>6.7993052909659582E-3</v>
      </c>
      <c r="S276" s="2"/>
      <c r="T276" s="6">
        <v>234439.55000000002</v>
      </c>
      <c r="U276" s="2"/>
      <c r="V276" s="7">
        <f t="shared" si="107"/>
        <v>7.2625912202174785E-3</v>
      </c>
      <c r="W276" s="2"/>
      <c r="X276" s="6">
        <f t="shared" si="108"/>
        <v>-47161.850000000006</v>
      </c>
      <c r="Y276" s="2"/>
      <c r="Z276" s="7">
        <f t="shared" si="109"/>
        <v>-0.20116848884925773</v>
      </c>
    </row>
    <row r="277" spans="1:26" s="25" customFormat="1" outlineLevel="1" collapsed="1" x14ac:dyDescent="0.25">
      <c r="A277" s="26"/>
      <c r="B277" s="13" t="str">
        <f>CONCATENATE("     ","Services                                          ")</f>
        <v xml:space="preserve">     Services                                          </v>
      </c>
      <c r="C277" s="13"/>
      <c r="D277" s="1">
        <f>SUM(OSRRefD22_20x_0)</f>
        <v>15547.960000000001</v>
      </c>
      <c r="E277" s="1"/>
      <c r="F277" s="5">
        <f t="shared" ref="F277:F282" si="110">IF(D$12=0,0,D277/D$12)</f>
        <v>3.1207778665225346E-2</v>
      </c>
      <c r="G277" s="1"/>
      <c r="H277" s="1">
        <f>SUM(OSRRefH22_20x_0)</f>
        <v>47224.93</v>
      </c>
      <c r="I277" s="1"/>
      <c r="J277" s="5">
        <f t="shared" ref="J277:J282" si="111">IF(H$12=0,0,H277/H$12)</f>
        <v>1.3781102608554589E-2</v>
      </c>
      <c r="K277" s="1"/>
      <c r="L277" s="1">
        <f t="shared" ref="L277:L282" si="112">+D277-H277</f>
        <v>-31676.97</v>
      </c>
      <c r="M277" s="1"/>
      <c r="N277" s="5">
        <f t="shared" ref="N277:N282" si="113">IF(H277=0,0,L277/H277)</f>
        <v>-0.6707679609053947</v>
      </c>
      <c r="O277" s="13"/>
      <c r="P277" s="1">
        <f>SUM(OSRRefP22_20x_0)</f>
        <v>451087.23</v>
      </c>
      <c r="Q277" s="1"/>
      <c r="R277" s="5">
        <f t="shared" ref="R277:R282" si="114">IF(P$12=0,0,P277/P$12)</f>
        <v>1.6377175657465774E-2</v>
      </c>
      <c r="S277" s="1"/>
      <c r="T277" s="1">
        <f>SUM(OSRRefT22_20x_0)</f>
        <v>448906.32999999996</v>
      </c>
      <c r="U277" s="1"/>
      <c r="V277" s="5">
        <f t="shared" ref="V277:V282" si="115">IF(T$12=0,0,T277/T$12)</f>
        <v>1.3906455506155208E-2</v>
      </c>
      <c r="W277" s="1"/>
      <c r="X277" s="1">
        <f t="shared" ref="X277:X282" si="116">+P277-T277</f>
        <v>2180.9000000000233</v>
      </c>
      <c r="Y277" s="1"/>
      <c r="Z277" s="5">
        <f t="shared" ref="Z277:Z282" si="117">IF(T277=0,0,X277/T277)</f>
        <v>4.8582518317351938E-3</v>
      </c>
    </row>
    <row r="278" spans="1:26" s="24" customFormat="1" hidden="1" outlineLevel="2" x14ac:dyDescent="0.25">
      <c r="A278" s="27"/>
      <c r="B278" s="11" t="str">
        <f>CONCATENATE("          ", "6282", " - ", "JANITORIAL/EXTERMINATOR EXPENS")</f>
        <v xml:space="preserve">          6282 - JANITORIAL/EXTERMINATOR EXPENS</v>
      </c>
      <c r="C278" s="11"/>
      <c r="D278" s="6">
        <v>1931.57</v>
      </c>
      <c r="E278" s="2"/>
      <c r="F278" s="7">
        <f t="shared" si="110"/>
        <v>3.8770365396096538E-3</v>
      </c>
      <c r="G278" s="2"/>
      <c r="H278" s="6">
        <v>3678.46</v>
      </c>
      <c r="I278" s="2"/>
      <c r="J278" s="7">
        <f t="shared" si="111"/>
        <v>1.0734422412370694E-3</v>
      </c>
      <c r="K278" s="2"/>
      <c r="L278" s="6">
        <f t="shared" si="112"/>
        <v>-1746.89</v>
      </c>
      <c r="M278" s="2"/>
      <c r="N278" s="7">
        <f t="shared" si="113"/>
        <v>-0.47489710367925708</v>
      </c>
      <c r="O278" s="11"/>
      <c r="P278" s="6">
        <v>38272.15</v>
      </c>
      <c r="Q278" s="2"/>
      <c r="R278" s="7">
        <f t="shared" si="114"/>
        <v>1.3895089057140426E-3</v>
      </c>
      <c r="S278" s="2"/>
      <c r="T278" s="6">
        <v>33285.129999999997</v>
      </c>
      <c r="U278" s="2"/>
      <c r="V278" s="7">
        <f t="shared" si="115"/>
        <v>1.0311241976953007E-3</v>
      </c>
      <c r="W278" s="2"/>
      <c r="X278" s="6">
        <f t="shared" si="116"/>
        <v>4987.0200000000041</v>
      </c>
      <c r="Y278" s="2"/>
      <c r="Z278" s="7">
        <f t="shared" si="117"/>
        <v>0.14982726520821774</v>
      </c>
    </row>
    <row r="279" spans="1:26" s="24" customFormat="1" hidden="1" outlineLevel="2" x14ac:dyDescent="0.25">
      <c r="A279" s="27"/>
      <c r="B279" s="11" t="str">
        <f>CONCATENATE("          ", "6283", " - ", "PLANT SERVICE")</f>
        <v xml:space="preserve">          6283 - PLANT SERVICE</v>
      </c>
      <c r="C279" s="11"/>
      <c r="D279" s="6">
        <v>399.56</v>
      </c>
      <c r="E279" s="2"/>
      <c r="F279" s="7">
        <f t="shared" si="110"/>
        <v>8.0199460530368217E-4</v>
      </c>
      <c r="G279" s="2"/>
      <c r="H279" s="6">
        <v>349</v>
      </c>
      <c r="I279" s="2"/>
      <c r="J279" s="7">
        <f t="shared" si="111"/>
        <v>1.0184461491812802E-4</v>
      </c>
      <c r="K279" s="2"/>
      <c r="L279" s="6">
        <f t="shared" si="112"/>
        <v>50.56</v>
      </c>
      <c r="M279" s="2"/>
      <c r="N279" s="7">
        <f t="shared" si="113"/>
        <v>0.14487106017191978</v>
      </c>
      <c r="O279" s="11"/>
      <c r="P279" s="6">
        <v>2340</v>
      </c>
      <c r="Q279" s="2"/>
      <c r="R279" s="7">
        <f t="shared" si="114"/>
        <v>8.4956053928793131E-5</v>
      </c>
      <c r="S279" s="2"/>
      <c r="T279" s="6">
        <v>3612.5</v>
      </c>
      <c r="U279" s="2"/>
      <c r="V279" s="7">
        <f t="shared" si="115"/>
        <v>1.1190991785744188E-4</v>
      </c>
      <c r="W279" s="2"/>
      <c r="X279" s="6">
        <f t="shared" si="116"/>
        <v>-1272.5</v>
      </c>
      <c r="Y279" s="2"/>
      <c r="Z279" s="7">
        <f t="shared" si="117"/>
        <v>-0.3522491349480969</v>
      </c>
    </row>
    <row r="280" spans="1:26" s="24" customFormat="1" hidden="1" outlineLevel="2" x14ac:dyDescent="0.25">
      <c r="A280" s="27"/>
      <c r="B280" s="11" t="str">
        <f>CONCATENATE("          ", "6284", " - ", "TRASH REMOVAL EXPENSE")</f>
        <v xml:space="preserve">          6284 - TRASH REMOVAL EXPENSE</v>
      </c>
      <c r="C280" s="11"/>
      <c r="D280" s="6">
        <v>5551.82</v>
      </c>
      <c r="E280" s="2"/>
      <c r="F280" s="7">
        <f t="shared" si="110"/>
        <v>1.1143582164423587E-2</v>
      </c>
      <c r="G280" s="2"/>
      <c r="H280" s="6">
        <v>3934.46</v>
      </c>
      <c r="I280" s="2"/>
      <c r="J280" s="7">
        <f t="shared" si="111"/>
        <v>1.1481477467357535E-3</v>
      </c>
      <c r="K280" s="2"/>
      <c r="L280" s="6">
        <f t="shared" si="112"/>
        <v>1617.3599999999997</v>
      </c>
      <c r="M280" s="2"/>
      <c r="N280" s="7">
        <f t="shared" si="113"/>
        <v>0.41107547160220198</v>
      </c>
      <c r="O280" s="11"/>
      <c r="P280" s="6">
        <v>47648.2</v>
      </c>
      <c r="Q280" s="2"/>
      <c r="R280" s="7">
        <f t="shared" si="114"/>
        <v>1.7299158328247524E-3</v>
      </c>
      <c r="S280" s="2"/>
      <c r="T280" s="6">
        <v>54934.6</v>
      </c>
      <c r="U280" s="2"/>
      <c r="V280" s="7">
        <f t="shared" si="115"/>
        <v>1.7017928231228862E-3</v>
      </c>
      <c r="W280" s="2"/>
      <c r="X280" s="6">
        <f t="shared" si="116"/>
        <v>-7286.4000000000015</v>
      </c>
      <c r="Y280" s="2"/>
      <c r="Z280" s="7">
        <f t="shared" si="117"/>
        <v>-0.13263771830503912</v>
      </c>
    </row>
    <row r="281" spans="1:26" s="24" customFormat="1" hidden="1" outlineLevel="2" x14ac:dyDescent="0.25">
      <c r="A281" s="27"/>
      <c r="B281" s="11" t="str">
        <f>CONCATENATE("          ", "6285", " - ", "JANITORIAL SERVICES")</f>
        <v xml:space="preserve">          6285 - JANITORIAL SERVICES</v>
      </c>
      <c r="C281" s="11"/>
      <c r="D281" s="6">
        <v>6756.23</v>
      </c>
      <c r="E281" s="2"/>
      <c r="F281" s="7">
        <f t="shared" si="110"/>
        <v>1.3561067204402082E-2</v>
      </c>
      <c r="G281" s="2"/>
      <c r="H281" s="6">
        <v>29092.43</v>
      </c>
      <c r="I281" s="2"/>
      <c r="J281" s="7">
        <f t="shared" si="111"/>
        <v>8.4897058177151718E-3</v>
      </c>
      <c r="K281" s="2"/>
      <c r="L281" s="6">
        <f t="shared" si="112"/>
        <v>-22336.2</v>
      </c>
      <c r="M281" s="2"/>
      <c r="N281" s="7">
        <f t="shared" si="113"/>
        <v>-0.76776673519537564</v>
      </c>
      <c r="O281" s="11"/>
      <c r="P281" s="6">
        <v>288220.64</v>
      </c>
      <c r="Q281" s="2"/>
      <c r="R281" s="7">
        <f t="shared" si="114"/>
        <v>1.0464140271466355E-2</v>
      </c>
      <c r="S281" s="2"/>
      <c r="T281" s="6">
        <v>275679.21999999997</v>
      </c>
      <c r="U281" s="2"/>
      <c r="V281" s="7">
        <f t="shared" si="115"/>
        <v>8.5401353260079298E-3</v>
      </c>
      <c r="W281" s="2"/>
      <c r="X281" s="6">
        <f t="shared" si="116"/>
        <v>12541.420000000042</v>
      </c>
      <c r="Y281" s="2"/>
      <c r="Z281" s="7">
        <f t="shared" si="117"/>
        <v>4.5492801379806727E-2</v>
      </c>
    </row>
    <row r="282" spans="1:26" s="24" customFormat="1" hidden="1" outlineLevel="2" x14ac:dyDescent="0.25">
      <c r="A282" s="27"/>
      <c r="B282" s="11" t="str">
        <f>CONCATENATE("          ", "6286", " - ", "LAUNDRY EXPENSE")</f>
        <v xml:space="preserve">          6286 - LAUNDRY EXPENSE</v>
      </c>
      <c r="C282" s="11"/>
      <c r="D282" s="6">
        <v>908.78</v>
      </c>
      <c r="E282" s="2"/>
      <c r="F282" s="7">
        <f t="shared" si="110"/>
        <v>1.8240981514863355E-3</v>
      </c>
      <c r="G282" s="2"/>
      <c r="H282" s="6">
        <v>10170.58</v>
      </c>
      <c r="I282" s="2"/>
      <c r="J282" s="7">
        <f t="shared" si="111"/>
        <v>2.9679621879484656E-3</v>
      </c>
      <c r="K282" s="2"/>
      <c r="L282" s="6">
        <f t="shared" si="112"/>
        <v>-9261.7999999999993</v>
      </c>
      <c r="M282" s="2"/>
      <c r="N282" s="7">
        <f t="shared" si="113"/>
        <v>-0.91064619716869633</v>
      </c>
      <c r="O282" s="11"/>
      <c r="P282" s="6">
        <v>74606.240000000005</v>
      </c>
      <c r="Q282" s="2"/>
      <c r="R282" s="7">
        <f t="shared" si="114"/>
        <v>2.7086545935318305E-3</v>
      </c>
      <c r="S282" s="2"/>
      <c r="T282" s="6">
        <v>81394.880000000005</v>
      </c>
      <c r="U282" s="2"/>
      <c r="V282" s="7">
        <f t="shared" si="115"/>
        <v>2.5214932414716509E-3</v>
      </c>
      <c r="W282" s="2"/>
      <c r="X282" s="6">
        <f t="shared" si="116"/>
        <v>-6788.6399999999994</v>
      </c>
      <c r="Y282" s="2"/>
      <c r="Z282" s="7">
        <f t="shared" si="117"/>
        <v>-8.3403771834297188E-2</v>
      </c>
    </row>
    <row r="283" spans="1:26" s="25" customFormat="1" outlineLevel="1" collapsed="1" x14ac:dyDescent="0.25">
      <c r="A283" s="26"/>
      <c r="B283" s="13" t="str">
        <f>CONCATENATE("     ","Subscriptions &amp; Dues                              ")</f>
        <v xml:space="preserve">     Subscriptions &amp; Dues                              </v>
      </c>
      <c r="C283" s="13"/>
      <c r="D283" s="1">
        <f>SUM(OSRRefD22_21x_0)</f>
        <v>2181.33</v>
      </c>
      <c r="E283" s="1"/>
      <c r="F283" s="5">
        <f t="shared" ref="F283:F285" si="118">IF(D$12=0,0,D283/D$12)</f>
        <v>4.3783534197294046E-3</v>
      </c>
      <c r="G283" s="1"/>
      <c r="H283" s="1">
        <f>SUM(OSRRefH22_21x_0)</f>
        <v>-4197.4400000000005</v>
      </c>
      <c r="I283" s="1"/>
      <c r="J283" s="5">
        <f t="shared" ref="J283:J285" si="119">IF(H$12=0,0,H283/H$12)</f>
        <v>-1.2248901445328004E-3</v>
      </c>
      <c r="K283" s="1"/>
      <c r="L283" s="1">
        <f t="shared" ref="L283:L285" si="120">+D283-H283</f>
        <v>6378.77</v>
      </c>
      <c r="M283" s="1"/>
      <c r="N283" s="5">
        <f t="shared" ref="N283:N285" si="121">IF(H283=0,0,L283/H283)</f>
        <v>-1.5196810436837691</v>
      </c>
      <c r="O283" s="13"/>
      <c r="P283" s="1">
        <f>SUM(OSRRefP22_21x_0)</f>
        <v>11749.099999999999</v>
      </c>
      <c r="Q283" s="1"/>
      <c r="R283" s="5">
        <f t="shared" ref="R283:R285" si="122">IF(P$12=0,0,P283/P$12)</f>
        <v>4.2656289453623216E-4</v>
      </c>
      <c r="S283" s="1"/>
      <c r="T283" s="1">
        <f>SUM(OSRRefT22_21x_0)</f>
        <v>18144.82</v>
      </c>
      <c r="U283" s="1"/>
      <c r="V283" s="5">
        <f t="shared" ref="V283:V285" si="123">IF(T$12=0,0,T283/T$12)</f>
        <v>5.6209974138078016E-4</v>
      </c>
      <c r="W283" s="1"/>
      <c r="X283" s="1">
        <f t="shared" ref="X283:X285" si="124">+P283-T283</f>
        <v>-6395.7200000000012</v>
      </c>
      <c r="Y283" s="1"/>
      <c r="Z283" s="5">
        <f t="shared" ref="Z283:Z285" si="125">IF(T283=0,0,X283/T283)</f>
        <v>-0.3524818653477963</v>
      </c>
    </row>
    <row r="284" spans="1:26" s="24" customFormat="1" hidden="1" outlineLevel="2" x14ac:dyDescent="0.25">
      <c r="A284" s="27"/>
      <c r="B284" s="11" t="str">
        <f>CONCATENATE("          ", "6258", " - ", "MEMBERSHIP DUES")</f>
        <v xml:space="preserve">          6258 - MEMBERSHIP DUES</v>
      </c>
      <c r="C284" s="11"/>
      <c r="D284" s="6">
        <v>250</v>
      </c>
      <c r="E284" s="2"/>
      <c r="F284" s="7">
        <f t="shared" si="118"/>
        <v>5.0179860678226183E-4</v>
      </c>
      <c r="G284" s="2"/>
      <c r="H284" s="6">
        <v>-5059.22</v>
      </c>
      <c r="I284" s="2"/>
      <c r="J284" s="7">
        <f t="shared" si="119"/>
        <v>-1.4763733887853629E-3</v>
      </c>
      <c r="K284" s="2"/>
      <c r="L284" s="6">
        <f t="shared" si="120"/>
        <v>5309.22</v>
      </c>
      <c r="M284" s="2"/>
      <c r="N284" s="7">
        <f t="shared" si="121"/>
        <v>-1.0494147319151965</v>
      </c>
      <c r="O284" s="11"/>
      <c r="P284" s="6">
        <v>3974.91</v>
      </c>
      <c r="Q284" s="2"/>
      <c r="R284" s="7">
        <f t="shared" si="122"/>
        <v>1.4431310612055516E-4</v>
      </c>
      <c r="S284" s="2"/>
      <c r="T284" s="6">
        <v>3287.84</v>
      </c>
      <c r="U284" s="2"/>
      <c r="V284" s="7">
        <f t="shared" si="123"/>
        <v>1.018524302639202E-4</v>
      </c>
      <c r="W284" s="2"/>
      <c r="X284" s="6">
        <f t="shared" si="124"/>
        <v>687.06999999999971</v>
      </c>
      <c r="Y284" s="2"/>
      <c r="Z284" s="7">
        <f t="shared" si="125"/>
        <v>0.20897306438269492</v>
      </c>
    </row>
    <row r="285" spans="1:26" s="24" customFormat="1" hidden="1" outlineLevel="2" x14ac:dyDescent="0.25">
      <c r="A285" s="27"/>
      <c r="B285" s="11" t="str">
        <f>CONCATENATE("          ", "6275", " - ", "SUBSCRIPTIONS")</f>
        <v xml:space="preserve">          6275 - SUBSCRIPTIONS</v>
      </c>
      <c r="C285" s="11"/>
      <c r="D285" s="6">
        <v>1931.33</v>
      </c>
      <c r="E285" s="2"/>
      <c r="F285" s="7">
        <f t="shared" si="118"/>
        <v>3.8765548129471427E-3</v>
      </c>
      <c r="G285" s="2"/>
      <c r="H285" s="6">
        <v>861.78</v>
      </c>
      <c r="I285" s="2"/>
      <c r="J285" s="7">
        <f t="shared" si="119"/>
        <v>2.5148324425256267E-4</v>
      </c>
      <c r="K285" s="2"/>
      <c r="L285" s="6">
        <f t="shared" si="120"/>
        <v>1069.55</v>
      </c>
      <c r="M285" s="2"/>
      <c r="N285" s="7">
        <f t="shared" si="121"/>
        <v>1.2410940147137319</v>
      </c>
      <c r="O285" s="11"/>
      <c r="P285" s="6">
        <v>7774.19</v>
      </c>
      <c r="Q285" s="2"/>
      <c r="R285" s="7">
        <f t="shared" si="122"/>
        <v>2.8224978841567702E-4</v>
      </c>
      <c r="S285" s="2"/>
      <c r="T285" s="6">
        <v>14856.98</v>
      </c>
      <c r="U285" s="2"/>
      <c r="V285" s="7">
        <f t="shared" si="123"/>
        <v>4.6024731111685998E-4</v>
      </c>
      <c r="W285" s="2"/>
      <c r="X285" s="6">
        <f t="shared" si="124"/>
        <v>-7082.79</v>
      </c>
      <c r="Y285" s="2"/>
      <c r="Z285" s="7">
        <f t="shared" si="125"/>
        <v>-0.47673147571040686</v>
      </c>
    </row>
    <row r="286" spans="1:26" s="25" customFormat="1" outlineLevel="1" collapsed="1" x14ac:dyDescent="0.25">
      <c r="A286" s="26"/>
      <c r="B286" s="13" t="str">
        <f>CONCATENATE("     ","Supplies                                          ")</f>
        <v xml:space="preserve">     Supplies                                          </v>
      </c>
      <c r="C286" s="13"/>
      <c r="D286" s="1">
        <f>SUM(OSRRefD22_22x_0)</f>
        <v>10399.669999999998</v>
      </c>
      <c r="E286" s="1"/>
      <c r="F286" s="5">
        <f t="shared" ref="F286:F295" si="126">IF(D$12=0,0,D286/D$12)</f>
        <v>2.0874159667981135E-2</v>
      </c>
      <c r="G286" s="1"/>
      <c r="H286" s="1">
        <f>SUM(OSRRefH22_22x_0)</f>
        <v>55055.189999999995</v>
      </c>
      <c r="I286" s="1"/>
      <c r="J286" s="5">
        <f t="shared" ref="J286:J295" si="127">IF(H$12=0,0,H286/H$12)</f>
        <v>1.606611640342227E-2</v>
      </c>
      <c r="K286" s="1"/>
      <c r="L286" s="1">
        <f t="shared" ref="L286:L295" si="128">+D286-H286</f>
        <v>-44655.519999999997</v>
      </c>
      <c r="M286" s="1"/>
      <c r="N286" s="5">
        <f t="shared" ref="N286:N295" si="129">IF(H286=0,0,L286/H286)</f>
        <v>-0.81110463881788442</v>
      </c>
      <c r="O286" s="13"/>
      <c r="P286" s="1">
        <f>SUM(OSRRefP22_22x_0)</f>
        <v>522949.57</v>
      </c>
      <c r="Q286" s="1"/>
      <c r="R286" s="5">
        <f t="shared" ref="R286:R295" si="130">IF(P$12=0,0,P286/P$12)</f>
        <v>1.8986210201264606E-2</v>
      </c>
      <c r="S286" s="1"/>
      <c r="T286" s="1">
        <f>SUM(OSRRefT22_22x_0)</f>
        <v>656562.03000000014</v>
      </c>
      <c r="U286" s="1"/>
      <c r="V286" s="5">
        <f t="shared" ref="V286:V295" si="131">IF(T$12=0,0,T286/T$12)</f>
        <v>2.0339322587021539E-2</v>
      </c>
      <c r="W286" s="1"/>
      <c r="X286" s="1">
        <f t="shared" ref="X286:X295" si="132">+P286-T286</f>
        <v>-133612.46000000014</v>
      </c>
      <c r="Y286" s="1"/>
      <c r="Z286" s="5">
        <f t="shared" ref="Z286:Z295" si="133">IF(T286=0,0,X286/T286)</f>
        <v>-0.20350317851917221</v>
      </c>
    </row>
    <row r="287" spans="1:26" s="24" customFormat="1" hidden="1" outlineLevel="2" x14ac:dyDescent="0.25">
      <c r="A287" s="27"/>
      <c r="B287" s="11" t="str">
        <f>CONCATENATE("          ", "6234", " - ", "EXPENDABLE SUPPLIES &amp; EQUIPMEN")</f>
        <v xml:space="preserve">          6234 - EXPENDABLE SUPPLIES &amp; EQUIPMEN</v>
      </c>
      <c r="C287" s="11"/>
      <c r="D287" s="6">
        <v>282.17</v>
      </c>
      <c r="E287" s="2"/>
      <c r="F287" s="7">
        <f t="shared" si="126"/>
        <v>5.6637005150300332E-4</v>
      </c>
      <c r="G287" s="2"/>
      <c r="H287" s="6">
        <v>419.6</v>
      </c>
      <c r="I287" s="2"/>
      <c r="J287" s="7">
        <f t="shared" si="127"/>
        <v>1.2244699260643703E-4</v>
      </c>
      <c r="K287" s="2"/>
      <c r="L287" s="6">
        <f t="shared" si="128"/>
        <v>-137.43</v>
      </c>
      <c r="M287" s="2"/>
      <c r="N287" s="7">
        <f t="shared" si="129"/>
        <v>-0.32752621544327931</v>
      </c>
      <c r="O287" s="11"/>
      <c r="P287" s="6">
        <v>19752.36</v>
      </c>
      <c r="Q287" s="2"/>
      <c r="R287" s="7">
        <f t="shared" si="130"/>
        <v>7.1712929973544279E-4</v>
      </c>
      <c r="S287" s="2"/>
      <c r="T287" s="6">
        <v>12388.63</v>
      </c>
      <c r="U287" s="2"/>
      <c r="V287" s="7">
        <f t="shared" si="131"/>
        <v>3.8378147146470314E-4</v>
      </c>
      <c r="W287" s="2"/>
      <c r="X287" s="6">
        <f t="shared" si="132"/>
        <v>7363.7300000000014</v>
      </c>
      <c r="Y287" s="2"/>
      <c r="Z287" s="7">
        <f t="shared" si="133"/>
        <v>0.59439421469524889</v>
      </c>
    </row>
    <row r="288" spans="1:26" s="24" customFormat="1" hidden="1" outlineLevel="2" x14ac:dyDescent="0.25">
      <c r="A288" s="27"/>
      <c r="B288" s="11" t="str">
        <f>CONCATENATE("          ", "6237", " - ", "JANITORIAL SUPPLIES")</f>
        <v xml:space="preserve">          6237 - JANITORIAL SUPPLIES</v>
      </c>
      <c r="C288" s="11"/>
      <c r="D288" s="6">
        <v>1954.97</v>
      </c>
      <c r="E288" s="2"/>
      <c r="F288" s="7">
        <f t="shared" si="126"/>
        <v>3.924004889204474E-3</v>
      </c>
      <c r="G288" s="2"/>
      <c r="H288" s="6">
        <v>15223.66</v>
      </c>
      <c r="I288" s="2"/>
      <c r="J288" s="7">
        <f t="shared" si="127"/>
        <v>4.4425438118753831E-3</v>
      </c>
      <c r="K288" s="2"/>
      <c r="L288" s="6">
        <f t="shared" si="128"/>
        <v>-13268.69</v>
      </c>
      <c r="M288" s="2"/>
      <c r="N288" s="7">
        <f t="shared" si="129"/>
        <v>-0.87158344314048009</v>
      </c>
      <c r="O288" s="11"/>
      <c r="P288" s="6">
        <v>131288.93</v>
      </c>
      <c r="Q288" s="2"/>
      <c r="R288" s="7">
        <f t="shared" si="130"/>
        <v>4.7665766740741643E-3</v>
      </c>
      <c r="S288" s="2"/>
      <c r="T288" s="6">
        <v>156418.89000000001</v>
      </c>
      <c r="U288" s="2"/>
      <c r="V288" s="7">
        <f t="shared" si="131"/>
        <v>4.8456263339106539E-3</v>
      </c>
      <c r="W288" s="2"/>
      <c r="X288" s="6">
        <f t="shared" si="132"/>
        <v>-25129.960000000021</v>
      </c>
      <c r="Y288" s="2"/>
      <c r="Z288" s="7">
        <f t="shared" si="133"/>
        <v>-0.16065808931389308</v>
      </c>
    </row>
    <row r="289" spans="1:26" s="24" customFormat="1" hidden="1" outlineLevel="2" x14ac:dyDescent="0.25">
      <c r="A289" s="27"/>
      <c r="B289" s="11" t="str">
        <f>CONCATENATE("          ", "6239", " - ", "KITCHEN SUPPLIES")</f>
        <v xml:space="preserve">          6239 - KITCHEN SUPPLIES</v>
      </c>
      <c r="C289" s="11"/>
      <c r="D289" s="6">
        <v>390.29</v>
      </c>
      <c r="E289" s="2"/>
      <c r="F289" s="7">
        <f t="shared" si="126"/>
        <v>7.8338791296419597E-4</v>
      </c>
      <c r="G289" s="2"/>
      <c r="H289" s="6">
        <v>8761.84</v>
      </c>
      <c r="I289" s="2"/>
      <c r="J289" s="7">
        <f t="shared" si="127"/>
        <v>2.5568659621038707E-3</v>
      </c>
      <c r="K289" s="2"/>
      <c r="L289" s="6">
        <f t="shared" si="128"/>
        <v>-8371.5499999999993</v>
      </c>
      <c r="M289" s="2"/>
      <c r="N289" s="7">
        <f t="shared" si="129"/>
        <v>-0.95545570336824215</v>
      </c>
      <c r="O289" s="11"/>
      <c r="P289" s="6">
        <v>72765.33</v>
      </c>
      <c r="Q289" s="2"/>
      <c r="R289" s="7">
        <f t="shared" si="130"/>
        <v>2.6418185041138585E-3</v>
      </c>
      <c r="S289" s="2"/>
      <c r="T289" s="6">
        <v>70378.540000000008</v>
      </c>
      <c r="U289" s="2"/>
      <c r="V289" s="7">
        <f t="shared" si="131"/>
        <v>2.1802232886717478E-3</v>
      </c>
      <c r="W289" s="2"/>
      <c r="X289" s="6">
        <f t="shared" si="132"/>
        <v>2386.7899999999936</v>
      </c>
      <c r="Y289" s="2"/>
      <c r="Z289" s="7">
        <f t="shared" si="133"/>
        <v>3.3913604914225182E-2</v>
      </c>
    </row>
    <row r="290" spans="1:26" s="24" customFormat="1" hidden="1" outlineLevel="2" x14ac:dyDescent="0.25">
      <c r="A290" s="27"/>
      <c r="B290" s="11" t="str">
        <f>CONCATENATE("          ", "6241", " - ", "OFFICE EXPENSE")</f>
        <v xml:space="preserve">          6241 - OFFICE EXPENSE</v>
      </c>
      <c r="C290" s="11"/>
      <c r="D290" s="6">
        <v>1783.46</v>
      </c>
      <c r="E290" s="2"/>
      <c r="F290" s="7">
        <f t="shared" si="126"/>
        <v>3.5797509730075708E-3</v>
      </c>
      <c r="G290" s="2"/>
      <c r="H290" s="6">
        <v>5266.85</v>
      </c>
      <c r="I290" s="2"/>
      <c r="J290" s="7">
        <f t="shared" si="127"/>
        <v>1.5369636392021278E-3</v>
      </c>
      <c r="K290" s="2"/>
      <c r="L290" s="6">
        <f t="shared" si="128"/>
        <v>-3483.3900000000003</v>
      </c>
      <c r="M290" s="2"/>
      <c r="N290" s="7">
        <f t="shared" si="129"/>
        <v>-0.66138014183050586</v>
      </c>
      <c r="O290" s="11"/>
      <c r="P290" s="6">
        <v>97063.090000000011</v>
      </c>
      <c r="Q290" s="2"/>
      <c r="R290" s="7">
        <f t="shared" si="130"/>
        <v>3.5239731233056844E-3</v>
      </c>
      <c r="S290" s="2"/>
      <c r="T290" s="6">
        <v>135937.13999999998</v>
      </c>
      <c r="U290" s="2"/>
      <c r="V290" s="7">
        <f t="shared" si="131"/>
        <v>4.211131950498429E-3</v>
      </c>
      <c r="W290" s="2"/>
      <c r="X290" s="6">
        <f t="shared" si="132"/>
        <v>-38874.049999999974</v>
      </c>
      <c r="Y290" s="2"/>
      <c r="Z290" s="7">
        <f t="shared" si="133"/>
        <v>-0.28597078031802037</v>
      </c>
    </row>
    <row r="291" spans="1:26" s="24" customFormat="1" hidden="1" outlineLevel="2" x14ac:dyDescent="0.25">
      <c r="A291" s="27"/>
      <c r="B291" s="11" t="str">
        <f>CONCATENATE("          ", "6243", " - ", "PAPER SUPPLIES")</f>
        <v xml:space="preserve">          6243 - PAPER SUPPLIES</v>
      </c>
      <c r="C291" s="11"/>
      <c r="D291" s="6">
        <v>2673.14</v>
      </c>
      <c r="E291" s="2"/>
      <c r="F291" s="7">
        <f t="shared" si="126"/>
        <v>5.3655117109357416E-3</v>
      </c>
      <c r="G291" s="2"/>
      <c r="H291" s="6">
        <v>20395.550000000003</v>
      </c>
      <c r="I291" s="2"/>
      <c r="J291" s="7">
        <f t="shared" si="127"/>
        <v>5.951796377631594E-3</v>
      </c>
      <c r="K291" s="2"/>
      <c r="L291" s="6">
        <f t="shared" si="128"/>
        <v>-17722.410000000003</v>
      </c>
      <c r="M291" s="2"/>
      <c r="N291" s="7">
        <f t="shared" si="129"/>
        <v>-0.86893513536040956</v>
      </c>
      <c r="O291" s="11"/>
      <c r="P291" s="6">
        <v>110699.57</v>
      </c>
      <c r="Q291" s="2"/>
      <c r="R291" s="7">
        <f t="shared" si="130"/>
        <v>4.0190592473565E-3</v>
      </c>
      <c r="S291" s="2"/>
      <c r="T291" s="6">
        <v>153230.36000000002</v>
      </c>
      <c r="U291" s="2"/>
      <c r="V291" s="7">
        <f t="shared" si="131"/>
        <v>4.7468503808626291E-3</v>
      </c>
      <c r="W291" s="2"/>
      <c r="X291" s="6">
        <f t="shared" si="132"/>
        <v>-42530.790000000008</v>
      </c>
      <c r="Y291" s="2"/>
      <c r="Z291" s="7">
        <f t="shared" si="133"/>
        <v>-0.27756111778370818</v>
      </c>
    </row>
    <row r="292" spans="1:26" s="24" customFormat="1" hidden="1" outlineLevel="2" x14ac:dyDescent="0.25">
      <c r="A292" s="27"/>
      <c r="B292" s="11" t="str">
        <f>CONCATENATE("          ", "6245", " - ", "PRINTING")</f>
        <v xml:space="preserve">          6245 - PRINTING</v>
      </c>
      <c r="C292" s="11"/>
      <c r="D292" s="6">
        <v>485.1</v>
      </c>
      <c r="E292" s="2"/>
      <c r="F292" s="7">
        <f t="shared" si="126"/>
        <v>9.7369001660030092E-4</v>
      </c>
      <c r="G292" s="2"/>
      <c r="H292" s="6">
        <v>22</v>
      </c>
      <c r="I292" s="2"/>
      <c r="J292" s="7">
        <f t="shared" si="127"/>
        <v>6.4200043787931701E-6</v>
      </c>
      <c r="K292" s="2"/>
      <c r="L292" s="6">
        <f t="shared" si="128"/>
        <v>463.1</v>
      </c>
      <c r="M292" s="2"/>
      <c r="N292" s="7">
        <f t="shared" si="129"/>
        <v>21.05</v>
      </c>
      <c r="O292" s="11"/>
      <c r="P292" s="6">
        <v>12729.43</v>
      </c>
      <c r="Q292" s="2"/>
      <c r="R292" s="7">
        <f t="shared" si="130"/>
        <v>4.6215476135162269E-4</v>
      </c>
      <c r="S292" s="2"/>
      <c r="T292" s="6">
        <v>15587.150000000001</v>
      </c>
      <c r="U292" s="2"/>
      <c r="V292" s="7">
        <f t="shared" si="131"/>
        <v>4.828668999672319E-4</v>
      </c>
      <c r="W292" s="2"/>
      <c r="X292" s="6">
        <f t="shared" si="132"/>
        <v>-2857.7200000000012</v>
      </c>
      <c r="Y292" s="2"/>
      <c r="Z292" s="7">
        <f t="shared" si="133"/>
        <v>-0.18333819845193</v>
      </c>
    </row>
    <row r="293" spans="1:26" s="24" customFormat="1" hidden="1" outlineLevel="2" x14ac:dyDescent="0.25">
      <c r="A293" s="27"/>
      <c r="B293" s="11" t="str">
        <f>CONCATENATE("          ", "6246", " - ", "REPLACEMENTS")</f>
        <v xml:space="preserve">          6246 - REPLACEMENTS</v>
      </c>
      <c r="C293" s="11"/>
      <c r="D293" s="6"/>
      <c r="E293" s="2"/>
      <c r="F293" s="7">
        <f t="shared" si="126"/>
        <v>0</v>
      </c>
      <c r="G293" s="2"/>
      <c r="H293" s="6"/>
      <c r="I293" s="2"/>
      <c r="J293" s="7">
        <f t="shared" si="127"/>
        <v>0</v>
      </c>
      <c r="K293" s="2"/>
      <c r="L293" s="6">
        <f t="shared" si="128"/>
        <v>0</v>
      </c>
      <c r="M293" s="2"/>
      <c r="N293" s="7">
        <f t="shared" si="129"/>
        <v>0</v>
      </c>
      <c r="O293" s="11"/>
      <c r="P293" s="6">
        <v>25.87</v>
      </c>
      <c r="Q293" s="2"/>
      <c r="R293" s="7">
        <f t="shared" si="130"/>
        <v>9.3923637399054623E-7</v>
      </c>
      <c r="S293" s="2"/>
      <c r="T293" s="6"/>
      <c r="U293" s="2"/>
      <c r="V293" s="7">
        <f t="shared" si="131"/>
        <v>0</v>
      </c>
      <c r="W293" s="2"/>
      <c r="X293" s="6">
        <f t="shared" si="132"/>
        <v>25.87</v>
      </c>
      <c r="Y293" s="2"/>
      <c r="Z293" s="7">
        <f t="shared" si="133"/>
        <v>0</v>
      </c>
    </row>
    <row r="294" spans="1:26" s="24" customFormat="1" hidden="1" outlineLevel="2" x14ac:dyDescent="0.25">
      <c r="A294" s="27"/>
      <c r="B294" s="11" t="str">
        <f>CONCATENATE("          ", "6247", " - ", "STORE SUPPLIES")</f>
        <v xml:space="preserve">          6247 - STORE SUPPLIES</v>
      </c>
      <c r="C294" s="11"/>
      <c r="D294" s="6">
        <v>2786.63</v>
      </c>
      <c r="E294" s="2"/>
      <c r="F294" s="7">
        <f t="shared" si="126"/>
        <v>5.5933082064706175E-3</v>
      </c>
      <c r="G294" s="2"/>
      <c r="H294" s="6">
        <v>4389.92</v>
      </c>
      <c r="I294" s="2"/>
      <c r="J294" s="7">
        <f t="shared" si="127"/>
        <v>1.2810593464796234E-3</v>
      </c>
      <c r="K294" s="2"/>
      <c r="L294" s="6">
        <f t="shared" si="128"/>
        <v>-1603.29</v>
      </c>
      <c r="M294" s="2"/>
      <c r="N294" s="7">
        <f t="shared" si="129"/>
        <v>-0.36522077851077012</v>
      </c>
      <c r="O294" s="11"/>
      <c r="P294" s="6">
        <v>73830.880000000005</v>
      </c>
      <c r="Q294" s="2"/>
      <c r="R294" s="7">
        <f t="shared" si="130"/>
        <v>2.680504368756519E-3</v>
      </c>
      <c r="S294" s="2"/>
      <c r="T294" s="6">
        <v>90020.78</v>
      </c>
      <c r="U294" s="2"/>
      <c r="V294" s="7">
        <f t="shared" si="131"/>
        <v>2.7887108914222414E-3</v>
      </c>
      <c r="W294" s="2"/>
      <c r="X294" s="6">
        <f t="shared" si="132"/>
        <v>-16189.899999999994</v>
      </c>
      <c r="Y294" s="2"/>
      <c r="Z294" s="7">
        <f t="shared" si="133"/>
        <v>-0.17984625327618795</v>
      </c>
    </row>
    <row r="295" spans="1:26" s="24" customFormat="1" hidden="1" outlineLevel="2" x14ac:dyDescent="0.25">
      <c r="A295" s="27"/>
      <c r="B295" s="11" t="str">
        <f>CONCATENATE("          ", "6248", " - ", "UNIFORMS")</f>
        <v xml:space="preserve">          6248 - UNIFORMS</v>
      </c>
      <c r="C295" s="11"/>
      <c r="D295" s="6">
        <v>43.91</v>
      </c>
      <c r="E295" s="2"/>
      <c r="F295" s="7">
        <f t="shared" si="126"/>
        <v>8.8135907295236454E-5</v>
      </c>
      <c r="G295" s="2"/>
      <c r="H295" s="6">
        <v>575.77</v>
      </c>
      <c r="I295" s="2"/>
      <c r="J295" s="7">
        <f t="shared" si="127"/>
        <v>1.6802026914444288E-4</v>
      </c>
      <c r="K295" s="2"/>
      <c r="L295" s="6">
        <f t="shared" si="128"/>
        <v>-531.86</v>
      </c>
      <c r="M295" s="2"/>
      <c r="N295" s="7">
        <f t="shared" si="129"/>
        <v>-0.92373690883512516</v>
      </c>
      <c r="O295" s="11"/>
      <c r="P295" s="6">
        <v>4794.1099999999997</v>
      </c>
      <c r="Q295" s="2"/>
      <c r="R295" s="7">
        <f t="shared" si="130"/>
        <v>1.7405498619682324E-4</v>
      </c>
      <c r="S295" s="2"/>
      <c r="T295" s="6">
        <v>22600.54</v>
      </c>
      <c r="U295" s="2"/>
      <c r="V295" s="7">
        <f t="shared" si="131"/>
        <v>7.0013137022389743E-4</v>
      </c>
      <c r="W295" s="2"/>
      <c r="X295" s="6">
        <f t="shared" si="132"/>
        <v>-17806.43</v>
      </c>
      <c r="Y295" s="2"/>
      <c r="Z295" s="7">
        <f t="shared" si="133"/>
        <v>-0.78787630738026615</v>
      </c>
    </row>
    <row r="296" spans="1:26" s="25" customFormat="1" outlineLevel="1" collapsed="1" x14ac:dyDescent="0.25">
      <c r="A296" s="26"/>
      <c r="B296" s="13" t="str">
        <f>CONCATENATE("     ","Telephone/Data Lines                              ")</f>
        <v xml:space="preserve">     Telephone/Data Lines                              </v>
      </c>
      <c r="C296" s="13"/>
      <c r="D296" s="1">
        <f>SUM(OSRRefD22_23x_0)</f>
        <v>5933.52</v>
      </c>
      <c r="E296" s="1"/>
      <c r="F296" s="5">
        <f t="shared" ref="F296:F298" si="134">IF(D$12=0,0,D296/D$12)</f>
        <v>1.1909728277258745E-2</v>
      </c>
      <c r="G296" s="1"/>
      <c r="H296" s="1">
        <f>SUM(OSRRefH22_23x_0)</f>
        <v>6544.49</v>
      </c>
      <c r="I296" s="1"/>
      <c r="J296" s="5">
        <f t="shared" ref="J296:J298" si="135">IF(H$12=0,0,H296/H$12)</f>
        <v>1.9098024753167325E-3</v>
      </c>
      <c r="K296" s="1"/>
      <c r="L296" s="1">
        <f t="shared" ref="L296:L298" si="136">+D296-H296</f>
        <v>-610.96999999999935</v>
      </c>
      <c r="M296" s="1"/>
      <c r="N296" s="5">
        <f t="shared" ref="N296:N298" si="137">IF(H296=0,0,L296/H296)</f>
        <v>-9.335639599113138E-2</v>
      </c>
      <c r="O296" s="13"/>
      <c r="P296" s="1">
        <f>SUM(OSRRefP22_23x_0)</f>
        <v>59075.630000000005</v>
      </c>
      <c r="Q296" s="1"/>
      <c r="R296" s="5">
        <f t="shared" ref="R296:R298" si="138">IF(P$12=0,0,P296/P$12)</f>
        <v>2.1448001744262517E-3</v>
      </c>
      <c r="S296" s="1"/>
      <c r="T296" s="1">
        <f>SUM(OSRRefT22_23x_0)</f>
        <v>63982.75</v>
      </c>
      <c r="U296" s="1"/>
      <c r="V296" s="5">
        <f t="shared" ref="V296:V298" si="139">IF(T$12=0,0,T296/T$12)</f>
        <v>1.9820911548216577E-3</v>
      </c>
      <c r="W296" s="1"/>
      <c r="X296" s="1">
        <f t="shared" ref="X296:X298" si="140">+P296-T296</f>
        <v>-4907.1199999999953</v>
      </c>
      <c r="Y296" s="1"/>
      <c r="Z296" s="5">
        <f t="shared" ref="Z296:Z298" si="141">IF(T296=0,0,X296/T296)</f>
        <v>-7.6694421543306524E-2</v>
      </c>
    </row>
    <row r="297" spans="1:26" s="24" customFormat="1" hidden="1" outlineLevel="2" x14ac:dyDescent="0.25">
      <c r="A297" s="27"/>
      <c r="B297" s="11" t="str">
        <f>CONCATENATE("          ", "6303", " - ", "DATA PHONE LINES")</f>
        <v xml:space="preserve">          6303 - DATA PHONE LINES</v>
      </c>
      <c r="C297" s="11"/>
      <c r="D297" s="6"/>
      <c r="E297" s="2"/>
      <c r="F297" s="7">
        <f t="shared" si="134"/>
        <v>0</v>
      </c>
      <c r="G297" s="2"/>
      <c r="H297" s="6">
        <v>295</v>
      </c>
      <c r="I297" s="2"/>
      <c r="J297" s="7">
        <f t="shared" si="135"/>
        <v>8.6086422351999323E-5</v>
      </c>
      <c r="K297" s="2"/>
      <c r="L297" s="6">
        <f t="shared" si="136"/>
        <v>-295</v>
      </c>
      <c r="M297" s="2"/>
      <c r="N297" s="7">
        <f t="shared" si="137"/>
        <v>-1</v>
      </c>
      <c r="O297" s="11"/>
      <c r="P297" s="6">
        <v>2360</v>
      </c>
      <c r="Q297" s="2"/>
      <c r="R297" s="7">
        <f t="shared" si="138"/>
        <v>8.5682174047842637E-5</v>
      </c>
      <c r="S297" s="2"/>
      <c r="T297" s="6">
        <v>2655</v>
      </c>
      <c r="U297" s="2"/>
      <c r="V297" s="7">
        <f t="shared" si="139"/>
        <v>8.2247981151974581E-5</v>
      </c>
      <c r="W297" s="2"/>
      <c r="X297" s="6">
        <f t="shared" si="140"/>
        <v>-295</v>
      </c>
      <c r="Y297" s="2"/>
      <c r="Z297" s="7">
        <f t="shared" si="141"/>
        <v>-0.1111111111111111</v>
      </c>
    </row>
    <row r="298" spans="1:26" s="24" customFormat="1" hidden="1" outlineLevel="2" x14ac:dyDescent="0.25">
      <c r="A298" s="27"/>
      <c r="B298" s="11" t="str">
        <f>CONCATENATE("          ", "6309", " - ", "TELEPHONE")</f>
        <v xml:space="preserve">          6309 - TELEPHONE</v>
      </c>
      <c r="C298" s="11"/>
      <c r="D298" s="6">
        <v>5933.52</v>
      </c>
      <c r="E298" s="2"/>
      <c r="F298" s="7">
        <f t="shared" si="134"/>
        <v>1.1909728277258745E-2</v>
      </c>
      <c r="G298" s="2"/>
      <c r="H298" s="6">
        <v>6249.49</v>
      </c>
      <c r="I298" s="2"/>
      <c r="J298" s="7">
        <f t="shared" si="135"/>
        <v>1.823716052964733E-3</v>
      </c>
      <c r="K298" s="2"/>
      <c r="L298" s="6">
        <f t="shared" si="136"/>
        <v>-315.96999999999935</v>
      </c>
      <c r="M298" s="2"/>
      <c r="N298" s="7">
        <f t="shared" si="137"/>
        <v>-5.0559325640972201E-2</v>
      </c>
      <c r="O298" s="11"/>
      <c r="P298" s="6">
        <v>56715.630000000005</v>
      </c>
      <c r="Q298" s="2"/>
      <c r="R298" s="7">
        <f t="shared" si="138"/>
        <v>2.0591180003784091E-3</v>
      </c>
      <c r="S298" s="2"/>
      <c r="T298" s="6">
        <v>61327.75</v>
      </c>
      <c r="U298" s="2"/>
      <c r="V298" s="7">
        <f t="shared" si="139"/>
        <v>1.8998431736696833E-3</v>
      </c>
      <c r="W298" s="2"/>
      <c r="X298" s="6">
        <f t="shared" si="140"/>
        <v>-4612.1199999999953</v>
      </c>
      <c r="Y298" s="2"/>
      <c r="Z298" s="7">
        <f t="shared" si="141"/>
        <v>-7.5204454753353828E-2</v>
      </c>
    </row>
    <row r="299" spans="1:26" s="25" customFormat="1" outlineLevel="1" collapsed="1" x14ac:dyDescent="0.25">
      <c r="A299" s="26"/>
      <c r="B299" s="13" t="str">
        <f>CONCATENATE("     ","Training                                          ")</f>
        <v xml:space="preserve">     Training                                          </v>
      </c>
      <c r="C299" s="13"/>
      <c r="D299" s="1">
        <f>SUM(OSRRefD22_24x_0)</f>
        <v>2645</v>
      </c>
      <c r="E299" s="1"/>
      <c r="F299" s="5">
        <f t="shared" ref="F299:F304" si="142">IF(D$12=0,0,D299/D$12)</f>
        <v>5.30902925975633E-3</v>
      </c>
      <c r="G299" s="1"/>
      <c r="H299" s="1">
        <f>SUM(OSRRefH22_24x_0)</f>
        <v>3912.01</v>
      </c>
      <c r="I299" s="1"/>
      <c r="J299" s="5">
        <f t="shared" ref="J299:J304" si="143">IF(H$12=0,0,H299/H$12)</f>
        <v>1.141596424085576E-3</v>
      </c>
      <c r="K299" s="1"/>
      <c r="L299" s="1">
        <f t="shared" ref="L299:L304" si="144">+D299-H299</f>
        <v>-1267.0100000000002</v>
      </c>
      <c r="M299" s="1"/>
      <c r="N299" s="5">
        <f t="shared" ref="N299:N304" si="145">IF(H299=0,0,L299/H299)</f>
        <v>-0.32387698395454001</v>
      </c>
      <c r="O299" s="13"/>
      <c r="P299" s="1">
        <f>SUM(OSRRefP22_24x_0)</f>
        <v>35410.11</v>
      </c>
      <c r="Q299" s="1"/>
      <c r="R299" s="5">
        <f t="shared" ref="R299:R304" si="146">IF(P$12=0,0,P299/P$12)</f>
        <v>1.2855996644378191E-3</v>
      </c>
      <c r="S299" s="1"/>
      <c r="T299" s="1">
        <f>SUM(OSRRefT22_24x_0)</f>
        <v>36715.72</v>
      </c>
      <c r="U299" s="1"/>
      <c r="V299" s="5">
        <f t="shared" ref="V299:V304" si="147">IF(T$12=0,0,T299/T$12)</f>
        <v>1.1373988122565636E-3</v>
      </c>
      <c r="W299" s="1"/>
      <c r="X299" s="1">
        <f t="shared" ref="X299:X304" si="148">+P299-T299</f>
        <v>-1305.6100000000006</v>
      </c>
      <c r="Y299" s="1"/>
      <c r="Z299" s="5">
        <f t="shared" ref="Z299:Z304" si="149">IF(T299=0,0,X299/T299)</f>
        <v>-3.5559972676553815E-2</v>
      </c>
    </row>
    <row r="300" spans="1:26" s="24" customFormat="1" hidden="1" outlineLevel="2" x14ac:dyDescent="0.25">
      <c r="A300" s="27"/>
      <c r="B300" s="11" t="str">
        <f>CONCATENATE("          ", "6376", " - ", "TRAINING")</f>
        <v xml:space="preserve">          6376 - TRAINING</v>
      </c>
      <c r="C300" s="11"/>
      <c r="D300" s="6">
        <v>2645</v>
      </c>
      <c r="E300" s="2"/>
      <c r="F300" s="7">
        <f t="shared" si="142"/>
        <v>5.30902925975633E-3</v>
      </c>
      <c r="G300" s="2"/>
      <c r="H300" s="6">
        <v>3912.01</v>
      </c>
      <c r="I300" s="2"/>
      <c r="J300" s="7">
        <f t="shared" si="143"/>
        <v>1.141596424085576E-3</v>
      </c>
      <c r="K300" s="2"/>
      <c r="L300" s="6">
        <f t="shared" si="144"/>
        <v>-1267.0100000000002</v>
      </c>
      <c r="M300" s="2"/>
      <c r="N300" s="7">
        <f t="shared" si="145"/>
        <v>-0.32387698395454001</v>
      </c>
      <c r="O300" s="11"/>
      <c r="P300" s="6">
        <v>35410.11</v>
      </c>
      <c r="Q300" s="2"/>
      <c r="R300" s="7">
        <f t="shared" si="146"/>
        <v>1.2855996644378191E-3</v>
      </c>
      <c r="S300" s="2"/>
      <c r="T300" s="6">
        <v>36715.72</v>
      </c>
      <c r="U300" s="2"/>
      <c r="V300" s="7">
        <f t="shared" si="147"/>
        <v>1.1373988122565636E-3</v>
      </c>
      <c r="W300" s="2"/>
      <c r="X300" s="6">
        <f t="shared" si="148"/>
        <v>-1305.6100000000006</v>
      </c>
      <c r="Y300" s="2"/>
      <c r="Z300" s="7">
        <f t="shared" si="149"/>
        <v>-3.5559972676553815E-2</v>
      </c>
    </row>
    <row r="301" spans="1:26" s="25" customFormat="1" outlineLevel="1" collapsed="1" x14ac:dyDescent="0.25">
      <c r="A301" s="26"/>
      <c r="B301" s="13" t="str">
        <f>CONCATENATE("     ","Travel                                            ")</f>
        <v xml:space="preserve">     Travel                                            </v>
      </c>
      <c r="C301" s="13"/>
      <c r="D301" s="1">
        <f>SUM(OSRRefD22_25x_0)</f>
        <v>1888.8799999999999</v>
      </c>
      <c r="E301" s="1"/>
      <c r="F301" s="5">
        <f t="shared" si="142"/>
        <v>3.7913494095155147E-3</v>
      </c>
      <c r="G301" s="1"/>
      <c r="H301" s="1">
        <f>SUM(OSRRefH22_25x_0)</f>
        <v>1138.54</v>
      </c>
      <c r="I301" s="1"/>
      <c r="J301" s="5">
        <f t="shared" si="143"/>
        <v>3.322468993377807E-4</v>
      </c>
      <c r="K301" s="1"/>
      <c r="L301" s="1">
        <f t="shared" si="144"/>
        <v>750.33999999999992</v>
      </c>
      <c r="M301" s="1"/>
      <c r="N301" s="5">
        <f t="shared" si="145"/>
        <v>0.65903701231401612</v>
      </c>
      <c r="O301" s="13"/>
      <c r="P301" s="1">
        <f>SUM(OSRRefP22_25x_0)</f>
        <v>9441.3100000000013</v>
      </c>
      <c r="Q301" s="1"/>
      <c r="R301" s="5">
        <f t="shared" si="146"/>
        <v>3.4277625705916837E-4</v>
      </c>
      <c r="S301" s="1"/>
      <c r="T301" s="1">
        <f>SUM(OSRRefT22_25x_0)</f>
        <v>10890.050000000001</v>
      </c>
      <c r="U301" s="1"/>
      <c r="V301" s="5">
        <f t="shared" si="147"/>
        <v>3.3735767500717926E-4</v>
      </c>
      <c r="W301" s="1"/>
      <c r="X301" s="1">
        <f t="shared" si="148"/>
        <v>-1448.7399999999998</v>
      </c>
      <c r="Y301" s="1"/>
      <c r="Z301" s="5">
        <f t="shared" si="149"/>
        <v>-0.13303336531971843</v>
      </c>
    </row>
    <row r="302" spans="1:26" s="24" customFormat="1" hidden="1" outlineLevel="2" x14ac:dyDescent="0.25">
      <c r="A302" s="27"/>
      <c r="B302" s="11" t="str">
        <f>CONCATENATE("          ", "6292", " - ", "TRAVEL/CONFERENCE")</f>
        <v xml:space="preserve">          6292 - TRAVEL/CONFERENCE</v>
      </c>
      <c r="C302" s="11"/>
      <c r="D302" s="6">
        <v>1547.08</v>
      </c>
      <c r="E302" s="2"/>
      <c r="F302" s="7">
        <f t="shared" si="142"/>
        <v>3.1052903543228065E-3</v>
      </c>
      <c r="G302" s="2"/>
      <c r="H302" s="6">
        <v>542.38</v>
      </c>
      <c r="I302" s="2"/>
      <c r="J302" s="7">
        <f t="shared" si="143"/>
        <v>1.5827645340771998E-4</v>
      </c>
      <c r="K302" s="2"/>
      <c r="L302" s="6">
        <f t="shared" si="144"/>
        <v>1004.6999999999999</v>
      </c>
      <c r="M302" s="2"/>
      <c r="N302" s="7">
        <f t="shared" si="145"/>
        <v>1.8523913123640252</v>
      </c>
      <c r="O302" s="11"/>
      <c r="P302" s="6">
        <v>7216.54</v>
      </c>
      <c r="Q302" s="2"/>
      <c r="R302" s="7">
        <f t="shared" si="146"/>
        <v>2.6200374419627895E-4</v>
      </c>
      <c r="S302" s="2"/>
      <c r="T302" s="6">
        <v>6425.27</v>
      </c>
      <c r="U302" s="2"/>
      <c r="V302" s="7">
        <f t="shared" si="147"/>
        <v>1.9904538073685414E-4</v>
      </c>
      <c r="W302" s="2"/>
      <c r="X302" s="6">
        <f t="shared" si="148"/>
        <v>791.26999999999953</v>
      </c>
      <c r="Y302" s="2"/>
      <c r="Z302" s="7">
        <f t="shared" si="149"/>
        <v>0.12314968865121613</v>
      </c>
    </row>
    <row r="303" spans="1:26" s="24" customFormat="1" hidden="1" outlineLevel="2" x14ac:dyDescent="0.25">
      <c r="A303" s="27"/>
      <c r="B303" s="11" t="str">
        <f>CONCATENATE("          ", "6294", " - ", "TRAVEL OPERATIONAL")</f>
        <v xml:space="preserve">          6294 - TRAVEL OPERATIONAL</v>
      </c>
      <c r="C303" s="11"/>
      <c r="D303" s="6"/>
      <c r="E303" s="2"/>
      <c r="F303" s="7">
        <f t="shared" si="142"/>
        <v>0</v>
      </c>
      <c r="G303" s="2"/>
      <c r="H303" s="6">
        <v>411.35</v>
      </c>
      <c r="I303" s="2"/>
      <c r="J303" s="7">
        <f t="shared" si="143"/>
        <v>1.2003949096438958E-4</v>
      </c>
      <c r="K303" s="2"/>
      <c r="L303" s="6">
        <f t="shared" si="144"/>
        <v>-411.35</v>
      </c>
      <c r="M303" s="2"/>
      <c r="N303" s="7">
        <f t="shared" si="145"/>
        <v>-1</v>
      </c>
      <c r="O303" s="11"/>
      <c r="P303" s="6">
        <v>418.6</v>
      </c>
      <c r="Q303" s="2"/>
      <c r="R303" s="7">
        <f t="shared" si="146"/>
        <v>1.5197694091706326E-5</v>
      </c>
      <c r="S303" s="2"/>
      <c r="T303" s="6">
        <v>2811.36</v>
      </c>
      <c r="U303" s="2"/>
      <c r="V303" s="7">
        <f t="shared" si="147"/>
        <v>8.7091783160608396E-5</v>
      </c>
      <c r="W303" s="2"/>
      <c r="X303" s="6">
        <f t="shared" si="148"/>
        <v>-2392.7600000000002</v>
      </c>
      <c r="Y303" s="2"/>
      <c r="Z303" s="7">
        <f t="shared" si="149"/>
        <v>-0.85110409196972292</v>
      </c>
    </row>
    <row r="304" spans="1:26" s="24" customFormat="1" hidden="1" outlineLevel="2" x14ac:dyDescent="0.25">
      <c r="A304" s="27"/>
      <c r="B304" s="11" t="str">
        <f>CONCATENATE("          ", "6298", " - ", "VEHICLE MILEAGE")</f>
        <v xml:space="preserve">          6298 - VEHICLE MILEAGE</v>
      </c>
      <c r="C304" s="11"/>
      <c r="D304" s="6">
        <v>341.8</v>
      </c>
      <c r="E304" s="2"/>
      <c r="F304" s="7">
        <f t="shared" si="142"/>
        <v>6.8605905519270841E-4</v>
      </c>
      <c r="G304" s="2"/>
      <c r="H304" s="6">
        <v>184.81</v>
      </c>
      <c r="I304" s="2"/>
      <c r="J304" s="7">
        <f t="shared" si="143"/>
        <v>5.393095496567117E-5</v>
      </c>
      <c r="K304" s="2"/>
      <c r="L304" s="6">
        <f t="shared" si="144"/>
        <v>156.99</v>
      </c>
      <c r="M304" s="2"/>
      <c r="N304" s="7">
        <f t="shared" si="145"/>
        <v>0.84946702018289055</v>
      </c>
      <c r="O304" s="11"/>
      <c r="P304" s="6">
        <v>1806.17</v>
      </c>
      <c r="Q304" s="2"/>
      <c r="R304" s="7">
        <f t="shared" si="146"/>
        <v>6.5574818771183034E-5</v>
      </c>
      <c r="S304" s="2"/>
      <c r="T304" s="6">
        <v>1653.42</v>
      </c>
      <c r="U304" s="2"/>
      <c r="V304" s="7">
        <f t="shared" si="147"/>
        <v>5.1220511109716691E-5</v>
      </c>
      <c r="W304" s="2"/>
      <c r="X304" s="6">
        <f t="shared" si="148"/>
        <v>152.75</v>
      </c>
      <c r="Y304" s="2"/>
      <c r="Z304" s="7">
        <f t="shared" si="149"/>
        <v>9.2384270179385761E-2</v>
      </c>
    </row>
    <row r="305" spans="1:26" s="25" customFormat="1" outlineLevel="1" collapsed="1" x14ac:dyDescent="0.25">
      <c r="A305" s="26"/>
      <c r="B305" s="13" t="str">
        <f>CONCATENATE("     ","Utilities                                         ")</f>
        <v xml:space="preserve">     Utilities                                         </v>
      </c>
      <c r="C305" s="13"/>
      <c r="D305" s="1">
        <f>SUM(OSRRefD22_26x_0)</f>
        <v>23475.670000000002</v>
      </c>
      <c r="E305" s="1"/>
      <c r="F305" s="5">
        <f t="shared" ref="F305:F306" si="150">IF(D$12=0,0,D305/D$12)</f>
        <v>4.7120233997120564E-2</v>
      </c>
      <c r="G305" s="1"/>
      <c r="H305" s="1">
        <f>SUM(OSRRefH22_26x_0)</f>
        <v>21035.190000000002</v>
      </c>
      <c r="I305" s="1"/>
      <c r="J305" s="5">
        <f t="shared" ref="J305:J306" si="151">IF(H$12=0,0,H305/H$12)</f>
        <v>6.1384550867611964E-3</v>
      </c>
      <c r="K305" s="1"/>
      <c r="L305" s="1">
        <f t="shared" ref="L305:L306" si="152">+D305-H305</f>
        <v>2440.4799999999996</v>
      </c>
      <c r="M305" s="1"/>
      <c r="N305" s="5">
        <f t="shared" ref="N305:N306" si="153">IF(H305=0,0,L305/H305)</f>
        <v>0.11601891877373104</v>
      </c>
      <c r="O305" s="13"/>
      <c r="P305" s="1">
        <f>SUM(OSRRefP22_26x_0)</f>
        <v>228919.09</v>
      </c>
      <c r="Q305" s="1"/>
      <c r="R305" s="5">
        <f t="shared" ref="R305:R306" si="154">IF(P$12=0,0,P305/P$12)</f>
        <v>8.3111378441753196E-3</v>
      </c>
      <c r="S305" s="1"/>
      <c r="T305" s="1">
        <f>SUM(OSRRefT22_26x_0)</f>
        <v>168780.24</v>
      </c>
      <c r="U305" s="1"/>
      <c r="V305" s="5">
        <f t="shared" ref="V305:V306" si="155">IF(T$12=0,0,T305/T$12)</f>
        <v>5.2285627112413358E-3</v>
      </c>
      <c r="W305" s="1"/>
      <c r="X305" s="1">
        <f t="shared" ref="X305:X306" si="156">+P305-T305</f>
        <v>60138.850000000006</v>
      </c>
      <c r="Y305" s="1"/>
      <c r="Z305" s="5">
        <f t="shared" ref="Z305:Z306" si="157">IF(T305=0,0,X305/T305)</f>
        <v>0.35631451880859993</v>
      </c>
    </row>
    <row r="306" spans="1:26" s="24" customFormat="1" hidden="1" outlineLevel="2" x14ac:dyDescent="0.25">
      <c r="A306" s="27"/>
      <c r="B306" s="11" t="str">
        <f>CONCATENATE("          ", "6274", " - ", "UTILITIES")</f>
        <v xml:space="preserve">          6274 - UTILITIES</v>
      </c>
      <c r="C306" s="11"/>
      <c r="D306" s="6">
        <v>23475.670000000002</v>
      </c>
      <c r="E306" s="2"/>
      <c r="F306" s="7">
        <f t="shared" si="150"/>
        <v>4.7120233997120564E-2</v>
      </c>
      <c r="G306" s="2"/>
      <c r="H306" s="6">
        <v>21035.190000000002</v>
      </c>
      <c r="I306" s="2"/>
      <c r="J306" s="7">
        <f t="shared" si="151"/>
        <v>6.1384550867611964E-3</v>
      </c>
      <c r="K306" s="2"/>
      <c r="L306" s="6">
        <f t="shared" si="152"/>
        <v>2440.4799999999996</v>
      </c>
      <c r="M306" s="2"/>
      <c r="N306" s="7">
        <f t="shared" si="153"/>
        <v>0.11601891877373104</v>
      </c>
      <c r="O306" s="11"/>
      <c r="P306" s="6">
        <v>228919.09</v>
      </c>
      <c r="Q306" s="2"/>
      <c r="R306" s="7">
        <f t="shared" si="154"/>
        <v>8.3111378441753196E-3</v>
      </c>
      <c r="S306" s="2"/>
      <c r="T306" s="6">
        <v>168780.24</v>
      </c>
      <c r="U306" s="2"/>
      <c r="V306" s="7">
        <f t="shared" si="155"/>
        <v>5.2285627112413358E-3</v>
      </c>
      <c r="W306" s="2"/>
      <c r="X306" s="6">
        <f t="shared" si="156"/>
        <v>60138.850000000006</v>
      </c>
      <c r="Y306" s="2"/>
      <c r="Z306" s="7">
        <f t="shared" si="157"/>
        <v>0.35631451880859993</v>
      </c>
    </row>
    <row r="307" spans="1:26" s="53" customFormat="1" x14ac:dyDescent="0.25">
      <c r="A307" s="37"/>
      <c r="B307" s="37"/>
      <c r="C307" s="37"/>
      <c r="D307" s="1"/>
      <c r="E307" s="1"/>
      <c r="F307" s="5"/>
      <c r="G307" s="1"/>
      <c r="H307" s="1"/>
      <c r="I307" s="1"/>
      <c r="J307" s="5"/>
      <c r="K307" s="1"/>
      <c r="L307" s="1"/>
      <c r="M307" s="1"/>
      <c r="N307" s="5"/>
      <c r="O307" s="37"/>
      <c r="P307" s="1"/>
      <c r="Q307" s="1"/>
      <c r="R307" s="5"/>
      <c r="S307" s="1"/>
      <c r="T307" s="1"/>
      <c r="U307" s="1"/>
      <c r="V307" s="5"/>
      <c r="W307" s="1"/>
      <c r="X307" s="1"/>
      <c r="Y307" s="1"/>
      <c r="Z307" s="5"/>
    </row>
    <row r="308" spans="1:26" s="23" customFormat="1" collapsed="1" x14ac:dyDescent="0.25">
      <c r="A308" s="10"/>
      <c r="B308" s="29" t="s">
        <v>0</v>
      </c>
      <c r="C308" s="10"/>
      <c r="D308" s="4">
        <f>SUM(OSRRefD25x_0)</f>
        <v>415615.07999999996</v>
      </c>
      <c r="E308" s="4"/>
      <c r="F308" s="12">
        <f t="shared" ref="F308:F321" si="158">IF(D$12=0,0,D308/D$12)</f>
        <v>0.83422027240679308</v>
      </c>
      <c r="G308" s="4"/>
      <c r="H308" s="4">
        <f>SUM(OSRRefH25x_0)</f>
        <v>211527.46999999997</v>
      </c>
      <c r="I308" s="4"/>
      <c r="J308" s="12">
        <f t="shared" ref="J308:J321" si="159">IF(H$12=0,0,H308/H$12)</f>
        <v>6.1727603801592763E-2</v>
      </c>
      <c r="K308" s="4"/>
      <c r="L308" s="4">
        <f t="shared" ref="L308:L321" si="160">+D308-H308</f>
        <v>204087.61</v>
      </c>
      <c r="M308" s="4"/>
      <c r="N308" s="12">
        <f t="shared" ref="N308:N321" si="161">IF(H308=0,0,L308/H308)</f>
        <v>0.96482792518626548</v>
      </c>
      <c r="O308" s="10"/>
      <c r="P308" s="4">
        <f>SUM(OSRRefP25x_0)</f>
        <v>1775777.1100000003</v>
      </c>
      <c r="Q308" s="4"/>
      <c r="R308" s="12">
        <f t="shared" ref="R308:R321" si="162">IF(P$12=0,0,P308/P$12)</f>
        <v>6.44713743259301E-2</v>
      </c>
      <c r="S308" s="4"/>
      <c r="T308" s="4">
        <f>SUM(OSRRefT25x_0)</f>
        <v>1728448.3999999997</v>
      </c>
      <c r="U308" s="4"/>
      <c r="V308" s="12">
        <f t="shared" ref="V308:V321" si="163">IF(T$12=0,0,T308/T$12)</f>
        <v>5.3544780197875931E-2</v>
      </c>
      <c r="W308" s="4"/>
      <c r="X308" s="4">
        <f t="shared" ref="X308:X321" si="164">+P308-T308</f>
        <v>47328.710000000661</v>
      </c>
      <c r="Y308" s="4"/>
      <c r="Z308" s="12">
        <f t="shared" ref="Z308:Z321" si="165">IF(T308=0,0,X308/T308)</f>
        <v>2.7382194342625833E-2</v>
      </c>
    </row>
    <row r="309" spans="1:26" s="24" customFormat="1" hidden="1" outlineLevel="1" x14ac:dyDescent="0.25">
      <c r="A309" s="44"/>
      <c r="B309" s="11" t="str">
        <f>CONCATENATE("          ", "4098", " - ", "TAXABLE SALES-GRAD RENTALS")</f>
        <v xml:space="preserve">          4098 - TAXABLE SALES-GRAD RENTALS</v>
      </c>
      <c r="C309" s="11"/>
      <c r="D309" s="2">
        <f>0</f>
        <v>0</v>
      </c>
      <c r="E309" s="2"/>
      <c r="F309" s="19">
        <f t="shared" si="158"/>
        <v>0</v>
      </c>
      <c r="G309" s="2"/>
      <c r="H309" s="2">
        <f>--1176.5</f>
        <v>1176.5</v>
      </c>
      <c r="I309" s="2"/>
      <c r="J309" s="19">
        <f t="shared" si="159"/>
        <v>3.4332432507500749E-4</v>
      </c>
      <c r="K309" s="2"/>
      <c r="L309" s="2">
        <f t="shared" si="160"/>
        <v>-1176.5</v>
      </c>
      <c r="M309" s="2"/>
      <c r="N309" s="19">
        <f t="shared" si="161"/>
        <v>-1</v>
      </c>
      <c r="O309" s="11"/>
      <c r="P309" s="2">
        <f>--2098.85</f>
        <v>2098.85</v>
      </c>
      <c r="Q309" s="2"/>
      <c r="R309" s="19">
        <f t="shared" si="162"/>
        <v>7.6200860593353615E-5</v>
      </c>
      <c r="S309" s="2"/>
      <c r="T309" s="2">
        <f>--7074</f>
        <v>7074</v>
      </c>
      <c r="U309" s="2"/>
      <c r="V309" s="19">
        <f t="shared" si="163"/>
        <v>2.1914207859475261E-4</v>
      </c>
      <c r="W309" s="2"/>
      <c r="X309" s="2">
        <f t="shared" si="164"/>
        <v>-4975.1499999999996</v>
      </c>
      <c r="Y309" s="2"/>
      <c r="Z309" s="19">
        <f t="shared" si="165"/>
        <v>-0.70330081990387328</v>
      </c>
    </row>
    <row r="310" spans="1:26" s="24" customFormat="1" hidden="1" outlineLevel="1" x14ac:dyDescent="0.25">
      <c r="A310" s="44"/>
      <c r="B310" s="11" t="str">
        <f>CONCATENATE("          ", "4187", " - ", "NON-TAXABLE SALES-COMPUTER REP")</f>
        <v xml:space="preserve">          4187 - NON-TAXABLE SALES-COMPUTER REP</v>
      </c>
      <c r="C310" s="11"/>
      <c r="D310" s="2">
        <f>--603.69</f>
        <v>603.69000000000005</v>
      </c>
      <c r="E310" s="2"/>
      <c r="F310" s="19">
        <f t="shared" si="158"/>
        <v>1.2117232037135346E-3</v>
      </c>
      <c r="G310" s="2"/>
      <c r="H310" s="2">
        <f>-129.57</f>
        <v>-129.57</v>
      </c>
      <c r="I310" s="2"/>
      <c r="J310" s="19">
        <f t="shared" si="159"/>
        <v>-3.7810907607283226E-5</v>
      </c>
      <c r="K310" s="2"/>
      <c r="L310" s="2">
        <f t="shared" si="160"/>
        <v>733.26</v>
      </c>
      <c r="M310" s="2"/>
      <c r="N310" s="19">
        <f t="shared" si="161"/>
        <v>-5.6591803658254225</v>
      </c>
      <c r="O310" s="11"/>
      <c r="P310" s="2">
        <f>--16183.2</f>
        <v>16183.2</v>
      </c>
      <c r="Q310" s="2"/>
      <c r="R310" s="19">
        <f t="shared" si="162"/>
        <v>5.8754735553010471E-4</v>
      </c>
      <c r="S310" s="2"/>
      <c r="T310" s="2">
        <f>--6832.37</f>
        <v>6832.37</v>
      </c>
      <c r="U310" s="2"/>
      <c r="V310" s="19">
        <f t="shared" si="163"/>
        <v>2.1165673784682358E-4</v>
      </c>
      <c r="W310" s="2"/>
      <c r="X310" s="2">
        <f t="shared" si="164"/>
        <v>9350.8300000000017</v>
      </c>
      <c r="Y310" s="2"/>
      <c r="Z310" s="19">
        <f t="shared" si="165"/>
        <v>1.368607086560008</v>
      </c>
    </row>
    <row r="311" spans="1:26" s="24" customFormat="1" hidden="1" outlineLevel="1" x14ac:dyDescent="0.25">
      <c r="A311" s="44"/>
      <c r="B311" s="11" t="str">
        <f>CONCATENATE("          ", "4197", " - ", "NON-TAXABLE SALES-RETURNED CHE")</f>
        <v xml:space="preserve">          4197 - NON-TAXABLE SALES-RETURNED CHE</v>
      </c>
      <c r="C311" s="11"/>
      <c r="D311" s="2">
        <f>0</f>
        <v>0</v>
      </c>
      <c r="E311" s="2"/>
      <c r="F311" s="19">
        <f t="shared" si="158"/>
        <v>0</v>
      </c>
      <c r="G311" s="2"/>
      <c r="H311" s="2">
        <f>0</f>
        <v>0</v>
      </c>
      <c r="I311" s="2"/>
      <c r="J311" s="19">
        <f t="shared" si="159"/>
        <v>0</v>
      </c>
      <c r="K311" s="2"/>
      <c r="L311" s="2">
        <f t="shared" si="160"/>
        <v>0</v>
      </c>
      <c r="M311" s="2"/>
      <c r="N311" s="19">
        <f t="shared" si="161"/>
        <v>0</v>
      </c>
      <c r="O311" s="11"/>
      <c r="P311" s="2">
        <f>--30</f>
        <v>30</v>
      </c>
      <c r="Q311" s="2"/>
      <c r="R311" s="19">
        <f t="shared" si="162"/>
        <v>1.0891801785742709E-6</v>
      </c>
      <c r="S311" s="2"/>
      <c r="T311" s="2">
        <f>--335</f>
        <v>335</v>
      </c>
      <c r="U311" s="2"/>
      <c r="V311" s="19">
        <f t="shared" si="163"/>
        <v>1.0377805531416756E-5</v>
      </c>
      <c r="W311" s="2"/>
      <c r="X311" s="2">
        <f t="shared" si="164"/>
        <v>-305</v>
      </c>
      <c r="Y311" s="2"/>
      <c r="Z311" s="19">
        <f t="shared" si="165"/>
        <v>-0.91044776119402981</v>
      </c>
    </row>
    <row r="312" spans="1:26" s="24" customFormat="1" hidden="1" outlineLevel="1" x14ac:dyDescent="0.25">
      <c r="A312" s="44"/>
      <c r="B312" s="11" t="str">
        <f>CONCATENATE("          ", "4198", " - ", "NON-TAXABLE SALES-GRAD RENTALS")</f>
        <v xml:space="preserve">          4198 - NON-TAXABLE SALES-GRAD RENTALS</v>
      </c>
      <c r="C312" s="11"/>
      <c r="D312" s="2">
        <f>-98.64</f>
        <v>-98.64</v>
      </c>
      <c r="E312" s="2"/>
      <c r="F312" s="19">
        <f t="shared" si="158"/>
        <v>-1.9798965829200923E-4</v>
      </c>
      <c r="G312" s="2"/>
      <c r="H312" s="2">
        <f>--132723.55</f>
        <v>132723.54999999999</v>
      </c>
      <c r="I312" s="2"/>
      <c r="J312" s="19">
        <f t="shared" si="159"/>
        <v>3.8731171462226099E-2</v>
      </c>
      <c r="K312" s="2"/>
      <c r="L312" s="2">
        <f t="shared" si="160"/>
        <v>-132822.19</v>
      </c>
      <c r="M312" s="2"/>
      <c r="N312" s="19">
        <f t="shared" si="161"/>
        <v>-1.0007431989273947</v>
      </c>
      <c r="O312" s="11"/>
      <c r="P312" s="2">
        <f>--3633.46</f>
        <v>3633.46</v>
      </c>
      <c r="Q312" s="2"/>
      <c r="R312" s="19">
        <f t="shared" si="162"/>
        <v>1.3191642038808235E-4</v>
      </c>
      <c r="S312" s="2"/>
      <c r="T312" s="2">
        <f>--384565.85</f>
        <v>384565.85</v>
      </c>
      <c r="U312" s="2"/>
      <c r="V312" s="19">
        <f t="shared" si="163"/>
        <v>1.1913282403952197E-2</v>
      </c>
      <c r="W312" s="2"/>
      <c r="X312" s="2">
        <f t="shared" si="164"/>
        <v>-380932.38999999996</v>
      </c>
      <c r="Y312" s="2"/>
      <c r="Z312" s="19">
        <f t="shared" si="165"/>
        <v>-0.99055178716466885</v>
      </c>
    </row>
    <row r="313" spans="1:26" s="24" customFormat="1" hidden="1" outlineLevel="1" x14ac:dyDescent="0.25">
      <c r="A313" s="44"/>
      <c r="B313" s="11" t="str">
        <f>CONCATENATE("          ", "4387", " - ", "SALES RETURN NON TAXABLE-COMPU")</f>
        <v xml:space="preserve">          4387 - SALES RETURN NON TAXABLE-COMPU</v>
      </c>
      <c r="C313" s="11"/>
      <c r="D313" s="2">
        <f t="shared" ref="D313:D314" si="166">0</f>
        <v>0</v>
      </c>
      <c r="E313" s="2"/>
      <c r="F313" s="19">
        <f t="shared" si="158"/>
        <v>0</v>
      </c>
      <c r="G313" s="2"/>
      <c r="H313" s="2">
        <f t="shared" ref="H313:H314" si="167">0</f>
        <v>0</v>
      </c>
      <c r="I313" s="2"/>
      <c r="J313" s="19">
        <f t="shared" si="159"/>
        <v>0</v>
      </c>
      <c r="K313" s="2"/>
      <c r="L313" s="2">
        <f t="shared" si="160"/>
        <v>0</v>
      </c>
      <c r="M313" s="2"/>
      <c r="N313" s="19">
        <f t="shared" si="161"/>
        <v>0</v>
      </c>
      <c r="O313" s="11"/>
      <c r="P313" s="2">
        <f>-7889</f>
        <v>-7889</v>
      </c>
      <c r="Q313" s="2"/>
      <c r="R313" s="19">
        <f t="shared" si="162"/>
        <v>-2.8641808095908078E-4</v>
      </c>
      <c r="S313" s="2"/>
      <c r="T313" s="2">
        <f>0</f>
        <v>0</v>
      </c>
      <c r="U313" s="2"/>
      <c r="V313" s="19">
        <f t="shared" si="163"/>
        <v>0</v>
      </c>
      <c r="W313" s="2"/>
      <c r="X313" s="2">
        <f t="shared" si="164"/>
        <v>-7889</v>
      </c>
      <c r="Y313" s="2"/>
      <c r="Z313" s="19">
        <f t="shared" si="165"/>
        <v>0</v>
      </c>
    </row>
    <row r="314" spans="1:26" s="24" customFormat="1" hidden="1" outlineLevel="1" x14ac:dyDescent="0.25">
      <c r="A314" s="44"/>
      <c r="B314" s="11" t="str">
        <f>CONCATENATE("          ", "5087", " - ", "PURCHASES @ COST-COMPUTER REPA")</f>
        <v xml:space="preserve">          5087 - PURCHASES @ COST-COMPUTER REPA</v>
      </c>
      <c r="C314" s="11"/>
      <c r="D314" s="2">
        <f t="shared" si="166"/>
        <v>0</v>
      </c>
      <c r="E314" s="2"/>
      <c r="F314" s="19">
        <f t="shared" si="158"/>
        <v>0</v>
      </c>
      <c r="G314" s="2"/>
      <c r="H314" s="2">
        <f t="shared" si="167"/>
        <v>0</v>
      </c>
      <c r="I314" s="2"/>
      <c r="J314" s="19">
        <f t="shared" si="159"/>
        <v>0</v>
      </c>
      <c r="K314" s="2"/>
      <c r="L314" s="2">
        <f t="shared" si="160"/>
        <v>0</v>
      </c>
      <c r="M314" s="2"/>
      <c r="N314" s="19">
        <f t="shared" si="161"/>
        <v>0</v>
      </c>
      <c r="O314" s="11"/>
      <c r="P314" s="2">
        <f>-104.76</f>
        <v>-104.76</v>
      </c>
      <c r="Q314" s="2"/>
      <c r="R314" s="19">
        <f t="shared" si="162"/>
        <v>-3.8034171835813539E-6</v>
      </c>
      <c r="S314" s="2"/>
      <c r="T314" s="2">
        <f>-240.2</f>
        <v>-240.2</v>
      </c>
      <c r="U314" s="2"/>
      <c r="V314" s="19">
        <f t="shared" si="163"/>
        <v>-7.4410414586456854E-6</v>
      </c>
      <c r="W314" s="2"/>
      <c r="X314" s="2">
        <f t="shared" si="164"/>
        <v>135.44</v>
      </c>
      <c r="Y314" s="2"/>
      <c r="Z314" s="19">
        <f t="shared" si="165"/>
        <v>-0.56386344712739389</v>
      </c>
    </row>
    <row r="315" spans="1:26" s="24" customFormat="1" hidden="1" outlineLevel="1" x14ac:dyDescent="0.25">
      <c r="A315" s="44"/>
      <c r="B315" s="11" t="str">
        <f>CONCATENATE("          ", "9150", " - ", "MISC. INCOME")</f>
        <v xml:space="preserve">          9150 - MISC. INCOME</v>
      </c>
      <c r="C315" s="11"/>
      <c r="D315" s="2">
        <f>--65434.37</f>
        <v>65434.37</v>
      </c>
      <c r="E315" s="2"/>
      <c r="F315" s="19">
        <f t="shared" si="158"/>
        <v>0.13133950280670012</v>
      </c>
      <c r="G315" s="2"/>
      <c r="H315" s="2">
        <f>--107910.65</f>
        <v>107910.65</v>
      </c>
      <c r="I315" s="2"/>
      <c r="J315" s="19">
        <f t="shared" si="159"/>
        <v>3.1490311159928057E-2</v>
      </c>
      <c r="K315" s="2"/>
      <c r="L315" s="2">
        <f t="shared" si="160"/>
        <v>-42476.279999999992</v>
      </c>
      <c r="M315" s="2"/>
      <c r="N315" s="19">
        <f t="shared" si="161"/>
        <v>-0.39362454030255578</v>
      </c>
      <c r="O315" s="11"/>
      <c r="P315" s="2">
        <f>--767735.66</f>
        <v>767735.66</v>
      </c>
      <c r="Q315" s="2"/>
      <c r="R315" s="19">
        <f t="shared" si="162"/>
        <v>2.7873415441887858E-2</v>
      </c>
      <c r="S315" s="2"/>
      <c r="T315" s="2">
        <f>--916160.1</f>
        <v>916160.1</v>
      </c>
      <c r="U315" s="2"/>
      <c r="V315" s="19">
        <f t="shared" si="163"/>
        <v>2.8381287622218889E-2</v>
      </c>
      <c r="W315" s="2"/>
      <c r="X315" s="2">
        <f t="shared" si="164"/>
        <v>-148424.43999999994</v>
      </c>
      <c r="Y315" s="2"/>
      <c r="Z315" s="19">
        <f t="shared" si="165"/>
        <v>-0.16200709897756949</v>
      </c>
    </row>
    <row r="316" spans="1:26" s="24" customFormat="1" hidden="1" outlineLevel="1" x14ac:dyDescent="0.25">
      <c r="A316" s="44"/>
      <c r="B316" s="11" t="str">
        <f>CONCATENATE("          ", "9151", " - ", "MISC. INCOME")</f>
        <v xml:space="preserve">          9151 - MISC. INCOME</v>
      </c>
      <c r="C316" s="11"/>
      <c r="D316" s="2">
        <f>0</f>
        <v>0</v>
      </c>
      <c r="E316" s="2"/>
      <c r="F316" s="19">
        <f t="shared" si="158"/>
        <v>0</v>
      </c>
      <c r="G316" s="2"/>
      <c r="H316" s="2">
        <f>-30066.2</f>
        <v>-30066.2</v>
      </c>
      <c r="I316" s="2"/>
      <c r="J316" s="19">
        <f t="shared" si="159"/>
        <v>-8.773869802439601E-3</v>
      </c>
      <c r="K316" s="2"/>
      <c r="L316" s="2">
        <f t="shared" si="160"/>
        <v>30066.2</v>
      </c>
      <c r="M316" s="2"/>
      <c r="N316" s="19">
        <f t="shared" si="161"/>
        <v>-1</v>
      </c>
      <c r="O316" s="11"/>
      <c r="P316" s="2">
        <f>--169392.7</f>
        <v>169392.7</v>
      </c>
      <c r="Q316" s="2"/>
      <c r="R316" s="19">
        <f t="shared" si="162"/>
        <v>6.1499723745059298E-3</v>
      </c>
      <c r="S316" s="2"/>
      <c r="T316" s="2">
        <f>-33295.53</f>
        <v>-33295.53</v>
      </c>
      <c r="U316" s="2"/>
      <c r="V316" s="19">
        <f t="shared" si="163"/>
        <v>-1.0314463743446344E-3</v>
      </c>
      <c r="W316" s="2"/>
      <c r="X316" s="2">
        <f t="shared" si="164"/>
        <v>202688.23</v>
      </c>
      <c r="Y316" s="2"/>
      <c r="Z316" s="19">
        <f t="shared" si="165"/>
        <v>-6.0875507913524736</v>
      </c>
    </row>
    <row r="317" spans="1:26" s="24" customFormat="1" hidden="1" outlineLevel="1" x14ac:dyDescent="0.25">
      <c r="A317" s="44"/>
      <c r="B317" s="11" t="str">
        <f>CONCATENATE("          ", "9152", " - ", "MISC. INCOME")</f>
        <v xml:space="preserve">          9152 - MISC. INCOME</v>
      </c>
      <c r="C317" s="11"/>
      <c r="D317" s="2">
        <f>--82.19</f>
        <v>82.19</v>
      </c>
      <c r="E317" s="2"/>
      <c r="F317" s="19">
        <f t="shared" si="158"/>
        <v>1.649713099657364E-4</v>
      </c>
      <c r="G317" s="2"/>
      <c r="H317" s="2">
        <f>--111</f>
        <v>111</v>
      </c>
      <c r="I317" s="2"/>
      <c r="J317" s="19">
        <f t="shared" si="159"/>
        <v>3.2391840274820084E-5</v>
      </c>
      <c r="K317" s="2"/>
      <c r="L317" s="2">
        <f t="shared" si="160"/>
        <v>-28.810000000000002</v>
      </c>
      <c r="M317" s="2"/>
      <c r="N317" s="19">
        <f t="shared" si="161"/>
        <v>-0.25954954954954956</v>
      </c>
      <c r="O317" s="11"/>
      <c r="P317" s="2">
        <f>--4782.05</f>
        <v>4782.05</v>
      </c>
      <c r="Q317" s="2"/>
      <c r="R317" s="19">
        <f t="shared" si="162"/>
        <v>1.7361713576503641E-4</v>
      </c>
      <c r="S317" s="2"/>
      <c r="T317" s="2">
        <f>--10696.89</f>
        <v>10696.89</v>
      </c>
      <c r="U317" s="2"/>
      <c r="V317" s="19">
        <f t="shared" si="163"/>
        <v>3.3137386331628829E-4</v>
      </c>
      <c r="W317" s="2"/>
      <c r="X317" s="2">
        <f t="shared" si="164"/>
        <v>-5914.8399999999992</v>
      </c>
      <c r="Y317" s="2"/>
      <c r="Z317" s="19">
        <f t="shared" si="165"/>
        <v>-0.55294950214501593</v>
      </c>
    </row>
    <row r="318" spans="1:26" s="24" customFormat="1" hidden="1" outlineLevel="1" x14ac:dyDescent="0.25">
      <c r="A318" s="44"/>
      <c r="B318" s="11" t="str">
        <f>CONCATENATE("          ", "9153", " - ", "MISC. INCOME")</f>
        <v xml:space="preserve">          9153 - MISC. INCOME</v>
      </c>
      <c r="C318" s="11"/>
      <c r="D318" s="2">
        <f t="shared" ref="D318:D319" si="168">0</f>
        <v>0</v>
      </c>
      <c r="E318" s="2"/>
      <c r="F318" s="19">
        <f t="shared" si="158"/>
        <v>0</v>
      </c>
      <c r="G318" s="2"/>
      <c r="H318" s="2">
        <f>0</f>
        <v>0</v>
      </c>
      <c r="I318" s="2"/>
      <c r="J318" s="19">
        <f t="shared" si="159"/>
        <v>0</v>
      </c>
      <c r="K318" s="2"/>
      <c r="L318" s="2">
        <f t="shared" si="160"/>
        <v>0</v>
      </c>
      <c r="M318" s="2"/>
      <c r="N318" s="19">
        <f t="shared" si="161"/>
        <v>0</v>
      </c>
      <c r="O318" s="11"/>
      <c r="P318" s="2">
        <f>--450</f>
        <v>450</v>
      </c>
      <c r="Q318" s="2"/>
      <c r="R318" s="19">
        <f t="shared" si="162"/>
        <v>1.6337702678614063E-5</v>
      </c>
      <c r="S318" s="2"/>
      <c r="T318" s="2">
        <f>--180</f>
        <v>180</v>
      </c>
      <c r="U318" s="2"/>
      <c r="V318" s="19">
        <f t="shared" si="163"/>
        <v>5.576134315388107E-6</v>
      </c>
      <c r="W318" s="2"/>
      <c r="X318" s="2">
        <f t="shared" si="164"/>
        <v>270</v>
      </c>
      <c r="Y318" s="2"/>
      <c r="Z318" s="19">
        <f t="shared" si="165"/>
        <v>1.5</v>
      </c>
    </row>
    <row r="319" spans="1:26" s="24" customFormat="1" hidden="1" outlineLevel="1" x14ac:dyDescent="0.25">
      <c r="A319" s="44"/>
      <c r="B319" s="11" t="str">
        <f>CONCATENATE("          ", "9160", " - ", "MISC. INCOME")</f>
        <v xml:space="preserve">          9160 - MISC. INCOME</v>
      </c>
      <c r="C319" s="11"/>
      <c r="D319" s="2">
        <f t="shared" si="168"/>
        <v>0</v>
      </c>
      <c r="E319" s="2"/>
      <c r="F319" s="19">
        <f t="shared" si="158"/>
        <v>0</v>
      </c>
      <c r="G319" s="2"/>
      <c r="H319" s="2">
        <f>--9962.34</f>
        <v>9962.34</v>
      </c>
      <c r="I319" s="2"/>
      <c r="J319" s="19">
        <f t="shared" si="159"/>
        <v>2.9071939283193795E-3</v>
      </c>
      <c r="K319" s="2"/>
      <c r="L319" s="2">
        <f t="shared" si="160"/>
        <v>-9962.34</v>
      </c>
      <c r="M319" s="2"/>
      <c r="N319" s="19">
        <f t="shared" si="161"/>
        <v>-1</v>
      </c>
      <c r="O319" s="11"/>
      <c r="P319" s="2">
        <f>--152564.32</f>
        <v>152564.32</v>
      </c>
      <c r="Q319" s="2"/>
      <c r="R319" s="19">
        <f t="shared" si="162"/>
        <v>5.5390011100554066E-3</v>
      </c>
      <c r="S319" s="2"/>
      <c r="T319" s="2">
        <f>--127619.91</f>
        <v>127619.91</v>
      </c>
      <c r="U319" s="2"/>
      <c r="V319" s="19">
        <f t="shared" si="163"/>
        <v>3.9534764415430105E-3</v>
      </c>
      <c r="W319" s="2"/>
      <c r="X319" s="2">
        <f t="shared" si="164"/>
        <v>24944.410000000003</v>
      </c>
      <c r="Y319" s="2"/>
      <c r="Z319" s="19">
        <f t="shared" si="165"/>
        <v>0.19545860830022527</v>
      </c>
    </row>
    <row r="320" spans="1:26" s="24" customFormat="1" hidden="1" outlineLevel="1" x14ac:dyDescent="0.25">
      <c r="A320" s="44"/>
      <c r="B320" s="11" t="str">
        <f>CONCATENATE("          ", "9163", " - ", "MISC. INCOME")</f>
        <v xml:space="preserve">          9163 - MISC. INCOME</v>
      </c>
      <c r="C320" s="11"/>
      <c r="D320" s="2">
        <f>--345960.62</f>
        <v>345960.62</v>
      </c>
      <c r="E320" s="2"/>
      <c r="F320" s="19">
        <f t="shared" si="158"/>
        <v>0.69441022847011002</v>
      </c>
      <c r="G320" s="2"/>
      <c r="H320" s="2">
        <f>-15000</f>
        <v>-15000</v>
      </c>
      <c r="I320" s="2"/>
      <c r="J320" s="19">
        <f t="shared" si="159"/>
        <v>-4.3772757128135251E-3</v>
      </c>
      <c r="K320" s="2"/>
      <c r="L320" s="2">
        <f t="shared" si="160"/>
        <v>360960.62</v>
      </c>
      <c r="M320" s="2"/>
      <c r="N320" s="19">
        <f t="shared" si="161"/>
        <v>-24.064041333333332</v>
      </c>
      <c r="O320" s="11"/>
      <c r="P320" s="2">
        <f>--430400.5</f>
        <v>430400.5</v>
      </c>
      <c r="Q320" s="2"/>
      <c r="R320" s="19">
        <f t="shared" si="162"/>
        <v>1.5626123114948515E-2</v>
      </c>
      <c r="S320" s="2"/>
      <c r="T320" s="2">
        <f>--68330.75</f>
        <v>68330.75</v>
      </c>
      <c r="U320" s="2"/>
      <c r="V320" s="19">
        <f t="shared" si="163"/>
        <v>2.1167857770622552E-3</v>
      </c>
      <c r="W320" s="2"/>
      <c r="X320" s="2">
        <f t="shared" si="164"/>
        <v>362069.75</v>
      </c>
      <c r="Y320" s="2"/>
      <c r="Z320" s="19">
        <f t="shared" si="165"/>
        <v>5.2987820271254158</v>
      </c>
    </row>
    <row r="321" spans="1:26" s="24" customFormat="1" hidden="1" outlineLevel="1" x14ac:dyDescent="0.25">
      <c r="A321" s="44"/>
      <c r="B321" s="11" t="str">
        <f>CONCATENATE("          ", "9165", " - ", "OTHER INCOME")</f>
        <v xml:space="preserve">          9165 - OTHER INCOME</v>
      </c>
      <c r="C321" s="11"/>
      <c r="D321" s="2">
        <f>--3632.85</f>
        <v>3632.85</v>
      </c>
      <c r="E321" s="2"/>
      <c r="F321" s="19">
        <f t="shared" si="158"/>
        <v>7.2918362745957596E-3</v>
      </c>
      <c r="G321" s="2"/>
      <c r="H321" s="2">
        <f>--4839.2</f>
        <v>4839.2</v>
      </c>
      <c r="I321" s="2"/>
      <c r="J321" s="19">
        <f t="shared" si="159"/>
        <v>1.412167508629814E-3</v>
      </c>
      <c r="K321" s="2"/>
      <c r="L321" s="2">
        <f t="shared" si="160"/>
        <v>-1206.3499999999999</v>
      </c>
      <c r="M321" s="2"/>
      <c r="N321" s="19">
        <f t="shared" si="161"/>
        <v>-0.24928707224334601</v>
      </c>
      <c r="O321" s="11"/>
      <c r="P321" s="2">
        <f>--236500.13</f>
        <v>236500.13</v>
      </c>
      <c r="Q321" s="2"/>
      <c r="R321" s="19">
        <f t="shared" si="162"/>
        <v>8.5863751275412764E-3</v>
      </c>
      <c r="S321" s="2"/>
      <c r="T321" s="2">
        <f>--240189.26</f>
        <v>240189.26</v>
      </c>
      <c r="U321" s="2"/>
      <c r="V321" s="19">
        <f t="shared" si="163"/>
        <v>7.4407087492982006E-3</v>
      </c>
      <c r="W321" s="2"/>
      <c r="X321" s="2">
        <f t="shared" si="164"/>
        <v>-3689.1300000000047</v>
      </c>
      <c r="Y321" s="2"/>
      <c r="Z321" s="19">
        <f t="shared" si="165"/>
        <v>-1.5359262941232278E-2</v>
      </c>
    </row>
    <row r="322" spans="1:26" x14ac:dyDescent="0.25">
      <c r="A322" s="9"/>
      <c r="B322" s="10"/>
      <c r="C322" s="10"/>
      <c r="D322" s="3"/>
      <c r="E322" s="3"/>
      <c r="F322" s="8"/>
      <c r="G322" s="3"/>
      <c r="H322" s="3"/>
      <c r="I322" s="3"/>
      <c r="J322" s="8"/>
      <c r="K322" s="3"/>
      <c r="L322" s="3"/>
      <c r="M322" s="3"/>
      <c r="N322" s="8"/>
      <c r="O322" s="10"/>
      <c r="P322" s="3"/>
      <c r="Q322" s="3"/>
      <c r="R322" s="8"/>
      <c r="S322" s="3"/>
      <c r="T322" s="3"/>
      <c r="U322" s="3"/>
      <c r="V322" s="8"/>
      <c r="W322" s="3"/>
      <c r="X322" s="3"/>
      <c r="Y322" s="3"/>
      <c r="Z322" s="8"/>
    </row>
    <row r="323" spans="1:26" s="23" customFormat="1" x14ac:dyDescent="0.25">
      <c r="A323" s="10"/>
      <c r="B323" s="28" t="s">
        <v>3</v>
      </c>
      <c r="C323" s="28"/>
      <c r="D323" s="21">
        <f>+D209-D211+D308</f>
        <v>-140080.57999999996</v>
      </c>
      <c r="E323" s="14"/>
      <c r="F323" s="20">
        <f>IF(D$12=0,0,D323/D$12)</f>
        <v>-0.28116895952500459</v>
      </c>
      <c r="G323" s="14"/>
      <c r="H323" s="21">
        <f>+H209-H211+H308</f>
        <v>890232.05999999866</v>
      </c>
      <c r="I323" s="14"/>
      <c r="J323" s="20">
        <f>IF(H$12=0,0,H323/H$12)</f>
        <v>0.2597860783337298</v>
      </c>
      <c r="K323" s="15"/>
      <c r="L323" s="21">
        <f>+D323-H323</f>
        <v>-1030312.6399999986</v>
      </c>
      <c r="M323" s="15"/>
      <c r="N323" s="20">
        <f>IF(H323=0,0,L323/H323)</f>
        <v>-1.1573528816744705</v>
      </c>
      <c r="O323" s="29"/>
      <c r="P323" s="21">
        <f>+P209-P211+P308</f>
        <v>2741062.309999994</v>
      </c>
      <c r="Q323" s="14"/>
      <c r="R323" s="20">
        <f>IF(P$12=0,0,P323/P$12)</f>
        <v>9.9517024542966556E-2</v>
      </c>
      <c r="S323" s="14"/>
      <c r="T323" s="21">
        <f>+T209-T211+T308</f>
        <v>5405028.2399999956</v>
      </c>
      <c r="U323" s="14"/>
      <c r="V323" s="20">
        <f>IF(T$12=0,0,T323/T$12)</f>
        <v>0.16743979691503202</v>
      </c>
      <c r="W323" s="15"/>
      <c r="X323" s="21">
        <f>+P323-T323</f>
        <v>-2663965.9300000016</v>
      </c>
      <c r="Y323" s="15"/>
      <c r="Z323" s="20">
        <f>IF(T323=0,0,X323/T323)</f>
        <v>-0.4928680872165071</v>
      </c>
    </row>
    <row r="324" spans="1:26" x14ac:dyDescent="0.25">
      <c r="A324" s="9"/>
      <c r="B324" s="10"/>
      <c r="C324" s="9"/>
      <c r="D324" s="3"/>
      <c r="E324" s="3"/>
      <c r="F324" s="8"/>
      <c r="G324" s="3"/>
      <c r="H324" s="3"/>
      <c r="I324" s="3"/>
      <c r="J324" s="8"/>
      <c r="K324" s="3"/>
      <c r="L324" s="3"/>
      <c r="M324" s="3"/>
      <c r="N324" s="8"/>
      <c r="P324" s="3"/>
      <c r="Q324" s="3"/>
      <c r="R324" s="8"/>
      <c r="S324" s="3"/>
      <c r="T324" s="3"/>
      <c r="U324" s="3"/>
      <c r="V324" s="8"/>
      <c r="W324" s="3"/>
      <c r="X324" s="3"/>
      <c r="Y324" s="3"/>
      <c r="Z324" s="8"/>
    </row>
    <row r="325" spans="1:26" s="23" customFormat="1" x14ac:dyDescent="0.25">
      <c r="A325" s="51"/>
      <c r="B325" s="10" t="s">
        <v>13</v>
      </c>
      <c r="C325" s="10"/>
      <c r="D325" s="4">
        <v>229399.66</v>
      </c>
      <c r="E325" s="4"/>
      <c r="F325" s="12">
        <f>IF(D$12=0,0,D325/D$12)</f>
        <v>0.46044971913729826</v>
      </c>
      <c r="G325" s="4"/>
      <c r="H325" s="4">
        <v>384697</v>
      </c>
      <c r="I325" s="4"/>
      <c r="J325" s="12">
        <f>IF(H$12=0,0,H325/H$12)</f>
        <v>0.11226165565948165</v>
      </c>
      <c r="K325" s="4"/>
      <c r="L325" s="4">
        <f>+D325-H325</f>
        <v>-155297.34</v>
      </c>
      <c r="M325" s="4"/>
      <c r="N325" s="12">
        <f>IF(H325=0,0,L325/H325)</f>
        <v>-0.40368742152915149</v>
      </c>
      <c r="O325" s="10"/>
      <c r="P325" s="4">
        <v>3127384.56</v>
      </c>
      <c r="Q325" s="4"/>
      <c r="R325" s="12">
        <f>IF(P$12=0,0,P325/P$12)</f>
        <v>0.11354284245104058</v>
      </c>
      <c r="S325" s="4"/>
      <c r="T325" s="4">
        <v>3355826.5</v>
      </c>
      <c r="U325" s="4"/>
      <c r="V325" s="12">
        <f>IF(T$12=0,0,T325/T$12)</f>
        <v>0.10395855168410427</v>
      </c>
      <c r="W325" s="4"/>
      <c r="X325" s="4">
        <f>+P325-T325</f>
        <v>-228441.93999999994</v>
      </c>
      <c r="Y325" s="4"/>
      <c r="Z325" s="12">
        <f>IF(T325=0,0,X325/T325)</f>
        <v>-6.8073227266069902E-2</v>
      </c>
    </row>
    <row r="326" spans="1:26" x14ac:dyDescent="0.25">
      <c r="A326" s="9"/>
      <c r="B326" s="10"/>
      <c r="C326" s="10"/>
      <c r="D326" s="3"/>
      <c r="E326" s="3"/>
      <c r="F326" s="8"/>
      <c r="G326" s="3"/>
      <c r="H326" s="3"/>
      <c r="I326" s="3"/>
      <c r="J326" s="8"/>
      <c r="K326" s="3"/>
      <c r="L326" s="3"/>
      <c r="M326" s="3"/>
      <c r="N326" s="8"/>
      <c r="O326" s="10"/>
      <c r="P326" s="3"/>
      <c r="Q326" s="3"/>
      <c r="R326" s="8"/>
      <c r="S326" s="3"/>
      <c r="T326" s="3"/>
      <c r="U326" s="3"/>
      <c r="V326" s="8"/>
      <c r="W326" s="3"/>
      <c r="X326" s="3"/>
      <c r="Y326" s="3"/>
      <c r="Z326" s="8"/>
    </row>
    <row r="327" spans="1:26" s="23" customFormat="1" ht="15.75" thickBot="1" x14ac:dyDescent="0.3">
      <c r="A327" s="10"/>
      <c r="B327" s="28" t="s">
        <v>4</v>
      </c>
      <c r="C327" s="28"/>
      <c r="D327" s="30">
        <f>+D323-D325</f>
        <v>-369480.24</v>
      </c>
      <c r="E327" s="14"/>
      <c r="F327" s="36">
        <f>IF(D$12=0,0,D327/D$12)</f>
        <v>-0.74161867866230291</v>
      </c>
      <c r="G327" s="14"/>
      <c r="H327" s="30">
        <f>+H323-H325</f>
        <v>505535.05999999866</v>
      </c>
      <c r="I327" s="14"/>
      <c r="J327" s="36">
        <f>IF(H$12=0,0,H327/H$12)</f>
        <v>0.14752442267424815</v>
      </c>
      <c r="K327" s="15"/>
      <c r="L327" s="30">
        <f>D327-H327</f>
        <v>-875015.29999999865</v>
      </c>
      <c r="M327" s="15"/>
      <c r="N327" s="36">
        <f>IF(H327=0,0,L327/H327)</f>
        <v>-1.7308696651029525</v>
      </c>
      <c r="O327" s="29"/>
      <c r="P327" s="30">
        <f>+P323-P325</f>
        <v>-386322.25000000605</v>
      </c>
      <c r="Q327" s="14"/>
      <c r="R327" s="36">
        <f>IF(P$12=0,0,P327/P$12)</f>
        <v>-1.4025817908074023E-2</v>
      </c>
      <c r="S327" s="14"/>
      <c r="T327" s="30">
        <f>+T323-T325</f>
        <v>2049201.7399999956</v>
      </c>
      <c r="U327" s="14"/>
      <c r="V327" s="36">
        <f>IF(T$12=0,0,T327/T$12)</f>
        <v>6.3481245230927741E-2</v>
      </c>
      <c r="W327" s="15"/>
      <c r="X327" s="30">
        <f>P327-T327</f>
        <v>-2435523.9900000016</v>
      </c>
      <c r="Y327" s="15"/>
      <c r="Z327" s="36">
        <f>IF(T327=0,0,X327/T327)</f>
        <v>-1.1885232880975432</v>
      </c>
    </row>
    <row r="328" spans="1:26" ht="15.75" thickTop="1" x14ac:dyDescent="0.25">
      <c r="A328" s="9"/>
      <c r="B328" s="9"/>
      <c r="C328" s="9"/>
      <c r="D328" s="3"/>
      <c r="E328" s="3"/>
      <c r="F328" s="8"/>
      <c r="G328" s="3"/>
      <c r="H328" s="3"/>
      <c r="I328" s="3"/>
      <c r="J328" s="8"/>
      <c r="K328" s="3"/>
      <c r="L328" s="3"/>
      <c r="M328" s="3"/>
      <c r="N328" s="8"/>
      <c r="P328" s="3"/>
      <c r="Q328" s="3"/>
      <c r="R328" s="8"/>
      <c r="S328" s="3"/>
      <c r="T328" s="3"/>
      <c r="U328" s="3"/>
      <c r="V328" s="8"/>
      <c r="W328" s="3"/>
      <c r="X328" s="3"/>
      <c r="Y328" s="3"/>
      <c r="Z328" s="8"/>
    </row>
    <row r="329" spans="1:26" s="23" customFormat="1" x14ac:dyDescent="0.25">
      <c r="A329" s="51"/>
      <c r="B329" s="10" t="s">
        <v>2</v>
      </c>
      <c r="C329" s="10"/>
      <c r="D329" s="4">
        <f>--605154.18</f>
        <v>605154.18000000005</v>
      </c>
      <c r="E329" s="4"/>
      <c r="F329" s="12">
        <f t="shared" ref="F329:F330" si="169">IF(D$12=0,0,D329/D$12)</f>
        <v>1.2146620976498486</v>
      </c>
      <c r="G329" s="4"/>
      <c r="H329" s="4">
        <f>--356014.34</f>
        <v>356014.34</v>
      </c>
      <c r="I329" s="4"/>
      <c r="J329" s="12">
        <f t="shared" ref="J329:J330" si="170">IF(H$12=0,0,H329/H$12)</f>
        <v>0.10389152825968911</v>
      </c>
      <c r="K329" s="4"/>
      <c r="L329" s="4">
        <f t="shared" ref="L329:L330" si="171">+D329-H329</f>
        <v>249139.84000000003</v>
      </c>
      <c r="M329" s="4"/>
      <c r="N329" s="12">
        <f t="shared" ref="N329:N330" si="172">IF(H329=0,0,L329/H329)</f>
        <v>0.69980282254922654</v>
      </c>
      <c r="O329" s="10"/>
      <c r="P329" s="4">
        <f>-861387.27</f>
        <v>-861387.27</v>
      </c>
      <c r="Q329" s="4"/>
      <c r="R329" s="12">
        <f t="shared" ref="R329:R330" si="173">IF(P$12=0,0,P329/P$12)</f>
        <v>-3.1273531352006792E-2</v>
      </c>
      <c r="S329" s="4"/>
      <c r="T329" s="4">
        <f>-1331.75</f>
        <v>-1331.75</v>
      </c>
      <c r="U329" s="4"/>
      <c r="V329" s="12">
        <f t="shared" ref="V329:V330" si="174">IF(T$12=0,0,T329/T$12)</f>
        <v>-4.1255649302878402E-5</v>
      </c>
      <c r="W329" s="4"/>
      <c r="X329" s="4">
        <f t="shared" ref="X329:X330" si="175">+P329-T329</f>
        <v>-860055.52</v>
      </c>
      <c r="Y329" s="4"/>
      <c r="Z329" s="12">
        <f t="shared" ref="Z329:Z330" si="176">IF(T329=0,0,X329/T329)</f>
        <v>645.80853763844561</v>
      </c>
    </row>
    <row r="330" spans="1:26" s="23" customFormat="1" x14ac:dyDescent="0.25">
      <c r="A330" s="51"/>
      <c r="B330" s="10" t="s">
        <v>1</v>
      </c>
      <c r="C330" s="10"/>
      <c r="D330" s="4">
        <f>--14109.6</f>
        <v>14109.6</v>
      </c>
      <c r="E330" s="4"/>
      <c r="F330" s="12">
        <f t="shared" si="169"/>
        <v>2.8320710489020007E-2</v>
      </c>
      <c r="G330" s="4"/>
      <c r="H330" s="4">
        <f>--15093.77</f>
        <v>15093.77</v>
      </c>
      <c r="I330" s="4"/>
      <c r="J330" s="12">
        <f t="shared" si="170"/>
        <v>4.4046395223862273E-3</v>
      </c>
      <c r="K330" s="4"/>
      <c r="L330" s="4">
        <f t="shared" si="171"/>
        <v>-984.17000000000007</v>
      </c>
      <c r="M330" s="4"/>
      <c r="N330" s="12">
        <f t="shared" si="172"/>
        <v>-6.5203723125501448E-2</v>
      </c>
      <c r="O330" s="10"/>
      <c r="P330" s="4">
        <f>--243670.73</f>
        <v>243670.73</v>
      </c>
      <c r="Q330" s="4"/>
      <c r="R330" s="12">
        <f t="shared" si="173"/>
        <v>8.8467109738240984E-3</v>
      </c>
      <c r="S330" s="4"/>
      <c r="T330" s="4">
        <f>--389906.39</f>
        <v>389906.39</v>
      </c>
      <c r="U330" s="4"/>
      <c r="V330" s="12">
        <f t="shared" si="174"/>
        <v>1.2078724450378324E-2</v>
      </c>
      <c r="W330" s="4"/>
      <c r="X330" s="4">
        <f t="shared" si="175"/>
        <v>-146235.66</v>
      </c>
      <c r="Y330" s="4"/>
      <c r="Z330" s="12">
        <f t="shared" si="176"/>
        <v>-0.37505325316674087</v>
      </c>
    </row>
    <row r="331" spans="1:26" x14ac:dyDescent="0.25">
      <c r="A331" s="9"/>
      <c r="B331" s="9"/>
      <c r="C331" s="9"/>
      <c r="D331" s="3"/>
      <c r="E331" s="3"/>
      <c r="F331" s="8"/>
      <c r="G331" s="3"/>
      <c r="H331" s="3"/>
      <c r="I331" s="3"/>
      <c r="J331" s="8"/>
      <c r="K331" s="3"/>
      <c r="L331" s="3"/>
      <c r="M331" s="3"/>
      <c r="N331" s="8"/>
      <c r="P331" s="3"/>
      <c r="Q331" s="3"/>
      <c r="R331" s="8"/>
      <c r="S331" s="3"/>
      <c r="T331" s="3"/>
      <c r="U331" s="3"/>
      <c r="V331" s="8"/>
      <c r="W331" s="3"/>
      <c r="X331" s="3"/>
      <c r="Y331" s="3"/>
      <c r="Z331" s="8"/>
    </row>
    <row r="332" spans="1:26" s="23" customFormat="1" ht="15.75" thickBot="1" x14ac:dyDescent="0.3">
      <c r="A332" s="10"/>
      <c r="B332" s="28" t="s">
        <v>5</v>
      </c>
      <c r="C332" s="28"/>
      <c r="D332" s="31">
        <f>SUM(D327:D331)</f>
        <v>249783.54000000007</v>
      </c>
      <c r="E332" s="14"/>
      <c r="F332" s="32">
        <f>IF(D$12=0,0,D332/D$12)</f>
        <v>0.50136412947656561</v>
      </c>
      <c r="G332" s="14"/>
      <c r="H332" s="31">
        <f>SUM(H327:H331)</f>
        <v>876643.16999999876</v>
      </c>
      <c r="I332" s="14"/>
      <c r="J332" s="32">
        <f>IF(H$12=0,0,H332/H$12)</f>
        <v>0.25582059045632355</v>
      </c>
      <c r="K332" s="15"/>
      <c r="L332" s="31">
        <f>+D332-H332</f>
        <v>-626859.62999999872</v>
      </c>
      <c r="M332" s="15"/>
      <c r="N332" s="32">
        <f>IF(H332=0,0,L332/H332)</f>
        <v>-0.71506817306293458</v>
      </c>
      <c r="O332" s="29"/>
      <c r="P332" s="31">
        <f>SUM(P327:P331)</f>
        <v>-1004038.7900000061</v>
      </c>
      <c r="Q332" s="14"/>
      <c r="R332" s="32">
        <f>IF(P$12=0,0,P332/P$12)</f>
        <v>-3.6452638286256715E-2</v>
      </c>
      <c r="S332" s="14"/>
      <c r="T332" s="31">
        <f>SUM(T327:T331)</f>
        <v>2437776.3799999957</v>
      </c>
      <c r="U332" s="14"/>
      <c r="V332" s="32">
        <f>IF(T$12=0,0,T332/T$12)</f>
        <v>7.5518714032003192E-2</v>
      </c>
      <c r="W332" s="15"/>
      <c r="X332" s="31">
        <f>+P332-T332</f>
        <v>-3441815.1700000018</v>
      </c>
      <c r="Y332" s="15"/>
      <c r="Z332" s="32">
        <f>IF(T332=0,0,X332/T332)</f>
        <v>-1.4118666495570886</v>
      </c>
    </row>
    <row r="333" spans="1:26" ht="15.75" thickTop="1" x14ac:dyDescent="0.25">
      <c r="A333" s="9"/>
      <c r="C333" s="9"/>
      <c r="D333" s="17"/>
      <c r="E333" s="17"/>
      <c r="G333" s="17"/>
      <c r="H333" s="17"/>
      <c r="I333" s="17"/>
      <c r="J333" s="43"/>
      <c r="K333" s="17"/>
      <c r="L333" s="17"/>
      <c r="M333" s="17"/>
      <c r="P333" s="17"/>
      <c r="Q333" s="17"/>
      <c r="R333" s="43"/>
      <c r="S333" s="17"/>
      <c r="T333" s="17"/>
      <c r="U333" s="17"/>
      <c r="V333" s="43"/>
      <c r="W333" s="17"/>
      <c r="X333" s="17"/>
    </row>
    <row r="334" spans="1:26" x14ac:dyDescent="0.25">
      <c r="A334" s="9"/>
      <c r="B334" s="54">
        <v>43965.470242280091</v>
      </c>
      <c r="D334" s="17"/>
      <c r="E334" s="17"/>
      <c r="G334" s="17"/>
      <c r="H334" s="17"/>
      <c r="I334" s="17"/>
      <c r="J334" s="43"/>
      <c r="K334" s="17"/>
      <c r="L334" s="17"/>
      <c r="M334" s="17"/>
      <c r="P334" s="17"/>
      <c r="Q334" s="17"/>
      <c r="R334" s="43"/>
      <c r="S334" s="17"/>
      <c r="T334" s="17"/>
      <c r="U334" s="17"/>
      <c r="V334" s="43"/>
      <c r="W334" s="17"/>
      <c r="X334" s="17"/>
    </row>
    <row r="335" spans="1:26" x14ac:dyDescent="0.25">
      <c r="A335" s="9"/>
      <c r="B335" s="59" t="s">
        <v>313</v>
      </c>
      <c r="D335" s="17"/>
      <c r="E335" s="17"/>
      <c r="G335" s="17"/>
      <c r="H335" s="17"/>
      <c r="I335" s="17"/>
      <c r="J335" s="43"/>
      <c r="K335" s="17"/>
      <c r="L335" s="17"/>
      <c r="M335" s="17"/>
      <c r="P335" s="17"/>
      <c r="Q335" s="17"/>
      <c r="R335" s="43"/>
      <c r="S335" s="17"/>
      <c r="T335" s="17"/>
      <c r="U335" s="17"/>
      <c r="V335" s="43"/>
      <c r="W335" s="17"/>
      <c r="X335" s="17"/>
    </row>
    <row r="336" spans="1:26" x14ac:dyDescent="0.25">
      <c r="A336" s="9"/>
      <c r="B336" s="61"/>
      <c r="D336" s="17"/>
      <c r="E336" s="17"/>
      <c r="G336" s="17"/>
      <c r="H336" s="17"/>
      <c r="I336" s="17"/>
      <c r="J336" s="43"/>
      <c r="K336" s="17"/>
      <c r="L336" s="17"/>
      <c r="M336" s="17"/>
      <c r="P336" s="17"/>
      <c r="Q336" s="17"/>
      <c r="R336" s="43"/>
      <c r="S336" s="17"/>
      <c r="T336" s="17"/>
      <c r="U336" s="17"/>
      <c r="V336" s="43"/>
      <c r="W336" s="17"/>
      <c r="X336" s="17"/>
    </row>
    <row r="337" spans="4:24" x14ac:dyDescent="0.25">
      <c r="D337" s="17"/>
      <c r="E337" s="17"/>
      <c r="G337" s="17"/>
      <c r="H337" s="17"/>
      <c r="I337" s="17"/>
      <c r="J337" s="43"/>
      <c r="K337" s="17"/>
      <c r="L337" s="17"/>
      <c r="M337" s="17"/>
      <c r="P337" s="17"/>
      <c r="Q337" s="17"/>
      <c r="R337" s="43"/>
      <c r="S337" s="17"/>
      <c r="T337" s="17"/>
      <c r="U337" s="17"/>
      <c r="V337" s="43"/>
      <c r="W337" s="17"/>
      <c r="X337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","301", " - ", "Bookstore Operations")</f>
        <v>Department 301 - Bookstore Operations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20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-20</v>
      </c>
      <c r="M14" s="4"/>
      <c r="N14" s="12">
        <f t="shared" ref="N14:N15" si="3">IF(H14=0,0,L14/H14)</f>
        <v>-1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20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-20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"5000", " - ", "PURCHASES @ COST")</f>
        <v xml:space="preserve">          5000 - PURCHASES @ COST</v>
      </c>
      <c r="C15" s="11"/>
      <c r="D15" s="2"/>
      <c r="E15" s="2"/>
      <c r="F15" s="19">
        <f t="shared" si="0"/>
        <v>0</v>
      </c>
      <c r="G15" s="2"/>
      <c r="H15" s="2">
        <v>20</v>
      </c>
      <c r="I15" s="2"/>
      <c r="J15" s="19">
        <f t="shared" si="1"/>
        <v>0</v>
      </c>
      <c r="K15" s="2"/>
      <c r="L15" s="2">
        <f t="shared" si="2"/>
        <v>-20</v>
      </c>
      <c r="M15" s="2"/>
      <c r="N15" s="19">
        <f t="shared" si="3"/>
        <v>-1</v>
      </c>
      <c r="O15" s="11"/>
      <c r="P15" s="2"/>
      <c r="Q15" s="2"/>
      <c r="R15" s="19">
        <f t="shared" si="4"/>
        <v>0</v>
      </c>
      <c r="S15" s="2"/>
      <c r="T15" s="2">
        <v>20</v>
      </c>
      <c r="U15" s="2"/>
      <c r="V15" s="19">
        <f t="shared" si="5"/>
        <v>0</v>
      </c>
      <c r="W15" s="2"/>
      <c r="X15" s="2">
        <f t="shared" si="6"/>
        <v>-20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D12-D14</f>
        <v>0</v>
      </c>
      <c r="E17" s="14"/>
      <c r="F17" s="20">
        <f>IF(D$12=0,0,D17/D$12)</f>
        <v>0</v>
      </c>
      <c r="G17" s="14"/>
      <c r="H17" s="21">
        <f>H12-H14</f>
        <v>-20</v>
      </c>
      <c r="I17" s="14"/>
      <c r="J17" s="20">
        <f>IF(H$12=0,0,H17/H$12)</f>
        <v>0</v>
      </c>
      <c r="K17" s="15"/>
      <c r="L17" s="21">
        <f>+D17-H17</f>
        <v>20</v>
      </c>
      <c r="M17" s="15"/>
      <c r="N17" s="20">
        <f>IF(H17=0,0,L17/H17)</f>
        <v>-1</v>
      </c>
      <c r="O17" s="29"/>
      <c r="P17" s="21">
        <f>P12-P14</f>
        <v>0</v>
      </c>
      <c r="Q17" s="14"/>
      <c r="R17" s="20">
        <f>IF(P$12=0,0,P17/P$12)</f>
        <v>0</v>
      </c>
      <c r="S17" s="14"/>
      <c r="T17" s="21">
        <f>T12-T14</f>
        <v>-20</v>
      </c>
      <c r="U17" s="14"/>
      <c r="V17" s="20">
        <f>IF(T$12=0,0,T17/T$12)</f>
        <v>0</v>
      </c>
      <c r="W17" s="15"/>
      <c r="X17" s="21">
        <f>+P17-T17</f>
        <v>20</v>
      </c>
      <c r="Y17" s="15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2">
        <f>SUM(OSRRefD22x_0)</f>
        <v>57532.04</v>
      </c>
      <c r="E19" s="22"/>
      <c r="F19" s="35">
        <f t="shared" ref="F19:F28" si="8">IF(D$12=0,0,D19/D$12)</f>
        <v>0</v>
      </c>
      <c r="G19" s="22"/>
      <c r="H19" s="22">
        <f>SUM(OSRRefH22x_0)</f>
        <v>105990.06999999999</v>
      </c>
      <c r="I19" s="22"/>
      <c r="J19" s="35">
        <f t="shared" ref="J19:J28" si="9">IF(H$12=0,0,H19/H$12)</f>
        <v>0</v>
      </c>
      <c r="K19" s="4"/>
      <c r="L19" s="22">
        <f t="shared" ref="L19:L28" si="10">+D19-H19</f>
        <v>-48458.029999999992</v>
      </c>
      <c r="M19" s="4"/>
      <c r="N19" s="35">
        <f t="shared" ref="N19:N28" si="11">IF(H19=0,0,L19/H19)</f>
        <v>-0.45719405600920909</v>
      </c>
      <c r="O19" s="10"/>
      <c r="P19" s="22">
        <f>SUM(OSRRefP22x_0)</f>
        <v>1154168.8599999999</v>
      </c>
      <c r="Q19" s="22"/>
      <c r="R19" s="35">
        <f t="shared" ref="R19:R28" si="12">IF(P$12=0,0,P19/P$12)</f>
        <v>0</v>
      </c>
      <c r="S19" s="22"/>
      <c r="T19" s="22">
        <f>SUM(OSRRefT22x_0)</f>
        <v>1342850.12</v>
      </c>
      <c r="U19" s="22"/>
      <c r="V19" s="35">
        <f t="shared" ref="V19:V28" si="13">IF(T$12=0,0,T19/T$12)</f>
        <v>0</v>
      </c>
      <c r="W19" s="4"/>
      <c r="X19" s="22">
        <f t="shared" ref="X19:X28" si="14">+P19-T19</f>
        <v>-188681.26000000024</v>
      </c>
      <c r="Y19" s="4"/>
      <c r="Z19" s="35">
        <f t="shared" ref="Z19:Z28" si="15">IF(T19=0,0,X19/T19)</f>
        <v>-0.14050805610383402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2543.85</v>
      </c>
      <c r="E20" s="1"/>
      <c r="F20" s="5">
        <f t="shared" si="8"/>
        <v>0</v>
      </c>
      <c r="G20" s="1"/>
      <c r="H20" s="1">
        <f>SUM(OSRRefH22_0x_0)</f>
        <v>11958.889999999998</v>
      </c>
      <c r="I20" s="1"/>
      <c r="J20" s="5">
        <f t="shared" si="9"/>
        <v>0</v>
      </c>
      <c r="K20" s="1"/>
      <c r="L20" s="1">
        <f t="shared" si="10"/>
        <v>-9415.0399999999972</v>
      </c>
      <c r="M20" s="1"/>
      <c r="N20" s="5">
        <f t="shared" si="11"/>
        <v>-0.78728376964751734</v>
      </c>
      <c r="O20" s="13"/>
      <c r="P20" s="1">
        <f>SUM(OSRRefP22_0x_0)</f>
        <v>93917.180000000008</v>
      </c>
      <c r="Q20" s="1"/>
      <c r="R20" s="5">
        <f t="shared" si="12"/>
        <v>0</v>
      </c>
      <c r="S20" s="1"/>
      <c r="T20" s="1">
        <f>SUM(OSRRefT22_0x_0)</f>
        <v>133507.12</v>
      </c>
      <c r="U20" s="1"/>
      <c r="V20" s="5">
        <f t="shared" si="13"/>
        <v>0</v>
      </c>
      <c r="W20" s="1"/>
      <c r="X20" s="1">
        <f t="shared" si="14"/>
        <v>-39589.939999999988</v>
      </c>
      <c r="Y20" s="1"/>
      <c r="Z20" s="5">
        <f t="shared" si="15"/>
        <v>-0.29653804231564573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431.01</v>
      </c>
      <c r="E21" s="2"/>
      <c r="F21" s="7">
        <f t="shared" si="8"/>
        <v>0</v>
      </c>
      <c r="G21" s="2"/>
      <c r="H21" s="6">
        <v>1758.56</v>
      </c>
      <c r="I21" s="2"/>
      <c r="J21" s="7">
        <f t="shared" si="9"/>
        <v>0</v>
      </c>
      <c r="K21" s="2"/>
      <c r="L21" s="6">
        <f t="shared" si="10"/>
        <v>-1327.55</v>
      </c>
      <c r="M21" s="2"/>
      <c r="N21" s="7">
        <f t="shared" si="11"/>
        <v>-0.7549074242562096</v>
      </c>
      <c r="O21" s="11"/>
      <c r="P21" s="6">
        <v>24353.69</v>
      </c>
      <c r="Q21" s="2"/>
      <c r="R21" s="7">
        <f t="shared" si="12"/>
        <v>0</v>
      </c>
      <c r="S21" s="2"/>
      <c r="T21" s="6">
        <v>22394.66</v>
      </c>
      <c r="U21" s="2"/>
      <c r="V21" s="7">
        <f t="shared" si="13"/>
        <v>0</v>
      </c>
      <c r="W21" s="2"/>
      <c r="X21" s="6">
        <f t="shared" si="14"/>
        <v>1959.0299999999988</v>
      </c>
      <c r="Y21" s="2"/>
      <c r="Z21" s="7">
        <f t="shared" si="15"/>
        <v>8.7477550451759437E-2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12.77</v>
      </c>
      <c r="E22" s="2"/>
      <c r="F22" s="7">
        <f t="shared" si="8"/>
        <v>0</v>
      </c>
      <c r="G22" s="2"/>
      <c r="H22" s="6">
        <v>316.29000000000002</v>
      </c>
      <c r="I22" s="2"/>
      <c r="J22" s="7">
        <f t="shared" si="9"/>
        <v>0</v>
      </c>
      <c r="K22" s="2"/>
      <c r="L22" s="6">
        <f t="shared" si="10"/>
        <v>-303.52000000000004</v>
      </c>
      <c r="M22" s="2"/>
      <c r="N22" s="7">
        <f t="shared" si="11"/>
        <v>-0.9596256599955737</v>
      </c>
      <c r="O22" s="11"/>
      <c r="P22" s="6">
        <v>6233.03</v>
      </c>
      <c r="Q22" s="2"/>
      <c r="R22" s="7">
        <f t="shared" si="12"/>
        <v>0</v>
      </c>
      <c r="S22" s="2"/>
      <c r="T22" s="6">
        <v>3601.28</v>
      </c>
      <c r="U22" s="2"/>
      <c r="V22" s="7">
        <f t="shared" si="13"/>
        <v>0</v>
      </c>
      <c r="W22" s="2"/>
      <c r="X22" s="6">
        <f t="shared" si="14"/>
        <v>2631.7499999999995</v>
      </c>
      <c r="Y22" s="2"/>
      <c r="Z22" s="7">
        <f t="shared" si="15"/>
        <v>0.73078183312599942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905.2</v>
      </c>
      <c r="E23" s="2"/>
      <c r="F23" s="7">
        <f t="shared" si="8"/>
        <v>0</v>
      </c>
      <c r="G23" s="2"/>
      <c r="H23" s="6">
        <v>5428.87</v>
      </c>
      <c r="I23" s="2"/>
      <c r="J23" s="7">
        <f t="shared" si="9"/>
        <v>0</v>
      </c>
      <c r="K23" s="2"/>
      <c r="L23" s="6">
        <f t="shared" si="10"/>
        <v>-4523.67</v>
      </c>
      <c r="M23" s="2"/>
      <c r="N23" s="7">
        <f t="shared" si="11"/>
        <v>-0.83326180217982748</v>
      </c>
      <c r="O23" s="11"/>
      <c r="P23" s="6">
        <v>37884.300000000003</v>
      </c>
      <c r="Q23" s="2"/>
      <c r="R23" s="7">
        <f t="shared" si="12"/>
        <v>0</v>
      </c>
      <c r="S23" s="2"/>
      <c r="T23" s="6">
        <v>56634.18</v>
      </c>
      <c r="U23" s="2"/>
      <c r="V23" s="7">
        <f t="shared" si="13"/>
        <v>0</v>
      </c>
      <c r="W23" s="2"/>
      <c r="X23" s="6">
        <f t="shared" si="14"/>
        <v>-18749.879999999997</v>
      </c>
      <c r="Y23" s="2"/>
      <c r="Z23" s="7">
        <f t="shared" si="15"/>
        <v>-0.3310700357981699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9.77</v>
      </c>
      <c r="E24" s="2"/>
      <c r="F24" s="7">
        <f t="shared" si="8"/>
        <v>0</v>
      </c>
      <c r="G24" s="2"/>
      <c r="H24" s="6">
        <v>101.95</v>
      </c>
      <c r="I24" s="2"/>
      <c r="J24" s="7">
        <f t="shared" si="9"/>
        <v>0</v>
      </c>
      <c r="K24" s="2"/>
      <c r="L24" s="6">
        <f t="shared" si="10"/>
        <v>-92.18</v>
      </c>
      <c r="M24" s="2"/>
      <c r="N24" s="7">
        <f t="shared" si="11"/>
        <v>-0.90416871015203537</v>
      </c>
      <c r="O24" s="11"/>
      <c r="P24" s="6">
        <v>1302.07</v>
      </c>
      <c r="Q24" s="2"/>
      <c r="R24" s="7">
        <f t="shared" si="12"/>
        <v>0</v>
      </c>
      <c r="S24" s="2"/>
      <c r="T24" s="6">
        <v>1306.74</v>
      </c>
      <c r="U24" s="2"/>
      <c r="V24" s="7">
        <f t="shared" si="13"/>
        <v>0</v>
      </c>
      <c r="W24" s="2"/>
      <c r="X24" s="6">
        <f t="shared" si="14"/>
        <v>-4.6700000000000728</v>
      </c>
      <c r="Y24" s="2"/>
      <c r="Z24" s="7">
        <f t="shared" si="15"/>
        <v>-3.5737790226059297E-3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390.79</v>
      </c>
      <c r="E25" s="2"/>
      <c r="F25" s="7">
        <f t="shared" si="8"/>
        <v>0</v>
      </c>
      <c r="G25" s="2"/>
      <c r="H25" s="6">
        <v>1586.43</v>
      </c>
      <c r="I25" s="2"/>
      <c r="J25" s="7">
        <f t="shared" si="9"/>
        <v>0</v>
      </c>
      <c r="K25" s="2"/>
      <c r="L25" s="6">
        <f t="shared" si="10"/>
        <v>-1195.6400000000001</v>
      </c>
      <c r="M25" s="2"/>
      <c r="N25" s="7">
        <f t="shared" si="11"/>
        <v>-0.75366703857087936</v>
      </c>
      <c r="O25" s="11"/>
      <c r="P25" s="6">
        <v>20460.419999999998</v>
      </c>
      <c r="Q25" s="2"/>
      <c r="R25" s="7">
        <f t="shared" si="12"/>
        <v>0</v>
      </c>
      <c r="S25" s="2"/>
      <c r="T25" s="6">
        <v>18958.86</v>
      </c>
      <c r="U25" s="2"/>
      <c r="V25" s="7">
        <f t="shared" si="13"/>
        <v>0</v>
      </c>
      <c r="W25" s="2"/>
      <c r="X25" s="6">
        <f t="shared" si="14"/>
        <v>1501.5599999999977</v>
      </c>
      <c r="Y25" s="2"/>
      <c r="Z25" s="7">
        <f t="shared" si="15"/>
        <v>7.92009646149609E-2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529.79</v>
      </c>
      <c r="E26" s="2"/>
      <c r="F26" s="7">
        <f t="shared" si="8"/>
        <v>0</v>
      </c>
      <c r="G26" s="2"/>
      <c r="H26" s="6">
        <v>1481.18</v>
      </c>
      <c r="I26" s="2"/>
      <c r="J26" s="7">
        <f t="shared" si="9"/>
        <v>0</v>
      </c>
      <c r="K26" s="2"/>
      <c r="L26" s="6">
        <f t="shared" si="10"/>
        <v>-951.3900000000001</v>
      </c>
      <c r="M26" s="2"/>
      <c r="N26" s="7">
        <f t="shared" si="11"/>
        <v>-0.64231896190874849</v>
      </c>
      <c r="O26" s="11"/>
      <c r="P26" s="6">
        <v>15416.52</v>
      </c>
      <c r="Q26" s="2"/>
      <c r="R26" s="7">
        <f t="shared" si="12"/>
        <v>0</v>
      </c>
      <c r="S26" s="2"/>
      <c r="T26" s="6">
        <v>16344.910000000002</v>
      </c>
      <c r="U26" s="2"/>
      <c r="V26" s="7">
        <f t="shared" si="13"/>
        <v>0</v>
      </c>
      <c r="W26" s="2"/>
      <c r="X26" s="6">
        <f t="shared" si="14"/>
        <v>-928.39000000000124</v>
      </c>
      <c r="Y26" s="2"/>
      <c r="Z26" s="7">
        <f t="shared" si="15"/>
        <v>-5.6799945671160083E-2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264.52</v>
      </c>
      <c r="E27" s="2"/>
      <c r="F27" s="7">
        <f t="shared" si="8"/>
        <v>0</v>
      </c>
      <c r="G27" s="2"/>
      <c r="H27" s="6">
        <v>878.31</v>
      </c>
      <c r="I27" s="2"/>
      <c r="J27" s="7">
        <f t="shared" si="9"/>
        <v>0</v>
      </c>
      <c r="K27" s="2"/>
      <c r="L27" s="6">
        <f t="shared" si="10"/>
        <v>-613.79</v>
      </c>
      <c r="M27" s="2"/>
      <c r="N27" s="7">
        <f t="shared" si="11"/>
        <v>-0.69883070897519095</v>
      </c>
      <c r="O27" s="11"/>
      <c r="P27" s="6">
        <v>-14725.46</v>
      </c>
      <c r="Q27" s="2"/>
      <c r="R27" s="7">
        <f t="shared" si="12"/>
        <v>0</v>
      </c>
      <c r="S27" s="2"/>
      <c r="T27" s="6">
        <v>10358.34</v>
      </c>
      <c r="U27" s="2"/>
      <c r="V27" s="7">
        <f t="shared" si="13"/>
        <v>0</v>
      </c>
      <c r="W27" s="2"/>
      <c r="X27" s="6">
        <f t="shared" si="14"/>
        <v>-25083.8</v>
      </c>
      <c r="Y27" s="2"/>
      <c r="Z27" s="7">
        <f t="shared" si="15"/>
        <v>-2.421604233883035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8"/>
        <v>0</v>
      </c>
      <c r="G28" s="2"/>
      <c r="H28" s="6">
        <v>407.3</v>
      </c>
      <c r="I28" s="2"/>
      <c r="J28" s="7">
        <f t="shared" si="9"/>
        <v>0</v>
      </c>
      <c r="K28" s="2"/>
      <c r="L28" s="6">
        <f t="shared" si="10"/>
        <v>-407.3</v>
      </c>
      <c r="M28" s="2"/>
      <c r="N28" s="7">
        <f t="shared" si="11"/>
        <v>-1</v>
      </c>
      <c r="O28" s="11"/>
      <c r="P28" s="6">
        <v>2992.61</v>
      </c>
      <c r="Q28" s="2"/>
      <c r="R28" s="7">
        <f t="shared" si="12"/>
        <v>0</v>
      </c>
      <c r="S28" s="2"/>
      <c r="T28" s="6">
        <v>3908.15</v>
      </c>
      <c r="U28" s="2"/>
      <c r="V28" s="7">
        <f t="shared" si="13"/>
        <v>0</v>
      </c>
      <c r="W28" s="2"/>
      <c r="X28" s="6">
        <f t="shared" si="14"/>
        <v>-915.54</v>
      </c>
      <c r="Y28" s="2"/>
      <c r="Z28" s="7">
        <f t="shared" si="15"/>
        <v>-0.23426429384747258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3823.25</v>
      </c>
      <c r="E29" s="1"/>
      <c r="F29" s="5">
        <f t="shared" ref="F29:F36" si="16">IF(D$12=0,0,D29/D$12)</f>
        <v>0</v>
      </c>
      <c r="G29" s="1"/>
      <c r="H29" s="1">
        <f>SUM(OSRRefH22_1x_0)</f>
        <v>33461.26</v>
      </c>
      <c r="I29" s="1"/>
      <c r="J29" s="5">
        <f t="shared" ref="J29:J36" si="17">IF(H$12=0,0,H29/H$12)</f>
        <v>0</v>
      </c>
      <c r="K29" s="1"/>
      <c r="L29" s="1">
        <f t="shared" ref="L29:L36" si="18">+D29-H29</f>
        <v>-29638.010000000002</v>
      </c>
      <c r="M29" s="1"/>
      <c r="N29" s="5">
        <f t="shared" ref="N29:N36" si="19">IF(H29=0,0,L29/H29)</f>
        <v>-0.88574100317800342</v>
      </c>
      <c r="O29" s="13"/>
      <c r="P29" s="1">
        <f>SUM(OSRRefP22_1x_0)</f>
        <v>385974.94999999995</v>
      </c>
      <c r="Q29" s="1"/>
      <c r="R29" s="5">
        <f t="shared" ref="R29:R36" si="20">IF(P$12=0,0,P29/P$12)</f>
        <v>0</v>
      </c>
      <c r="S29" s="1"/>
      <c r="T29" s="1">
        <f>SUM(OSRRefT22_1x_0)</f>
        <v>430303.86</v>
      </c>
      <c r="U29" s="1"/>
      <c r="V29" s="5">
        <f t="shared" ref="V29:V36" si="21">IF(T$12=0,0,T29/T$12)</f>
        <v>0</v>
      </c>
      <c r="W29" s="1"/>
      <c r="X29" s="1">
        <f t="shared" ref="X29:X36" si="22">+P29-T29</f>
        <v>-44328.910000000033</v>
      </c>
      <c r="Y29" s="1"/>
      <c r="Z29" s="5">
        <f t="shared" ref="Z29:Z36" si="23">IF(T29=0,0,X29/T29)</f>
        <v>-0.10301769080110049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16"/>
        <v>0</v>
      </c>
      <c r="G30" s="2"/>
      <c r="H30" s="6">
        <v>7803.75</v>
      </c>
      <c r="I30" s="2"/>
      <c r="J30" s="7">
        <f t="shared" si="17"/>
        <v>0</v>
      </c>
      <c r="K30" s="2"/>
      <c r="L30" s="6">
        <f t="shared" si="18"/>
        <v>-7803.75</v>
      </c>
      <c r="M30" s="2"/>
      <c r="N30" s="7">
        <f t="shared" si="19"/>
        <v>-1</v>
      </c>
      <c r="O30" s="11"/>
      <c r="P30" s="6">
        <v>93238.31</v>
      </c>
      <c r="Q30" s="2"/>
      <c r="R30" s="7">
        <f t="shared" si="20"/>
        <v>0</v>
      </c>
      <c r="S30" s="2"/>
      <c r="T30" s="6">
        <v>106651</v>
      </c>
      <c r="U30" s="2"/>
      <c r="V30" s="7">
        <f t="shared" si="21"/>
        <v>0</v>
      </c>
      <c r="W30" s="2"/>
      <c r="X30" s="6">
        <f t="shared" si="22"/>
        <v>-13412.690000000002</v>
      </c>
      <c r="Y30" s="2"/>
      <c r="Z30" s="7">
        <f t="shared" si="23"/>
        <v>-0.12576244010839094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3823.25</v>
      </c>
      <c r="E31" s="2"/>
      <c r="F31" s="7">
        <f t="shared" si="16"/>
        <v>0</v>
      </c>
      <c r="G31" s="2"/>
      <c r="H31" s="6">
        <v>7707.85</v>
      </c>
      <c r="I31" s="2"/>
      <c r="J31" s="7">
        <f t="shared" si="17"/>
        <v>0</v>
      </c>
      <c r="K31" s="2"/>
      <c r="L31" s="6">
        <f t="shared" si="18"/>
        <v>-3884.6000000000004</v>
      </c>
      <c r="M31" s="2"/>
      <c r="N31" s="7">
        <f t="shared" si="19"/>
        <v>-0.50397970899796962</v>
      </c>
      <c r="O31" s="11"/>
      <c r="P31" s="6">
        <v>61010.200000000004</v>
      </c>
      <c r="Q31" s="2"/>
      <c r="R31" s="7">
        <f t="shared" si="20"/>
        <v>0</v>
      </c>
      <c r="S31" s="2"/>
      <c r="T31" s="6">
        <v>80148.070000000007</v>
      </c>
      <c r="U31" s="2"/>
      <c r="V31" s="7">
        <f t="shared" si="21"/>
        <v>0</v>
      </c>
      <c r="W31" s="2"/>
      <c r="X31" s="6">
        <f t="shared" si="22"/>
        <v>-19137.870000000003</v>
      </c>
      <c r="Y31" s="2"/>
      <c r="Z31" s="7">
        <f t="shared" si="23"/>
        <v>-0.238781420438446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-1647.01</v>
      </c>
      <c r="Q32" s="2"/>
      <c r="R32" s="7">
        <f t="shared" si="20"/>
        <v>0</v>
      </c>
      <c r="S32" s="2"/>
      <c r="T32" s="6">
        <v>-1220</v>
      </c>
      <c r="U32" s="2"/>
      <c r="V32" s="7">
        <f t="shared" si="21"/>
        <v>0</v>
      </c>
      <c r="W32" s="2"/>
      <c r="X32" s="6">
        <f t="shared" si="22"/>
        <v>-427.01</v>
      </c>
      <c r="Y32" s="2"/>
      <c r="Z32" s="7">
        <f t="shared" si="23"/>
        <v>0.35000819672131145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16"/>
        <v>0</v>
      </c>
      <c r="G33" s="2"/>
      <c r="H33" s="6">
        <v>3687.94</v>
      </c>
      <c r="I33" s="2"/>
      <c r="J33" s="7">
        <f t="shared" si="17"/>
        <v>0</v>
      </c>
      <c r="K33" s="2"/>
      <c r="L33" s="6">
        <f t="shared" si="18"/>
        <v>-3687.94</v>
      </c>
      <c r="M33" s="2"/>
      <c r="N33" s="7">
        <f t="shared" si="19"/>
        <v>-1</v>
      </c>
      <c r="O33" s="11"/>
      <c r="P33" s="6">
        <v>59852.88</v>
      </c>
      <c r="Q33" s="2"/>
      <c r="R33" s="7">
        <f t="shared" si="20"/>
        <v>0</v>
      </c>
      <c r="S33" s="2"/>
      <c r="T33" s="6">
        <v>49280.409999999996</v>
      </c>
      <c r="U33" s="2"/>
      <c r="V33" s="7">
        <f t="shared" si="21"/>
        <v>0</v>
      </c>
      <c r="W33" s="2"/>
      <c r="X33" s="6">
        <f t="shared" si="22"/>
        <v>10572.470000000001</v>
      </c>
      <c r="Y33" s="2"/>
      <c r="Z33" s="7">
        <f t="shared" si="23"/>
        <v>0.21453697321105897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16"/>
        <v>0</v>
      </c>
      <c r="G34" s="2"/>
      <c r="H34" s="6">
        <v>309</v>
      </c>
      <c r="I34" s="2"/>
      <c r="J34" s="7">
        <f t="shared" si="17"/>
        <v>0</v>
      </c>
      <c r="K34" s="2"/>
      <c r="L34" s="6">
        <f t="shared" si="18"/>
        <v>-309</v>
      </c>
      <c r="M34" s="2"/>
      <c r="N34" s="7">
        <f t="shared" si="19"/>
        <v>-1</v>
      </c>
      <c r="O34" s="11"/>
      <c r="P34" s="6">
        <v>11923.01</v>
      </c>
      <c r="Q34" s="2"/>
      <c r="R34" s="7">
        <f t="shared" si="20"/>
        <v>0</v>
      </c>
      <c r="S34" s="2"/>
      <c r="T34" s="6">
        <v>3517.37</v>
      </c>
      <c r="U34" s="2"/>
      <c r="V34" s="7">
        <f t="shared" si="21"/>
        <v>0</v>
      </c>
      <c r="W34" s="2"/>
      <c r="X34" s="6">
        <f t="shared" si="22"/>
        <v>8405.64</v>
      </c>
      <c r="Y34" s="2"/>
      <c r="Z34" s="7">
        <f t="shared" si="23"/>
        <v>2.3897514335995358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16"/>
        <v>0</v>
      </c>
      <c r="G35" s="2"/>
      <c r="H35" s="6">
        <v>13031.72</v>
      </c>
      <c r="I35" s="2"/>
      <c r="J35" s="7">
        <f t="shared" si="17"/>
        <v>0</v>
      </c>
      <c r="K35" s="2"/>
      <c r="L35" s="6">
        <f t="shared" si="18"/>
        <v>-13031.72</v>
      </c>
      <c r="M35" s="2"/>
      <c r="N35" s="7">
        <f t="shared" si="19"/>
        <v>-1</v>
      </c>
      <c r="O35" s="11"/>
      <c r="P35" s="6">
        <v>159329.81999999998</v>
      </c>
      <c r="Q35" s="2"/>
      <c r="R35" s="7">
        <f t="shared" si="20"/>
        <v>0</v>
      </c>
      <c r="S35" s="2"/>
      <c r="T35" s="6">
        <v>185385.51</v>
      </c>
      <c r="U35" s="2"/>
      <c r="V35" s="7">
        <f t="shared" si="21"/>
        <v>0</v>
      </c>
      <c r="W35" s="2"/>
      <c r="X35" s="6">
        <f t="shared" si="22"/>
        <v>-26055.690000000031</v>
      </c>
      <c r="Y35" s="2"/>
      <c r="Z35" s="7">
        <f t="shared" si="23"/>
        <v>-0.14054868689575592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16"/>
        <v>0</v>
      </c>
      <c r="G36" s="2"/>
      <c r="H36" s="6">
        <v>921</v>
      </c>
      <c r="I36" s="2"/>
      <c r="J36" s="7">
        <f t="shared" si="17"/>
        <v>0</v>
      </c>
      <c r="K36" s="2"/>
      <c r="L36" s="6">
        <f t="shared" si="18"/>
        <v>-921</v>
      </c>
      <c r="M36" s="2"/>
      <c r="N36" s="7">
        <f t="shared" si="19"/>
        <v>-1</v>
      </c>
      <c r="O36" s="11"/>
      <c r="P36" s="6">
        <v>2267.7399999999998</v>
      </c>
      <c r="Q36" s="2"/>
      <c r="R36" s="7">
        <f t="shared" si="20"/>
        <v>0</v>
      </c>
      <c r="S36" s="2"/>
      <c r="T36" s="6">
        <v>6541.5</v>
      </c>
      <c r="U36" s="2"/>
      <c r="V36" s="7">
        <f t="shared" si="21"/>
        <v>0</v>
      </c>
      <c r="W36" s="2"/>
      <c r="X36" s="6">
        <f t="shared" si="22"/>
        <v>-4273.76</v>
      </c>
      <c r="Y36" s="2"/>
      <c r="Z36" s="7">
        <f t="shared" si="23"/>
        <v>-0.653330275930597</v>
      </c>
    </row>
    <row r="37" spans="1:26" s="25" customFormat="1" outlineLevel="1" collapsed="1" x14ac:dyDescent="0.25">
      <c r="A37" s="26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1" si="24">IF(D$12=0,0,D37/D$12)</f>
        <v>0</v>
      </c>
      <c r="G37" s="1"/>
      <c r="H37" s="1">
        <f>SUM(OSRRefH22_2x_0)</f>
        <v>1270.67</v>
      </c>
      <c r="I37" s="1"/>
      <c r="J37" s="5">
        <f t="shared" ref="J37:J41" si="25">IF(H$12=0,0,H37/H$12)</f>
        <v>0</v>
      </c>
      <c r="K37" s="1"/>
      <c r="L37" s="1">
        <f t="shared" ref="L37:L41" si="26">+D37-H37</f>
        <v>-1270.67</v>
      </c>
      <c r="M37" s="1"/>
      <c r="N37" s="5">
        <f t="shared" ref="N37:N41" si="27">IF(H37=0,0,L37/H37)</f>
        <v>-1</v>
      </c>
      <c r="O37" s="13"/>
      <c r="P37" s="1">
        <f>SUM(OSRRefP22_2x_0)</f>
        <v>14215.07</v>
      </c>
      <c r="Q37" s="1"/>
      <c r="R37" s="5">
        <f t="shared" ref="R37:R41" si="28">IF(P$12=0,0,P37/P$12)</f>
        <v>0</v>
      </c>
      <c r="S37" s="1"/>
      <c r="T37" s="1">
        <f>SUM(OSRRefT22_2x_0)</f>
        <v>37577.03</v>
      </c>
      <c r="U37" s="1"/>
      <c r="V37" s="5">
        <f t="shared" ref="V37:V41" si="29">IF(T$12=0,0,T37/T$12)</f>
        <v>0</v>
      </c>
      <c r="W37" s="1"/>
      <c r="X37" s="1">
        <f t="shared" ref="X37:X41" si="30">+P37-T37</f>
        <v>-23361.96</v>
      </c>
      <c r="Y37" s="1"/>
      <c r="Z37" s="5">
        <f t="shared" ref="Z37:Z41" si="31">IF(T37=0,0,X37/T37)</f>
        <v>-0.62170852778945007</v>
      </c>
    </row>
    <row r="38" spans="1:26" s="24" customFormat="1" hidden="1" outlineLevel="2" x14ac:dyDescent="0.25">
      <c r="A38" s="27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4"/>
        <v>0</v>
      </c>
      <c r="G38" s="2"/>
      <c r="H38" s="6">
        <v>1270.67</v>
      </c>
      <c r="I38" s="2"/>
      <c r="J38" s="7">
        <f t="shared" si="25"/>
        <v>0</v>
      </c>
      <c r="K38" s="2"/>
      <c r="L38" s="6">
        <f t="shared" si="26"/>
        <v>-1270.67</v>
      </c>
      <c r="M38" s="2"/>
      <c r="N38" s="7">
        <f t="shared" si="27"/>
        <v>-1</v>
      </c>
      <c r="O38" s="11"/>
      <c r="P38" s="6">
        <v>14215.07</v>
      </c>
      <c r="Q38" s="2"/>
      <c r="R38" s="7">
        <f t="shared" si="28"/>
        <v>0</v>
      </c>
      <c r="S38" s="2"/>
      <c r="T38" s="6">
        <v>37577.03</v>
      </c>
      <c r="U38" s="2"/>
      <c r="V38" s="7">
        <f t="shared" si="29"/>
        <v>0</v>
      </c>
      <c r="W38" s="2"/>
      <c r="X38" s="6">
        <f t="shared" si="30"/>
        <v>-23361.96</v>
      </c>
      <c r="Y38" s="2"/>
      <c r="Z38" s="7">
        <f t="shared" si="31"/>
        <v>-0.62170852778945007</v>
      </c>
    </row>
    <row r="39" spans="1:26" s="25" customFormat="1" outlineLevel="1" collapsed="1" x14ac:dyDescent="0.25">
      <c r="A39" s="26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4.6500000000000004</v>
      </c>
      <c r="E39" s="1"/>
      <c r="F39" s="5">
        <f t="shared" si="24"/>
        <v>0</v>
      </c>
      <c r="G39" s="1"/>
      <c r="H39" s="1">
        <f>SUM(OSRRefH22_3x_0)</f>
        <v>35.409999999999997</v>
      </c>
      <c r="I39" s="1"/>
      <c r="J39" s="5">
        <f t="shared" si="25"/>
        <v>0</v>
      </c>
      <c r="K39" s="1"/>
      <c r="L39" s="1">
        <f t="shared" si="26"/>
        <v>-30.759999999999998</v>
      </c>
      <c r="M39" s="1"/>
      <c r="N39" s="5">
        <f t="shared" si="27"/>
        <v>-0.86868116351313196</v>
      </c>
      <c r="O39" s="13"/>
      <c r="P39" s="1">
        <f>SUM(OSRRefP22_3x_0)</f>
        <v>-14.980000000000004</v>
      </c>
      <c r="Q39" s="1"/>
      <c r="R39" s="5">
        <f t="shared" si="28"/>
        <v>0</v>
      </c>
      <c r="S39" s="1"/>
      <c r="T39" s="1">
        <f>SUM(OSRRefT22_3x_0)</f>
        <v>1280.71</v>
      </c>
      <c r="U39" s="1"/>
      <c r="V39" s="5">
        <f t="shared" si="29"/>
        <v>0</v>
      </c>
      <c r="W39" s="1"/>
      <c r="X39" s="1">
        <f t="shared" si="30"/>
        <v>-1295.69</v>
      </c>
      <c r="Y39" s="1"/>
      <c r="Z39" s="5">
        <f t="shared" si="31"/>
        <v>-1.011696637021652</v>
      </c>
    </row>
    <row r="40" spans="1:26" s="24" customFormat="1" hidden="1" outlineLevel="2" x14ac:dyDescent="0.25">
      <c r="A40" s="27"/>
      <c r="B40" s="11" t="str">
        <f>CONCATENATE("          ", "6272", " - ", "CASH (OVER/SHORT)")</f>
        <v xml:space="preserve">          6272 - CASH (OVER/SHORT)</v>
      </c>
      <c r="C40" s="11"/>
      <c r="D40" s="6">
        <v>4.6500000000000004</v>
      </c>
      <c r="E40" s="2"/>
      <c r="F40" s="7">
        <f t="shared" si="24"/>
        <v>0</v>
      </c>
      <c r="G40" s="2"/>
      <c r="H40" s="6">
        <v>35.409999999999997</v>
      </c>
      <c r="I40" s="2"/>
      <c r="J40" s="7">
        <f t="shared" si="25"/>
        <v>0</v>
      </c>
      <c r="K40" s="2"/>
      <c r="L40" s="6">
        <f t="shared" si="26"/>
        <v>-30.759999999999998</v>
      </c>
      <c r="M40" s="2"/>
      <c r="N40" s="7">
        <f t="shared" si="27"/>
        <v>-0.86868116351313196</v>
      </c>
      <c r="O40" s="11"/>
      <c r="P40" s="6">
        <v>-59.78</v>
      </c>
      <c r="Q40" s="2"/>
      <c r="R40" s="7">
        <f t="shared" si="28"/>
        <v>0</v>
      </c>
      <c r="S40" s="2"/>
      <c r="T40" s="6">
        <v>1280.71</v>
      </c>
      <c r="U40" s="2"/>
      <c r="V40" s="7">
        <f t="shared" si="29"/>
        <v>0</v>
      </c>
      <c r="W40" s="2"/>
      <c r="X40" s="6">
        <f t="shared" si="30"/>
        <v>-1340.49</v>
      </c>
      <c r="Y40" s="2"/>
      <c r="Z40" s="7">
        <f t="shared" si="31"/>
        <v>-1.0466772337219199</v>
      </c>
    </row>
    <row r="41" spans="1:26" s="24" customFormat="1" hidden="1" outlineLevel="2" x14ac:dyDescent="0.25">
      <c r="A41" s="27"/>
      <c r="B41" s="11" t="str">
        <f>CONCATENATE("          ", "6342", " - ", "BAD DEBT")</f>
        <v xml:space="preserve">          6342 - BAD DEBT</v>
      </c>
      <c r="C41" s="11"/>
      <c r="D41" s="6"/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1"/>
      <c r="P41" s="6">
        <v>44.8</v>
      </c>
      <c r="Q41" s="2"/>
      <c r="R41" s="7">
        <f t="shared" si="28"/>
        <v>0</v>
      </c>
      <c r="S41" s="2"/>
      <c r="T41" s="6"/>
      <c r="U41" s="2"/>
      <c r="V41" s="7">
        <f t="shared" si="29"/>
        <v>0</v>
      </c>
      <c r="W41" s="2"/>
      <c r="X41" s="6">
        <f t="shared" si="30"/>
        <v>44.8</v>
      </c>
      <c r="Y41" s="2"/>
      <c r="Z41" s="7">
        <f t="shared" si="31"/>
        <v>0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2670.74</v>
      </c>
      <c r="E42" s="1"/>
      <c r="F42" s="5">
        <f t="shared" ref="F42:F46" si="32">IF(D$12=0,0,D42/D$12)</f>
        <v>0</v>
      </c>
      <c r="G42" s="1"/>
      <c r="H42" s="1">
        <f>SUM(OSRRefH22_4x_0)</f>
        <v>8622.92</v>
      </c>
      <c r="I42" s="1"/>
      <c r="J42" s="5">
        <f t="shared" ref="J42:J46" si="33">IF(H$12=0,0,H42/H$12)</f>
        <v>0</v>
      </c>
      <c r="K42" s="1"/>
      <c r="L42" s="1">
        <f t="shared" ref="L42:L46" si="34">+D42-H42</f>
        <v>-5952.18</v>
      </c>
      <c r="M42" s="1"/>
      <c r="N42" s="5">
        <f t="shared" ref="N42:N46" si="35">IF(H42=0,0,L42/H42)</f>
        <v>-0.69027429223511294</v>
      </c>
      <c r="O42" s="13"/>
      <c r="P42" s="1">
        <f>SUM(OSRRefP22_4x_0)</f>
        <v>133670.77000000002</v>
      </c>
      <c r="Q42" s="1"/>
      <c r="R42" s="5">
        <f t="shared" ref="R42:R46" si="36">IF(P$12=0,0,P42/P$12)</f>
        <v>0</v>
      </c>
      <c r="S42" s="1"/>
      <c r="T42" s="1">
        <f>SUM(OSRRefT22_4x_0)</f>
        <v>147718.06</v>
      </c>
      <c r="U42" s="1"/>
      <c r="V42" s="5">
        <f t="shared" ref="V42:V46" si="37">IF(T$12=0,0,T42/T$12)</f>
        <v>0</v>
      </c>
      <c r="W42" s="1"/>
      <c r="X42" s="1">
        <f t="shared" ref="X42:X46" si="38">+P42-T42</f>
        <v>-14047.289999999979</v>
      </c>
      <c r="Y42" s="1"/>
      <c r="Z42" s="5">
        <f t="shared" ref="Z42:Z46" si="39">IF(T42=0,0,X42/T42)</f>
        <v>-9.5095278126452368E-2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6">
        <v>2670.74</v>
      </c>
      <c r="E43" s="2"/>
      <c r="F43" s="7">
        <f t="shared" si="32"/>
        <v>0</v>
      </c>
      <c r="G43" s="2"/>
      <c r="H43" s="6">
        <v>8622.92</v>
      </c>
      <c r="I43" s="2"/>
      <c r="J43" s="7">
        <f t="shared" si="33"/>
        <v>0</v>
      </c>
      <c r="K43" s="2"/>
      <c r="L43" s="6">
        <f t="shared" si="34"/>
        <v>-5952.18</v>
      </c>
      <c r="M43" s="2"/>
      <c r="N43" s="7">
        <f t="shared" si="35"/>
        <v>-0.69027429223511294</v>
      </c>
      <c r="O43" s="11"/>
      <c r="P43" s="6">
        <v>133670.77000000002</v>
      </c>
      <c r="Q43" s="2"/>
      <c r="R43" s="7">
        <f t="shared" si="36"/>
        <v>0</v>
      </c>
      <c r="S43" s="2"/>
      <c r="T43" s="6">
        <v>147718.06</v>
      </c>
      <c r="U43" s="2"/>
      <c r="V43" s="7">
        <f t="shared" si="37"/>
        <v>0</v>
      </c>
      <c r="W43" s="2"/>
      <c r="X43" s="6">
        <f t="shared" si="38"/>
        <v>-14047.289999999979</v>
      </c>
      <c r="Y43" s="2"/>
      <c r="Z43" s="7">
        <f t="shared" si="39"/>
        <v>-9.5095278126452368E-2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30179.599999999999</v>
      </c>
      <c r="E44" s="1"/>
      <c r="F44" s="5">
        <f t="shared" si="32"/>
        <v>0</v>
      </c>
      <c r="G44" s="1"/>
      <c r="H44" s="1">
        <f>SUM(OSRRefH22_5x_0)</f>
        <v>29761.99</v>
      </c>
      <c r="I44" s="1"/>
      <c r="J44" s="5">
        <f t="shared" si="33"/>
        <v>0</v>
      </c>
      <c r="K44" s="1"/>
      <c r="L44" s="1">
        <f t="shared" si="34"/>
        <v>417.60999999999694</v>
      </c>
      <c r="M44" s="1"/>
      <c r="N44" s="5">
        <f t="shared" si="35"/>
        <v>1.4031655813337648E-2</v>
      </c>
      <c r="O44" s="13"/>
      <c r="P44" s="1">
        <f>SUM(OSRRefP22_5x_0)</f>
        <v>297833.53999999998</v>
      </c>
      <c r="Q44" s="1"/>
      <c r="R44" s="5">
        <f t="shared" si="36"/>
        <v>0</v>
      </c>
      <c r="S44" s="1"/>
      <c r="T44" s="1">
        <f>SUM(OSRRefT22_5x_0)</f>
        <v>293732.62</v>
      </c>
      <c r="U44" s="1"/>
      <c r="V44" s="5">
        <f t="shared" si="37"/>
        <v>0</v>
      </c>
      <c r="W44" s="1"/>
      <c r="X44" s="1">
        <f t="shared" si="38"/>
        <v>4100.9199999999837</v>
      </c>
      <c r="Y44" s="1"/>
      <c r="Z44" s="5">
        <f t="shared" si="39"/>
        <v>1.3961404763284323E-2</v>
      </c>
    </row>
    <row r="45" spans="1:26" s="24" customFormat="1" hidden="1" outlineLevel="2" x14ac:dyDescent="0.25">
      <c r="A45" s="27"/>
      <c r="B45" s="11" t="str">
        <f>CONCATENATE("          ", "6321", " - ", "BUILDING DEPRECIATION")</f>
        <v xml:space="preserve">          6321 - BUILDING DEPRECIATION</v>
      </c>
      <c r="C45" s="11"/>
      <c r="D45" s="6">
        <v>16396.52</v>
      </c>
      <c r="E45" s="2"/>
      <c r="F45" s="7">
        <f t="shared" si="32"/>
        <v>0</v>
      </c>
      <c r="G45" s="2"/>
      <c r="H45" s="6">
        <v>16453.38</v>
      </c>
      <c r="I45" s="2"/>
      <c r="J45" s="7">
        <f t="shared" si="33"/>
        <v>0</v>
      </c>
      <c r="K45" s="2"/>
      <c r="L45" s="6">
        <f t="shared" si="34"/>
        <v>-56.860000000000582</v>
      </c>
      <c r="M45" s="2"/>
      <c r="N45" s="7">
        <f t="shared" si="35"/>
        <v>-3.4558248821822978E-3</v>
      </c>
      <c r="O45" s="11"/>
      <c r="P45" s="6">
        <v>163965.19999999998</v>
      </c>
      <c r="Q45" s="2"/>
      <c r="R45" s="7">
        <f t="shared" si="36"/>
        <v>0</v>
      </c>
      <c r="S45" s="2"/>
      <c r="T45" s="6">
        <v>164533.79999999999</v>
      </c>
      <c r="U45" s="2"/>
      <c r="V45" s="7">
        <f t="shared" si="37"/>
        <v>0</v>
      </c>
      <c r="W45" s="2"/>
      <c r="X45" s="6">
        <f t="shared" si="38"/>
        <v>-568.60000000000582</v>
      </c>
      <c r="Y45" s="2"/>
      <c r="Z45" s="7">
        <f t="shared" si="39"/>
        <v>-3.4558248821822983E-3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13783.08</v>
      </c>
      <c r="E46" s="2"/>
      <c r="F46" s="7">
        <f t="shared" si="32"/>
        <v>0</v>
      </c>
      <c r="G46" s="2"/>
      <c r="H46" s="6">
        <v>13308.61</v>
      </c>
      <c r="I46" s="2"/>
      <c r="J46" s="7">
        <f t="shared" si="33"/>
        <v>0</v>
      </c>
      <c r="K46" s="2"/>
      <c r="L46" s="6">
        <f t="shared" si="34"/>
        <v>474.46999999999935</v>
      </c>
      <c r="M46" s="2"/>
      <c r="N46" s="7">
        <f t="shared" si="35"/>
        <v>3.5651356527841703E-2</v>
      </c>
      <c r="O46" s="11"/>
      <c r="P46" s="6">
        <v>133868.34</v>
      </c>
      <c r="Q46" s="2"/>
      <c r="R46" s="7">
        <f t="shared" si="36"/>
        <v>0</v>
      </c>
      <c r="S46" s="2"/>
      <c r="T46" s="6">
        <v>129198.82</v>
      </c>
      <c r="U46" s="2"/>
      <c r="V46" s="7">
        <f t="shared" si="37"/>
        <v>0</v>
      </c>
      <c r="W46" s="2"/>
      <c r="X46" s="6">
        <f t="shared" si="38"/>
        <v>4669.5199999999895</v>
      </c>
      <c r="Y46" s="2"/>
      <c r="Z46" s="7">
        <f t="shared" si="39"/>
        <v>3.6142125756256825E-2</v>
      </c>
    </row>
    <row r="47" spans="1:26" s="25" customFormat="1" outlineLevel="1" collapsed="1" x14ac:dyDescent="0.25">
      <c r="A47" s="26"/>
      <c r="B47" s="13" t="str">
        <f>CONCATENATE("     ","Discounts and Markdowns                           ")</f>
        <v xml:space="preserve">     Discounts and Markdowns                           </v>
      </c>
      <c r="C47" s="13"/>
      <c r="D47" s="1">
        <f>SUM(OSRRefD22_6x_0)</f>
        <v>3.86</v>
      </c>
      <c r="E47" s="1"/>
      <c r="F47" s="5">
        <f t="shared" ref="F47:F49" si="40">IF(D$12=0,0,D47/D$12)</f>
        <v>0</v>
      </c>
      <c r="G47" s="1"/>
      <c r="H47" s="1">
        <f>SUM(OSRRefH22_6x_0)</f>
        <v>-297.68</v>
      </c>
      <c r="I47" s="1"/>
      <c r="J47" s="5">
        <f t="shared" ref="J47:J49" si="41">IF(H$12=0,0,H47/H$12)</f>
        <v>0</v>
      </c>
      <c r="K47" s="1"/>
      <c r="L47" s="1">
        <f t="shared" ref="L47:L49" si="42">+D47-H47</f>
        <v>301.54000000000002</v>
      </c>
      <c r="M47" s="1"/>
      <c r="N47" s="5">
        <f t="shared" ref="N47:N49" si="43">IF(H47=0,0,L47/H47)</f>
        <v>-1.0129669443697931</v>
      </c>
      <c r="O47" s="13"/>
      <c r="P47" s="1">
        <f>SUM(OSRRefP22_6x_0)</f>
        <v>-2402.56</v>
      </c>
      <c r="Q47" s="1"/>
      <c r="R47" s="5">
        <f t="shared" ref="R47:R49" si="44">IF(P$12=0,0,P47/P$12)</f>
        <v>0</v>
      </c>
      <c r="S47" s="1"/>
      <c r="T47" s="1">
        <f>SUM(OSRRefT22_6x_0)</f>
        <v>-4669.57</v>
      </c>
      <c r="U47" s="1"/>
      <c r="V47" s="5">
        <f t="shared" ref="V47:V49" si="45">IF(T$12=0,0,T47/T$12)</f>
        <v>0</v>
      </c>
      <c r="W47" s="1"/>
      <c r="X47" s="1">
        <f t="shared" ref="X47:X49" si="46">+P47-T47</f>
        <v>2267.0099999999998</v>
      </c>
      <c r="Y47" s="1"/>
      <c r="Z47" s="5">
        <f t="shared" ref="Z47:Z49" si="47">IF(T47=0,0,X47/T47)</f>
        <v>-0.48548581561043092</v>
      </c>
    </row>
    <row r="48" spans="1:26" s="24" customFormat="1" hidden="1" outlineLevel="2" x14ac:dyDescent="0.25">
      <c r="A48" s="27"/>
      <c r="B48" s="11" t="str">
        <f>CONCATENATE("          ", "6382", " - ", "DISCOUNTS/MARK DOWNS")</f>
        <v xml:space="preserve">          6382 - DISCOUNTS/MARK DOWNS</v>
      </c>
      <c r="C48" s="11"/>
      <c r="D48" s="6">
        <v>4</v>
      </c>
      <c r="E48" s="2"/>
      <c r="F48" s="7">
        <f t="shared" si="40"/>
        <v>0</v>
      </c>
      <c r="G48" s="2"/>
      <c r="H48" s="6">
        <v>27.5</v>
      </c>
      <c r="I48" s="2"/>
      <c r="J48" s="7">
        <f t="shared" si="41"/>
        <v>0</v>
      </c>
      <c r="K48" s="2"/>
      <c r="L48" s="6">
        <f t="shared" si="42"/>
        <v>-23.5</v>
      </c>
      <c r="M48" s="2"/>
      <c r="N48" s="7">
        <f t="shared" si="43"/>
        <v>-0.8545454545454545</v>
      </c>
      <c r="O48" s="11"/>
      <c r="P48" s="6">
        <v>357.4</v>
      </c>
      <c r="Q48" s="2"/>
      <c r="R48" s="7">
        <f t="shared" si="44"/>
        <v>0</v>
      </c>
      <c r="S48" s="2"/>
      <c r="T48" s="6">
        <v>149.59</v>
      </c>
      <c r="U48" s="2"/>
      <c r="V48" s="7">
        <f t="shared" si="45"/>
        <v>0</v>
      </c>
      <c r="W48" s="2"/>
      <c r="X48" s="6">
        <f t="shared" si="46"/>
        <v>207.80999999999997</v>
      </c>
      <c r="Y48" s="2"/>
      <c r="Z48" s="7">
        <f t="shared" si="47"/>
        <v>1.3891971388461795</v>
      </c>
    </row>
    <row r="49" spans="1:26" s="24" customFormat="1" hidden="1" outlineLevel="2" x14ac:dyDescent="0.25">
      <c r="A49" s="27"/>
      <c r="B49" s="11" t="str">
        <f>CONCATENATE("          ", "9175", " - ", "EARNED DISCOUNTS")</f>
        <v xml:space="preserve">          9175 - EARNED DISCOUNTS</v>
      </c>
      <c r="C49" s="11"/>
      <c r="D49" s="6">
        <v>-0.14000000000000001</v>
      </c>
      <c r="E49" s="2"/>
      <c r="F49" s="7">
        <f t="shared" si="40"/>
        <v>0</v>
      </c>
      <c r="G49" s="2"/>
      <c r="H49" s="6">
        <v>-325.18</v>
      </c>
      <c r="I49" s="2"/>
      <c r="J49" s="7">
        <f t="shared" si="41"/>
        <v>0</v>
      </c>
      <c r="K49" s="2"/>
      <c r="L49" s="6">
        <f t="shared" si="42"/>
        <v>325.04000000000002</v>
      </c>
      <c r="M49" s="2"/>
      <c r="N49" s="7">
        <f t="shared" si="43"/>
        <v>-0.99956946921704903</v>
      </c>
      <c r="O49" s="11"/>
      <c r="P49" s="6">
        <v>-2759.96</v>
      </c>
      <c r="Q49" s="2"/>
      <c r="R49" s="7">
        <f t="shared" si="44"/>
        <v>0</v>
      </c>
      <c r="S49" s="2"/>
      <c r="T49" s="6">
        <v>-4819.16</v>
      </c>
      <c r="U49" s="2"/>
      <c r="V49" s="7">
        <f t="shared" si="45"/>
        <v>0</v>
      </c>
      <c r="W49" s="2"/>
      <c r="X49" s="6">
        <f t="shared" si="46"/>
        <v>2059.1999999999998</v>
      </c>
      <c r="Y49" s="2"/>
      <c r="Z49" s="7">
        <f t="shared" si="47"/>
        <v>-0.42729438325351304</v>
      </c>
    </row>
    <row r="50" spans="1:26" s="25" customFormat="1" outlineLevel="1" collapsed="1" x14ac:dyDescent="0.25">
      <c r="A50" s="26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0</v>
      </c>
      <c r="E50" s="1"/>
      <c r="F50" s="5">
        <f t="shared" ref="F50:F68" si="48">IF(D$12=0,0,D50/D$12)</f>
        <v>0</v>
      </c>
      <c r="G50" s="1"/>
      <c r="H50" s="1">
        <f>SUM(OSRRefH22_7x_0)</f>
        <v>851.01</v>
      </c>
      <c r="I50" s="1"/>
      <c r="J50" s="5">
        <f t="shared" ref="J50:J68" si="49">IF(H$12=0,0,H50/H$12)</f>
        <v>0</v>
      </c>
      <c r="K50" s="1"/>
      <c r="L50" s="1">
        <f t="shared" ref="L50:L68" si="50">+D50-H50</f>
        <v>-851.01</v>
      </c>
      <c r="M50" s="1"/>
      <c r="N50" s="5">
        <f t="shared" ref="N50:N68" si="51">IF(H50=0,0,L50/H50)</f>
        <v>-1</v>
      </c>
      <c r="O50" s="13"/>
      <c r="P50" s="1">
        <f>SUM(OSRRefP22_7x_0)</f>
        <v>12371.45</v>
      </c>
      <c r="Q50" s="1"/>
      <c r="R50" s="5">
        <f t="shared" ref="R50:R68" si="52">IF(P$12=0,0,P50/P$12)</f>
        <v>0</v>
      </c>
      <c r="S50" s="1"/>
      <c r="T50" s="1">
        <f>SUM(OSRRefT22_7x_0)</f>
        <v>8745.5300000000007</v>
      </c>
      <c r="U50" s="1"/>
      <c r="V50" s="5">
        <f t="shared" ref="V50:V68" si="53">IF(T$12=0,0,T50/T$12)</f>
        <v>0</v>
      </c>
      <c r="W50" s="1"/>
      <c r="X50" s="1">
        <f t="shared" ref="X50:X68" si="54">+P50-T50</f>
        <v>3625.92</v>
      </c>
      <c r="Y50" s="1"/>
      <c r="Z50" s="5">
        <f t="shared" ref="Z50:Z68" si="55">IF(T50=0,0,X50/T50)</f>
        <v>0.41460265987310085</v>
      </c>
    </row>
    <row r="51" spans="1:26" s="24" customFormat="1" hidden="1" outlineLevel="2" x14ac:dyDescent="0.25">
      <c r="A51" s="27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48"/>
        <v>0</v>
      </c>
      <c r="G51" s="2"/>
      <c r="H51" s="6">
        <v>851.01</v>
      </c>
      <c r="I51" s="2"/>
      <c r="J51" s="7">
        <f t="shared" si="49"/>
        <v>0</v>
      </c>
      <c r="K51" s="2"/>
      <c r="L51" s="6">
        <f t="shared" si="50"/>
        <v>-851.01</v>
      </c>
      <c r="M51" s="2"/>
      <c r="N51" s="7">
        <f t="shared" si="51"/>
        <v>-1</v>
      </c>
      <c r="O51" s="11"/>
      <c r="P51" s="6">
        <v>12371.45</v>
      </c>
      <c r="Q51" s="2"/>
      <c r="R51" s="7">
        <f t="shared" si="52"/>
        <v>0</v>
      </c>
      <c r="S51" s="2"/>
      <c r="T51" s="6">
        <v>8745.5300000000007</v>
      </c>
      <c r="U51" s="2"/>
      <c r="V51" s="7">
        <f t="shared" si="53"/>
        <v>0</v>
      </c>
      <c r="W51" s="2"/>
      <c r="X51" s="6">
        <f t="shared" si="54"/>
        <v>3625.92</v>
      </c>
      <c r="Y51" s="2"/>
      <c r="Z51" s="7">
        <f t="shared" si="55"/>
        <v>0.41460265987310085</v>
      </c>
    </row>
    <row r="52" spans="1:26" s="25" customFormat="1" outlineLevel="1" collapsed="1" x14ac:dyDescent="0.25">
      <c r="A52" s="26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30.15</v>
      </c>
      <c r="E52" s="1"/>
      <c r="F52" s="5">
        <f t="shared" si="48"/>
        <v>0</v>
      </c>
      <c r="G52" s="1"/>
      <c r="H52" s="1">
        <f>SUM(OSRRefH22_8x_0)</f>
        <v>156.81</v>
      </c>
      <c r="I52" s="1"/>
      <c r="J52" s="5">
        <f t="shared" si="49"/>
        <v>0</v>
      </c>
      <c r="K52" s="1"/>
      <c r="L52" s="1">
        <f t="shared" si="50"/>
        <v>-126.66</v>
      </c>
      <c r="M52" s="1"/>
      <c r="N52" s="5">
        <f t="shared" si="51"/>
        <v>-0.80772909890950828</v>
      </c>
      <c r="O52" s="13"/>
      <c r="P52" s="1">
        <f>SUM(OSRRefP22_8x_0)</f>
        <v>1057.72</v>
      </c>
      <c r="Q52" s="1"/>
      <c r="R52" s="5">
        <f t="shared" si="52"/>
        <v>0</v>
      </c>
      <c r="S52" s="1"/>
      <c r="T52" s="1">
        <f>SUM(OSRRefT22_8x_0)</f>
        <v>2628.66</v>
      </c>
      <c r="U52" s="1"/>
      <c r="V52" s="5">
        <f t="shared" si="53"/>
        <v>0</v>
      </c>
      <c r="W52" s="1"/>
      <c r="X52" s="1">
        <f t="shared" si="54"/>
        <v>-1570.9399999999998</v>
      </c>
      <c r="Y52" s="1"/>
      <c r="Z52" s="5">
        <f t="shared" si="55"/>
        <v>-0.59762008019294999</v>
      </c>
    </row>
    <row r="53" spans="1:26" s="24" customFormat="1" hidden="1" outlineLevel="2" x14ac:dyDescent="0.25">
      <c r="A53" s="27"/>
      <c r="B53" s="11" t="str">
        <f>CONCATENATE("          ", "6277", " - ", "EMPLOYEE APPRECIATION")</f>
        <v xml:space="preserve">          6277 - EMPLOYEE APPRECIATION</v>
      </c>
      <c r="C53" s="11"/>
      <c r="D53" s="6">
        <v>30.15</v>
      </c>
      <c r="E53" s="2"/>
      <c r="F53" s="7">
        <f t="shared" si="48"/>
        <v>0</v>
      </c>
      <c r="G53" s="2"/>
      <c r="H53" s="6">
        <v>156.81</v>
      </c>
      <c r="I53" s="2"/>
      <c r="J53" s="7">
        <f t="shared" si="49"/>
        <v>0</v>
      </c>
      <c r="K53" s="2"/>
      <c r="L53" s="6">
        <f t="shared" si="50"/>
        <v>-126.66</v>
      </c>
      <c r="M53" s="2"/>
      <c r="N53" s="7">
        <f t="shared" si="51"/>
        <v>-0.80772909890950828</v>
      </c>
      <c r="O53" s="11"/>
      <c r="P53" s="6">
        <v>1057.72</v>
      </c>
      <c r="Q53" s="2"/>
      <c r="R53" s="7">
        <f t="shared" si="52"/>
        <v>0</v>
      </c>
      <c r="S53" s="2"/>
      <c r="T53" s="6">
        <v>2628.66</v>
      </c>
      <c r="U53" s="2"/>
      <c r="V53" s="7">
        <f t="shared" si="53"/>
        <v>0</v>
      </c>
      <c r="W53" s="2"/>
      <c r="X53" s="6">
        <f t="shared" si="54"/>
        <v>-1570.9399999999998</v>
      </c>
      <c r="Y53" s="2"/>
      <c r="Z53" s="7">
        <f t="shared" si="55"/>
        <v>-0.59762008019294999</v>
      </c>
    </row>
    <row r="54" spans="1:26" s="25" customFormat="1" outlineLevel="1" collapsed="1" x14ac:dyDescent="0.25">
      <c r="A54" s="26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SUM(OSRRefD22_9x_0)</f>
        <v>0</v>
      </c>
      <c r="E54" s="1"/>
      <c r="F54" s="5">
        <f t="shared" si="48"/>
        <v>0</v>
      </c>
      <c r="G54" s="1"/>
      <c r="H54" s="1">
        <f>SUM(OSRRefH22_9x_0)</f>
        <v>0</v>
      </c>
      <c r="I54" s="1"/>
      <c r="J54" s="5">
        <f t="shared" si="49"/>
        <v>0</v>
      </c>
      <c r="K54" s="1"/>
      <c r="L54" s="1">
        <f t="shared" si="50"/>
        <v>0</v>
      </c>
      <c r="M54" s="1"/>
      <c r="N54" s="5">
        <f t="shared" si="51"/>
        <v>0</v>
      </c>
      <c r="O54" s="13"/>
      <c r="P54" s="1">
        <f>SUM(OSRRefP22_9x_0)</f>
        <v>29</v>
      </c>
      <c r="Q54" s="1"/>
      <c r="R54" s="5">
        <f t="shared" si="52"/>
        <v>0</v>
      </c>
      <c r="S54" s="1"/>
      <c r="T54" s="1">
        <f>SUM(OSRRefT22_9x_0)</f>
        <v>18.53</v>
      </c>
      <c r="U54" s="1"/>
      <c r="V54" s="5">
        <f t="shared" si="53"/>
        <v>0</v>
      </c>
      <c r="W54" s="1"/>
      <c r="X54" s="1">
        <f t="shared" si="54"/>
        <v>10.469999999999999</v>
      </c>
      <c r="Y54" s="1"/>
      <c r="Z54" s="5">
        <f t="shared" si="55"/>
        <v>0.56502968159740952</v>
      </c>
    </row>
    <row r="55" spans="1:26" s="24" customFormat="1" hidden="1" outlineLevel="2" x14ac:dyDescent="0.25">
      <c r="A55" s="27"/>
      <c r="B55" s="11" t="str">
        <f>CONCATENATE("          ", "6307", " - ", "POSTAGE")</f>
        <v xml:space="preserve">          6307 - POSTAGE</v>
      </c>
      <c r="C55" s="11"/>
      <c r="D55" s="6"/>
      <c r="E55" s="2"/>
      <c r="F55" s="7">
        <f t="shared" si="48"/>
        <v>0</v>
      </c>
      <c r="G55" s="2"/>
      <c r="H55" s="6"/>
      <c r="I55" s="2"/>
      <c r="J55" s="7">
        <f t="shared" si="49"/>
        <v>0</v>
      </c>
      <c r="K55" s="2"/>
      <c r="L55" s="6">
        <f t="shared" si="50"/>
        <v>0</v>
      </c>
      <c r="M55" s="2"/>
      <c r="N55" s="7">
        <f t="shared" si="51"/>
        <v>0</v>
      </c>
      <c r="O55" s="11"/>
      <c r="P55" s="6">
        <v>29</v>
      </c>
      <c r="Q55" s="2"/>
      <c r="R55" s="7">
        <f t="shared" si="52"/>
        <v>0</v>
      </c>
      <c r="S55" s="2"/>
      <c r="T55" s="6">
        <v>18.53</v>
      </c>
      <c r="U55" s="2"/>
      <c r="V55" s="7">
        <f t="shared" si="53"/>
        <v>0</v>
      </c>
      <c r="W55" s="2"/>
      <c r="X55" s="6">
        <f t="shared" si="54"/>
        <v>10.469999999999999</v>
      </c>
      <c r="Y55" s="2"/>
      <c r="Z55" s="7">
        <f t="shared" si="55"/>
        <v>0.56502968159740952</v>
      </c>
    </row>
    <row r="56" spans="1:26" s="25" customFormat="1" outlineLevel="1" collapsed="1" x14ac:dyDescent="0.25">
      <c r="A56" s="26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0</v>
      </c>
      <c r="E56" s="1"/>
      <c r="F56" s="5">
        <f t="shared" si="48"/>
        <v>0</v>
      </c>
      <c r="G56" s="1"/>
      <c r="H56" s="1">
        <f>SUM(OSRRefH22_10x_0)</f>
        <v>0.28000000000000003</v>
      </c>
      <c r="I56" s="1"/>
      <c r="J56" s="5">
        <f t="shared" si="49"/>
        <v>0</v>
      </c>
      <c r="K56" s="1"/>
      <c r="L56" s="1">
        <f t="shared" si="50"/>
        <v>-0.28000000000000003</v>
      </c>
      <c r="M56" s="1"/>
      <c r="N56" s="5">
        <f t="shared" si="51"/>
        <v>-1</v>
      </c>
      <c r="O56" s="13"/>
      <c r="P56" s="1">
        <f>SUM(OSRRefP22_10x_0)</f>
        <v>-11754.76</v>
      </c>
      <c r="Q56" s="1"/>
      <c r="R56" s="5">
        <f t="shared" si="52"/>
        <v>0</v>
      </c>
      <c r="S56" s="1"/>
      <c r="T56" s="1">
        <f>SUM(OSRRefT22_10x_0)</f>
        <v>762.26</v>
      </c>
      <c r="U56" s="1"/>
      <c r="V56" s="5">
        <f t="shared" si="53"/>
        <v>0</v>
      </c>
      <c r="W56" s="1"/>
      <c r="X56" s="1">
        <f t="shared" si="54"/>
        <v>-12517.02</v>
      </c>
      <c r="Y56" s="1"/>
      <c r="Z56" s="5">
        <f t="shared" si="55"/>
        <v>-16.420932490226434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48"/>
        <v>0</v>
      </c>
      <c r="G57" s="2"/>
      <c r="H57" s="6">
        <v>0.28000000000000003</v>
      </c>
      <c r="I57" s="2"/>
      <c r="J57" s="7">
        <f t="shared" si="49"/>
        <v>0</v>
      </c>
      <c r="K57" s="2"/>
      <c r="L57" s="6">
        <f t="shared" si="50"/>
        <v>-0.28000000000000003</v>
      </c>
      <c r="M57" s="2"/>
      <c r="N57" s="7">
        <f t="shared" si="51"/>
        <v>-1</v>
      </c>
      <c r="O57" s="11"/>
      <c r="P57" s="6">
        <v>-11754.76</v>
      </c>
      <c r="Q57" s="2"/>
      <c r="R57" s="7">
        <f t="shared" si="52"/>
        <v>0</v>
      </c>
      <c r="S57" s="2"/>
      <c r="T57" s="6">
        <v>762.26</v>
      </c>
      <c r="U57" s="2"/>
      <c r="V57" s="7">
        <f t="shared" si="53"/>
        <v>0</v>
      </c>
      <c r="W57" s="2"/>
      <c r="X57" s="6">
        <f t="shared" si="54"/>
        <v>-12517.02</v>
      </c>
      <c r="Y57" s="2"/>
      <c r="Z57" s="7">
        <f t="shared" si="55"/>
        <v>-16.420932490226434</v>
      </c>
    </row>
    <row r="58" spans="1:26" s="25" customFormat="1" outlineLevel="1" collapsed="1" x14ac:dyDescent="0.25">
      <c r="A58" s="26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3883.56</v>
      </c>
      <c r="E58" s="1"/>
      <c r="F58" s="5">
        <f t="shared" si="48"/>
        <v>0</v>
      </c>
      <c r="G58" s="1"/>
      <c r="H58" s="1">
        <f>SUM(OSRRefH22_11x_0)</f>
        <v>3658.12</v>
      </c>
      <c r="I58" s="1"/>
      <c r="J58" s="5">
        <f t="shared" si="49"/>
        <v>0</v>
      </c>
      <c r="K58" s="1"/>
      <c r="L58" s="1">
        <f t="shared" si="50"/>
        <v>225.44000000000005</v>
      </c>
      <c r="M58" s="1"/>
      <c r="N58" s="5">
        <f t="shared" si="51"/>
        <v>6.1627283960066934E-2</v>
      </c>
      <c r="O58" s="13"/>
      <c r="P58" s="1">
        <f>SUM(OSRRefP22_11x_0)</f>
        <v>38835.599999999999</v>
      </c>
      <c r="Q58" s="1"/>
      <c r="R58" s="5">
        <f t="shared" si="52"/>
        <v>0</v>
      </c>
      <c r="S58" s="1"/>
      <c r="T58" s="1">
        <f>SUM(OSRRefT22_11x_0)</f>
        <v>30063.379999999997</v>
      </c>
      <c r="U58" s="1"/>
      <c r="V58" s="5">
        <f t="shared" si="53"/>
        <v>0</v>
      </c>
      <c r="W58" s="1"/>
      <c r="X58" s="1">
        <f t="shared" si="54"/>
        <v>8772.2200000000012</v>
      </c>
      <c r="Y58" s="1"/>
      <c r="Z58" s="5">
        <f t="shared" si="55"/>
        <v>0.29179087647496726</v>
      </c>
    </row>
    <row r="59" spans="1:26" s="24" customFormat="1" hidden="1" outlineLevel="2" x14ac:dyDescent="0.25">
      <c r="A59" s="27"/>
      <c r="B59" s="11" t="str">
        <f>CONCATENATE("          ", "6314", " - ", "LIABILITY INSURANCE")</f>
        <v xml:space="preserve">          6314 - LIABILITY INSURANCE</v>
      </c>
      <c r="C59" s="11"/>
      <c r="D59" s="6">
        <v>3883.56</v>
      </c>
      <c r="E59" s="2"/>
      <c r="F59" s="7">
        <f t="shared" si="48"/>
        <v>0</v>
      </c>
      <c r="G59" s="2"/>
      <c r="H59" s="6">
        <v>3658.12</v>
      </c>
      <c r="I59" s="2"/>
      <c r="J59" s="7">
        <f t="shared" si="49"/>
        <v>0</v>
      </c>
      <c r="K59" s="2"/>
      <c r="L59" s="6">
        <f t="shared" si="50"/>
        <v>225.44000000000005</v>
      </c>
      <c r="M59" s="2"/>
      <c r="N59" s="7">
        <f t="shared" si="51"/>
        <v>6.1627283960066934E-2</v>
      </c>
      <c r="O59" s="11"/>
      <c r="P59" s="6">
        <v>38835.599999999999</v>
      </c>
      <c r="Q59" s="2"/>
      <c r="R59" s="7">
        <f t="shared" si="52"/>
        <v>0</v>
      </c>
      <c r="S59" s="2"/>
      <c r="T59" s="6">
        <v>30063.379999999997</v>
      </c>
      <c r="U59" s="2"/>
      <c r="V59" s="7">
        <f t="shared" si="53"/>
        <v>0</v>
      </c>
      <c r="W59" s="2"/>
      <c r="X59" s="6">
        <f t="shared" si="54"/>
        <v>8772.2200000000012</v>
      </c>
      <c r="Y59" s="2"/>
      <c r="Z59" s="7">
        <f t="shared" si="55"/>
        <v>0.29179087647496726</v>
      </c>
    </row>
    <row r="60" spans="1:26" s="25" customFormat="1" outlineLevel="1" collapsed="1" x14ac:dyDescent="0.25">
      <c r="A60" s="26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0</v>
      </c>
      <c r="E60" s="1"/>
      <c r="F60" s="5">
        <f t="shared" si="48"/>
        <v>0</v>
      </c>
      <c r="G60" s="1"/>
      <c r="H60" s="1">
        <f>SUM(OSRRefH22_12x_0)</f>
        <v>0</v>
      </c>
      <c r="I60" s="1"/>
      <c r="J60" s="5">
        <f t="shared" si="49"/>
        <v>0</v>
      </c>
      <c r="K60" s="1"/>
      <c r="L60" s="1">
        <f t="shared" si="50"/>
        <v>0</v>
      </c>
      <c r="M60" s="1"/>
      <c r="N60" s="5">
        <f t="shared" si="51"/>
        <v>0</v>
      </c>
      <c r="O60" s="13"/>
      <c r="P60" s="1">
        <f>SUM(OSRRefP22_12x_0)</f>
        <v>4658.41</v>
      </c>
      <c r="Q60" s="1"/>
      <c r="R60" s="5">
        <f t="shared" si="52"/>
        <v>0</v>
      </c>
      <c r="S60" s="1"/>
      <c r="T60" s="1">
        <f>SUM(OSRRefT22_12x_0)</f>
        <v>6776.43</v>
      </c>
      <c r="U60" s="1"/>
      <c r="V60" s="5">
        <f t="shared" si="53"/>
        <v>0</v>
      </c>
      <c r="W60" s="1"/>
      <c r="X60" s="1">
        <f t="shared" si="54"/>
        <v>-2118.0200000000004</v>
      </c>
      <c r="Y60" s="1"/>
      <c r="Z60" s="5">
        <f t="shared" si="55"/>
        <v>-0.31255690680786202</v>
      </c>
    </row>
    <row r="61" spans="1:26" s="24" customFormat="1" hidden="1" outlineLevel="2" x14ac:dyDescent="0.25">
      <c r="A61" s="27"/>
      <c r="B61" s="11" t="str">
        <f>CONCATENATE("          ", "6336", " - ", "PROFESSIONAL SERVICES")</f>
        <v xml:space="preserve">          6336 - PROFESSIONAL SERVICES</v>
      </c>
      <c r="C61" s="11"/>
      <c r="D61" s="6"/>
      <c r="E61" s="2"/>
      <c r="F61" s="7">
        <f t="shared" si="48"/>
        <v>0</v>
      </c>
      <c r="G61" s="2"/>
      <c r="H61" s="6"/>
      <c r="I61" s="2"/>
      <c r="J61" s="7">
        <f t="shared" si="49"/>
        <v>0</v>
      </c>
      <c r="K61" s="2"/>
      <c r="L61" s="6">
        <f t="shared" si="50"/>
        <v>0</v>
      </c>
      <c r="M61" s="2"/>
      <c r="N61" s="7">
        <f t="shared" si="51"/>
        <v>0</v>
      </c>
      <c r="O61" s="11"/>
      <c r="P61" s="6">
        <v>4658.41</v>
      </c>
      <c r="Q61" s="2"/>
      <c r="R61" s="7">
        <f t="shared" si="52"/>
        <v>0</v>
      </c>
      <c r="S61" s="2"/>
      <c r="T61" s="6">
        <v>6776.43</v>
      </c>
      <c r="U61" s="2"/>
      <c r="V61" s="7">
        <f t="shared" si="53"/>
        <v>0</v>
      </c>
      <c r="W61" s="2"/>
      <c r="X61" s="6">
        <f t="shared" si="54"/>
        <v>-2118.0200000000004</v>
      </c>
      <c r="Y61" s="2"/>
      <c r="Z61" s="7">
        <f t="shared" si="55"/>
        <v>-0.31255690680786202</v>
      </c>
    </row>
    <row r="62" spans="1:26" s="25" customFormat="1" outlineLevel="1" collapsed="1" x14ac:dyDescent="0.25">
      <c r="A62" s="26"/>
      <c r="B62" s="13" t="str">
        <f>CONCATENATE("     ","Rent                                              ")</f>
        <v xml:space="preserve">     Rent                                              </v>
      </c>
      <c r="C62" s="13"/>
      <c r="D62" s="1">
        <f>SUM(OSRRefD22_13x_0)</f>
        <v>-800</v>
      </c>
      <c r="E62" s="1"/>
      <c r="F62" s="5">
        <f t="shared" si="48"/>
        <v>0</v>
      </c>
      <c r="G62" s="1"/>
      <c r="H62" s="1">
        <f>SUM(OSRRefH22_13x_0)</f>
        <v>-800</v>
      </c>
      <c r="I62" s="1"/>
      <c r="J62" s="5">
        <f t="shared" si="49"/>
        <v>0</v>
      </c>
      <c r="K62" s="1"/>
      <c r="L62" s="1">
        <f t="shared" si="50"/>
        <v>0</v>
      </c>
      <c r="M62" s="1"/>
      <c r="N62" s="5">
        <f t="shared" si="51"/>
        <v>0</v>
      </c>
      <c r="O62" s="13"/>
      <c r="P62" s="1">
        <f>SUM(OSRRefP22_13x_0)</f>
        <v>-6400</v>
      </c>
      <c r="Q62" s="1"/>
      <c r="R62" s="5">
        <f t="shared" si="52"/>
        <v>0</v>
      </c>
      <c r="S62" s="1"/>
      <c r="T62" s="1">
        <f>SUM(OSRRefT22_13x_0)</f>
        <v>-7098.92</v>
      </c>
      <c r="U62" s="1"/>
      <c r="V62" s="5">
        <f t="shared" si="53"/>
        <v>0</v>
      </c>
      <c r="W62" s="1"/>
      <c r="X62" s="1">
        <f t="shared" si="54"/>
        <v>698.92000000000007</v>
      </c>
      <c r="Y62" s="1"/>
      <c r="Z62" s="5">
        <f t="shared" si="55"/>
        <v>-9.8454412783916437E-2</v>
      </c>
    </row>
    <row r="63" spans="1:26" s="24" customFormat="1" hidden="1" outlineLevel="2" x14ac:dyDescent="0.25">
      <c r="A63" s="27"/>
      <c r="B63" s="11" t="str">
        <f>CONCATENATE("          ", "6273", " - ", "RENT")</f>
        <v xml:space="preserve">          6273 - RENT</v>
      </c>
      <c r="C63" s="11"/>
      <c r="D63" s="6">
        <v>-800</v>
      </c>
      <c r="E63" s="2"/>
      <c r="F63" s="7">
        <f t="shared" si="48"/>
        <v>0</v>
      </c>
      <c r="G63" s="2"/>
      <c r="H63" s="6">
        <v>-800</v>
      </c>
      <c r="I63" s="2"/>
      <c r="J63" s="7">
        <f t="shared" si="49"/>
        <v>0</v>
      </c>
      <c r="K63" s="2"/>
      <c r="L63" s="6">
        <f t="shared" si="50"/>
        <v>0</v>
      </c>
      <c r="M63" s="2"/>
      <c r="N63" s="7">
        <f t="shared" si="51"/>
        <v>0</v>
      </c>
      <c r="O63" s="11"/>
      <c r="P63" s="6">
        <v>-6400</v>
      </c>
      <c r="Q63" s="2"/>
      <c r="R63" s="7">
        <f t="shared" si="52"/>
        <v>0</v>
      </c>
      <c r="S63" s="2"/>
      <c r="T63" s="6">
        <v>-7098.92</v>
      </c>
      <c r="U63" s="2"/>
      <c r="V63" s="7">
        <f t="shared" si="53"/>
        <v>0</v>
      </c>
      <c r="W63" s="2"/>
      <c r="X63" s="6">
        <f t="shared" si="54"/>
        <v>698.92000000000007</v>
      </c>
      <c r="Y63" s="2"/>
      <c r="Z63" s="7">
        <f t="shared" si="55"/>
        <v>-9.8454412783916437E-2</v>
      </c>
    </row>
    <row r="64" spans="1:26" s="25" customFormat="1" outlineLevel="1" collapsed="1" x14ac:dyDescent="0.25">
      <c r="A64" s="26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SUM(OSRRefD22_14x_0)</f>
        <v>2111.65</v>
      </c>
      <c r="E64" s="1"/>
      <c r="F64" s="5">
        <f t="shared" si="48"/>
        <v>0</v>
      </c>
      <c r="G64" s="1"/>
      <c r="H64" s="1">
        <f>SUM(OSRRefH22_14x_0)</f>
        <v>3866.13</v>
      </c>
      <c r="I64" s="1"/>
      <c r="J64" s="5">
        <f t="shared" si="49"/>
        <v>0</v>
      </c>
      <c r="K64" s="1"/>
      <c r="L64" s="1">
        <f t="shared" si="50"/>
        <v>-1754.48</v>
      </c>
      <c r="M64" s="1"/>
      <c r="N64" s="5">
        <f t="shared" si="51"/>
        <v>-0.45380781298093958</v>
      </c>
      <c r="O64" s="13"/>
      <c r="P64" s="1">
        <f>SUM(OSRRefP22_14x_0)</f>
        <v>60894.53</v>
      </c>
      <c r="Q64" s="1"/>
      <c r="R64" s="5">
        <f t="shared" si="52"/>
        <v>0</v>
      </c>
      <c r="S64" s="1"/>
      <c r="T64" s="1">
        <f>SUM(OSRRefT22_14x_0)</f>
        <v>92535.360000000001</v>
      </c>
      <c r="U64" s="1"/>
      <c r="V64" s="5">
        <f t="shared" si="53"/>
        <v>0</v>
      </c>
      <c r="W64" s="1"/>
      <c r="X64" s="1">
        <f t="shared" si="54"/>
        <v>-31640.83</v>
      </c>
      <c r="Y64" s="1"/>
      <c r="Z64" s="5">
        <f t="shared" si="55"/>
        <v>-0.34193231646799666</v>
      </c>
    </row>
    <row r="65" spans="1:26" s="24" customFormat="1" hidden="1" outlineLevel="2" x14ac:dyDescent="0.25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6">
        <v>631.04999999999995</v>
      </c>
      <c r="E65" s="2"/>
      <c r="F65" s="7">
        <f t="shared" si="48"/>
        <v>0</v>
      </c>
      <c r="G65" s="2"/>
      <c r="H65" s="6">
        <v>601</v>
      </c>
      <c r="I65" s="2"/>
      <c r="J65" s="7">
        <f t="shared" si="49"/>
        <v>0</v>
      </c>
      <c r="K65" s="2"/>
      <c r="L65" s="6">
        <f t="shared" si="50"/>
        <v>30.049999999999955</v>
      </c>
      <c r="M65" s="2"/>
      <c r="N65" s="7">
        <f t="shared" si="51"/>
        <v>4.9999999999999926E-2</v>
      </c>
      <c r="O65" s="11"/>
      <c r="P65" s="6">
        <v>16417.5</v>
      </c>
      <c r="Q65" s="2"/>
      <c r="R65" s="7">
        <f t="shared" si="52"/>
        <v>0</v>
      </c>
      <c r="S65" s="2"/>
      <c r="T65" s="6">
        <v>51654.25</v>
      </c>
      <c r="U65" s="2"/>
      <c r="V65" s="7">
        <f t="shared" si="53"/>
        <v>0</v>
      </c>
      <c r="W65" s="2"/>
      <c r="X65" s="6">
        <f t="shared" si="54"/>
        <v>-35236.75</v>
      </c>
      <c r="Y65" s="2"/>
      <c r="Z65" s="7">
        <f t="shared" si="55"/>
        <v>-0.68216555268927537</v>
      </c>
    </row>
    <row r="66" spans="1:26" s="24" customFormat="1" hidden="1" outlineLevel="2" x14ac:dyDescent="0.25">
      <c r="A66" s="27"/>
      <c r="B66" s="11" t="str">
        <f>CONCATENATE("          ", "6372", " - ", "COMPUTER HARDWARE MAINTENANCE")</f>
        <v xml:space="preserve">          6372 - COMPUTER HARDWARE MAINTENANCE</v>
      </c>
      <c r="C66" s="11"/>
      <c r="D66" s="6"/>
      <c r="E66" s="2"/>
      <c r="F66" s="7">
        <f t="shared" si="48"/>
        <v>0</v>
      </c>
      <c r="G66" s="2"/>
      <c r="H66" s="6"/>
      <c r="I66" s="2"/>
      <c r="J66" s="7">
        <f t="shared" si="49"/>
        <v>0</v>
      </c>
      <c r="K66" s="2"/>
      <c r="L66" s="6">
        <f t="shared" si="50"/>
        <v>0</v>
      </c>
      <c r="M66" s="2"/>
      <c r="N66" s="7">
        <f t="shared" si="51"/>
        <v>0</v>
      </c>
      <c r="O66" s="11"/>
      <c r="P66" s="6">
        <v>52.32</v>
      </c>
      <c r="Q66" s="2"/>
      <c r="R66" s="7">
        <f t="shared" si="52"/>
        <v>0</v>
      </c>
      <c r="S66" s="2"/>
      <c r="T66" s="6">
        <v>51.79</v>
      </c>
      <c r="U66" s="2"/>
      <c r="V66" s="7">
        <f t="shared" si="53"/>
        <v>0</v>
      </c>
      <c r="W66" s="2"/>
      <c r="X66" s="6">
        <f t="shared" si="54"/>
        <v>0.53000000000000114</v>
      </c>
      <c r="Y66" s="2"/>
      <c r="Z66" s="7">
        <f t="shared" si="55"/>
        <v>1.0233635837034199E-2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6">
        <v>775</v>
      </c>
      <c r="E67" s="2"/>
      <c r="F67" s="7">
        <f t="shared" si="48"/>
        <v>0</v>
      </c>
      <c r="G67" s="2"/>
      <c r="H67" s="6">
        <v>1515.55</v>
      </c>
      <c r="I67" s="2"/>
      <c r="J67" s="7">
        <f t="shared" si="49"/>
        <v>0</v>
      </c>
      <c r="K67" s="2"/>
      <c r="L67" s="6">
        <f t="shared" si="50"/>
        <v>-740.55</v>
      </c>
      <c r="M67" s="2"/>
      <c r="N67" s="7">
        <f t="shared" si="51"/>
        <v>-0.48863448912935897</v>
      </c>
      <c r="O67" s="11"/>
      <c r="P67" s="6">
        <v>9377.0499999999993</v>
      </c>
      <c r="Q67" s="2"/>
      <c r="R67" s="7">
        <f t="shared" si="52"/>
        <v>0</v>
      </c>
      <c r="S67" s="2"/>
      <c r="T67" s="6">
        <v>15722.630000000001</v>
      </c>
      <c r="U67" s="2"/>
      <c r="V67" s="7">
        <f t="shared" si="53"/>
        <v>0</v>
      </c>
      <c r="W67" s="2"/>
      <c r="X67" s="6">
        <f t="shared" si="54"/>
        <v>-6345.5800000000017</v>
      </c>
      <c r="Y67" s="2"/>
      <c r="Z67" s="7">
        <f t="shared" si="55"/>
        <v>-0.40359532724486941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705.6</v>
      </c>
      <c r="E68" s="2"/>
      <c r="F68" s="7">
        <f t="shared" si="48"/>
        <v>0</v>
      </c>
      <c r="G68" s="2"/>
      <c r="H68" s="6">
        <v>1749.58</v>
      </c>
      <c r="I68" s="2"/>
      <c r="J68" s="7">
        <f t="shared" si="49"/>
        <v>0</v>
      </c>
      <c r="K68" s="2"/>
      <c r="L68" s="6">
        <f t="shared" si="50"/>
        <v>-1043.98</v>
      </c>
      <c r="M68" s="2"/>
      <c r="N68" s="7">
        <f t="shared" si="51"/>
        <v>-0.59670320877010485</v>
      </c>
      <c r="O68" s="11"/>
      <c r="P68" s="6">
        <v>35047.660000000003</v>
      </c>
      <c r="Q68" s="2"/>
      <c r="R68" s="7">
        <f t="shared" si="52"/>
        <v>0</v>
      </c>
      <c r="S68" s="2"/>
      <c r="T68" s="6">
        <v>25106.69</v>
      </c>
      <c r="U68" s="2"/>
      <c r="V68" s="7">
        <f t="shared" si="53"/>
        <v>0</v>
      </c>
      <c r="W68" s="2"/>
      <c r="X68" s="6">
        <f t="shared" si="54"/>
        <v>9940.9700000000048</v>
      </c>
      <c r="Y68" s="2"/>
      <c r="Z68" s="7">
        <f t="shared" si="55"/>
        <v>0.39594904784342361</v>
      </c>
    </row>
    <row r="69" spans="1:26" s="25" customFormat="1" outlineLevel="1" collapsed="1" x14ac:dyDescent="0.25">
      <c r="A69" s="26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SUM(OSRRefD22_15x_0)</f>
        <v>0</v>
      </c>
      <c r="E69" s="1"/>
      <c r="F69" s="5">
        <f t="shared" ref="F69:F74" si="56">IF(D$12=0,0,D69/D$12)</f>
        <v>0</v>
      </c>
      <c r="G69" s="1"/>
      <c r="H69" s="1">
        <f>SUM(OSRRefH22_15x_0)</f>
        <v>0</v>
      </c>
      <c r="I69" s="1"/>
      <c r="J69" s="5">
        <f t="shared" ref="J69:J74" si="57">IF(H$12=0,0,H69/H$12)</f>
        <v>0</v>
      </c>
      <c r="K69" s="1"/>
      <c r="L69" s="1">
        <f t="shared" ref="L69:L74" si="58">+D69-H69</f>
        <v>0</v>
      </c>
      <c r="M69" s="1"/>
      <c r="N69" s="5">
        <f t="shared" ref="N69:N74" si="59">IF(H69=0,0,L69/H69)</f>
        <v>0</v>
      </c>
      <c r="O69" s="13"/>
      <c r="P69" s="1">
        <f>SUM(OSRRefP22_15x_0)</f>
        <v>0</v>
      </c>
      <c r="Q69" s="1"/>
      <c r="R69" s="5">
        <f t="shared" ref="R69:R74" si="60">IF(P$12=0,0,P69/P$12)</f>
        <v>0</v>
      </c>
      <c r="S69" s="1"/>
      <c r="T69" s="1">
        <f>SUM(OSRRefT22_15x_0)</f>
        <v>61</v>
      </c>
      <c r="U69" s="1"/>
      <c r="V69" s="5">
        <f t="shared" ref="V69:V74" si="61">IF(T$12=0,0,T69/T$12)</f>
        <v>0</v>
      </c>
      <c r="W69" s="1"/>
      <c r="X69" s="1">
        <f t="shared" ref="X69:X74" si="62">+P69-T69</f>
        <v>-61</v>
      </c>
      <c r="Y69" s="1"/>
      <c r="Z69" s="5">
        <f t="shared" ref="Z69:Z74" si="63">IF(T69=0,0,X69/T69)</f>
        <v>-1</v>
      </c>
    </row>
    <row r="70" spans="1:26" s="24" customFormat="1" hidden="1" outlineLevel="2" x14ac:dyDescent="0.25">
      <c r="A70" s="27"/>
      <c r="B70" s="11" t="str">
        <f>CONCATENATE("          ", "6254", " - ", "ROYALTY &amp; COMMISSIONS")</f>
        <v xml:space="preserve">          6254 - ROYALTY &amp; COMMISSIONS</v>
      </c>
      <c r="C70" s="11"/>
      <c r="D70" s="6"/>
      <c r="E70" s="2"/>
      <c r="F70" s="7">
        <f t="shared" si="56"/>
        <v>0</v>
      </c>
      <c r="G70" s="2"/>
      <c r="H70" s="6"/>
      <c r="I70" s="2"/>
      <c r="J70" s="7">
        <f t="shared" si="57"/>
        <v>0</v>
      </c>
      <c r="K70" s="2"/>
      <c r="L70" s="6">
        <f t="shared" si="58"/>
        <v>0</v>
      </c>
      <c r="M70" s="2"/>
      <c r="N70" s="7">
        <f t="shared" si="59"/>
        <v>0</v>
      </c>
      <c r="O70" s="11"/>
      <c r="P70" s="6"/>
      <c r="Q70" s="2"/>
      <c r="R70" s="7">
        <f t="shared" si="60"/>
        <v>0</v>
      </c>
      <c r="S70" s="2"/>
      <c r="T70" s="6">
        <v>61</v>
      </c>
      <c r="U70" s="2"/>
      <c r="V70" s="7">
        <f t="shared" si="61"/>
        <v>0</v>
      </c>
      <c r="W70" s="2"/>
      <c r="X70" s="6">
        <f t="shared" si="62"/>
        <v>-61</v>
      </c>
      <c r="Y70" s="2"/>
      <c r="Z70" s="7">
        <f t="shared" si="63"/>
        <v>-1</v>
      </c>
    </row>
    <row r="71" spans="1:26" s="25" customFormat="1" outlineLevel="1" collapsed="1" x14ac:dyDescent="0.25">
      <c r="A71" s="26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SUM(OSRRefD22_16x_0)</f>
        <v>4330.68</v>
      </c>
      <c r="E71" s="1"/>
      <c r="F71" s="5">
        <f t="shared" si="56"/>
        <v>0</v>
      </c>
      <c r="G71" s="1"/>
      <c r="H71" s="1">
        <f>SUM(OSRRefH22_16x_0)</f>
        <v>4163.93</v>
      </c>
      <c r="I71" s="1"/>
      <c r="J71" s="5">
        <f t="shared" si="57"/>
        <v>0</v>
      </c>
      <c r="K71" s="1"/>
      <c r="L71" s="1">
        <f t="shared" si="58"/>
        <v>166.75</v>
      </c>
      <c r="M71" s="1"/>
      <c r="N71" s="5">
        <f t="shared" si="59"/>
        <v>4.0046302411423818E-2</v>
      </c>
      <c r="O71" s="13"/>
      <c r="P71" s="1">
        <f>SUM(OSRRefP22_16x_0)</f>
        <v>41481.629999999997</v>
      </c>
      <c r="Q71" s="1"/>
      <c r="R71" s="5">
        <f t="shared" si="60"/>
        <v>0</v>
      </c>
      <c r="S71" s="1"/>
      <c r="T71" s="1">
        <f>SUM(OSRRefT22_16x_0)</f>
        <v>40329.040000000001</v>
      </c>
      <c r="U71" s="1"/>
      <c r="V71" s="5">
        <f t="shared" si="61"/>
        <v>0</v>
      </c>
      <c r="W71" s="1"/>
      <c r="X71" s="1">
        <f t="shared" si="62"/>
        <v>1152.5899999999965</v>
      </c>
      <c r="Y71" s="1"/>
      <c r="Z71" s="5">
        <f t="shared" si="63"/>
        <v>2.8579653768103494E-2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222.5</v>
      </c>
      <c r="E72" s="2"/>
      <c r="F72" s="7">
        <f t="shared" si="56"/>
        <v>0</v>
      </c>
      <c r="G72" s="2"/>
      <c r="H72" s="6">
        <v>210.5</v>
      </c>
      <c r="I72" s="2"/>
      <c r="J72" s="7">
        <f t="shared" si="57"/>
        <v>0</v>
      </c>
      <c r="K72" s="2"/>
      <c r="L72" s="6">
        <f t="shared" si="58"/>
        <v>12</v>
      </c>
      <c r="M72" s="2"/>
      <c r="N72" s="7">
        <f t="shared" si="59"/>
        <v>5.7007125890736345E-2</v>
      </c>
      <c r="O72" s="11"/>
      <c r="P72" s="6">
        <v>2225</v>
      </c>
      <c r="Q72" s="2"/>
      <c r="R72" s="7">
        <f t="shared" si="60"/>
        <v>0</v>
      </c>
      <c r="S72" s="2"/>
      <c r="T72" s="6">
        <v>1998.5</v>
      </c>
      <c r="U72" s="2"/>
      <c r="V72" s="7">
        <f t="shared" si="61"/>
        <v>0</v>
      </c>
      <c r="W72" s="2"/>
      <c r="X72" s="6">
        <f t="shared" si="62"/>
        <v>226.5</v>
      </c>
      <c r="Y72" s="2"/>
      <c r="Z72" s="7">
        <f t="shared" si="63"/>
        <v>0.11333500125093821</v>
      </c>
    </row>
    <row r="73" spans="1:26" s="24" customFormat="1" hidden="1" outlineLevel="2" x14ac:dyDescent="0.25">
      <c r="A73" s="27"/>
      <c r="B73" s="11" t="str">
        <f>CONCATENATE("          ", "6283", " - ", "PLANT SERVICE")</f>
        <v xml:space="preserve">          6283 - PLANT SERVICE</v>
      </c>
      <c r="C73" s="11"/>
      <c r="D73" s="6"/>
      <c r="E73" s="2"/>
      <c r="F73" s="7">
        <f t="shared" si="56"/>
        <v>0</v>
      </c>
      <c r="G73" s="2"/>
      <c r="H73" s="6">
        <v>117</v>
      </c>
      <c r="I73" s="2"/>
      <c r="J73" s="7">
        <f t="shared" si="57"/>
        <v>0</v>
      </c>
      <c r="K73" s="2"/>
      <c r="L73" s="6">
        <f t="shared" si="58"/>
        <v>-117</v>
      </c>
      <c r="M73" s="2"/>
      <c r="N73" s="7">
        <f t="shared" si="59"/>
        <v>-1</v>
      </c>
      <c r="O73" s="11"/>
      <c r="P73" s="6">
        <v>363.33</v>
      </c>
      <c r="Q73" s="2"/>
      <c r="R73" s="7">
        <f t="shared" si="60"/>
        <v>0</v>
      </c>
      <c r="S73" s="2"/>
      <c r="T73" s="6">
        <v>1292.5</v>
      </c>
      <c r="U73" s="2"/>
      <c r="V73" s="7">
        <f t="shared" si="61"/>
        <v>0</v>
      </c>
      <c r="W73" s="2"/>
      <c r="X73" s="6">
        <f t="shared" si="62"/>
        <v>-929.17000000000007</v>
      </c>
      <c r="Y73" s="2"/>
      <c r="Z73" s="7">
        <f t="shared" si="63"/>
        <v>-0.71889361702127663</v>
      </c>
    </row>
    <row r="74" spans="1:26" s="24" customFormat="1" hidden="1" outlineLevel="2" x14ac:dyDescent="0.25">
      <c r="A74" s="27"/>
      <c r="B74" s="11" t="str">
        <f>CONCATENATE("          ", "6285", " - ", "JANITORIAL SERVICES")</f>
        <v xml:space="preserve">          6285 - JANITORIAL SERVICES</v>
      </c>
      <c r="C74" s="11"/>
      <c r="D74" s="6">
        <v>4108.18</v>
      </c>
      <c r="E74" s="2"/>
      <c r="F74" s="7">
        <f t="shared" si="56"/>
        <v>0</v>
      </c>
      <c r="G74" s="2"/>
      <c r="H74" s="6">
        <v>3836.43</v>
      </c>
      <c r="I74" s="2"/>
      <c r="J74" s="7">
        <f t="shared" si="57"/>
        <v>0</v>
      </c>
      <c r="K74" s="2"/>
      <c r="L74" s="6">
        <f t="shared" si="58"/>
        <v>271.75000000000045</v>
      </c>
      <c r="M74" s="2"/>
      <c r="N74" s="7">
        <f t="shared" si="59"/>
        <v>7.0834082727952927E-2</v>
      </c>
      <c r="O74" s="11"/>
      <c r="P74" s="6">
        <v>38893.299999999996</v>
      </c>
      <c r="Q74" s="2"/>
      <c r="R74" s="7">
        <f t="shared" si="60"/>
        <v>0</v>
      </c>
      <c r="S74" s="2"/>
      <c r="T74" s="6">
        <v>37038.04</v>
      </c>
      <c r="U74" s="2"/>
      <c r="V74" s="7">
        <f t="shared" si="61"/>
        <v>0</v>
      </c>
      <c r="W74" s="2"/>
      <c r="X74" s="6">
        <f t="shared" si="62"/>
        <v>1855.2599999999948</v>
      </c>
      <c r="Y74" s="2"/>
      <c r="Z74" s="7">
        <f t="shared" si="63"/>
        <v>5.0090663544831063E-2</v>
      </c>
    </row>
    <row r="75" spans="1:26" s="25" customFormat="1" outlineLevel="1" collapsed="1" x14ac:dyDescent="0.25">
      <c r="A75" s="26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SUM(OSRRefD22_17x_0)</f>
        <v>0</v>
      </c>
      <c r="E75" s="1"/>
      <c r="F75" s="5">
        <f t="shared" ref="F75:F77" si="64">IF(D$12=0,0,D75/D$12)</f>
        <v>0</v>
      </c>
      <c r="G75" s="1"/>
      <c r="H75" s="1">
        <f>SUM(OSRRefH22_17x_0)</f>
        <v>214.82999999999998</v>
      </c>
      <c r="I75" s="1"/>
      <c r="J75" s="5">
        <f t="shared" ref="J75:J77" si="65">IF(H$12=0,0,H75/H$12)</f>
        <v>0</v>
      </c>
      <c r="K75" s="1"/>
      <c r="L75" s="1">
        <f t="shared" ref="L75:L77" si="66">+D75-H75</f>
        <v>-214.82999999999998</v>
      </c>
      <c r="M75" s="1"/>
      <c r="N75" s="5">
        <f t="shared" ref="N75:N77" si="67">IF(H75=0,0,L75/H75)</f>
        <v>-1</v>
      </c>
      <c r="O75" s="13"/>
      <c r="P75" s="1">
        <f>SUM(OSRRefP22_17x_0)</f>
        <v>1280.3</v>
      </c>
      <c r="Q75" s="1"/>
      <c r="R75" s="5">
        <f t="shared" ref="R75:R77" si="68">IF(P$12=0,0,P75/P$12)</f>
        <v>0</v>
      </c>
      <c r="S75" s="1"/>
      <c r="T75" s="1">
        <f>SUM(OSRRefT22_17x_0)</f>
        <v>5828.6500000000005</v>
      </c>
      <c r="U75" s="1"/>
      <c r="V75" s="5">
        <f t="shared" ref="V75:V77" si="69">IF(T$12=0,0,T75/T$12)</f>
        <v>0</v>
      </c>
      <c r="W75" s="1"/>
      <c r="X75" s="1">
        <f t="shared" ref="X75:X77" si="70">+P75-T75</f>
        <v>-4548.3500000000004</v>
      </c>
      <c r="Y75" s="1"/>
      <c r="Z75" s="5">
        <f t="shared" ref="Z75:Z77" si="71">IF(T75=0,0,X75/T75)</f>
        <v>-0.78034364732828354</v>
      </c>
    </row>
    <row r="76" spans="1:26" s="24" customFormat="1" hidden="1" outlineLevel="2" x14ac:dyDescent="0.25">
      <c r="A76" s="27"/>
      <c r="B76" s="11" t="str">
        <f>CONCATENATE("          ", "6258", " - ", "MEMBERSHIP DUES")</f>
        <v xml:space="preserve">          6258 - MEMBERSHIP DUES</v>
      </c>
      <c r="C76" s="11"/>
      <c r="D76" s="6"/>
      <c r="E76" s="2"/>
      <c r="F76" s="7">
        <f t="shared" si="64"/>
        <v>0</v>
      </c>
      <c r="G76" s="2"/>
      <c r="H76" s="6">
        <v>54.85</v>
      </c>
      <c r="I76" s="2"/>
      <c r="J76" s="7">
        <f t="shared" si="65"/>
        <v>0</v>
      </c>
      <c r="K76" s="2"/>
      <c r="L76" s="6">
        <f t="shared" si="66"/>
        <v>-54.85</v>
      </c>
      <c r="M76" s="2"/>
      <c r="N76" s="7">
        <f t="shared" si="67"/>
        <v>-1</v>
      </c>
      <c r="O76" s="11"/>
      <c r="P76" s="6">
        <v>875</v>
      </c>
      <c r="Q76" s="2"/>
      <c r="R76" s="7">
        <f t="shared" si="68"/>
        <v>0</v>
      </c>
      <c r="S76" s="2"/>
      <c r="T76" s="6">
        <v>819.85</v>
      </c>
      <c r="U76" s="2"/>
      <c r="V76" s="7">
        <f t="shared" si="69"/>
        <v>0</v>
      </c>
      <c r="W76" s="2"/>
      <c r="X76" s="6">
        <f t="shared" si="70"/>
        <v>55.149999999999977</v>
      </c>
      <c r="Y76" s="2"/>
      <c r="Z76" s="7">
        <f t="shared" si="71"/>
        <v>6.7268402756601786E-2</v>
      </c>
    </row>
    <row r="77" spans="1:26" s="24" customFormat="1" hidden="1" outlineLevel="2" x14ac:dyDescent="0.25">
      <c r="A77" s="27"/>
      <c r="B77" s="11" t="str">
        <f>CONCATENATE("          ", "6275", " - ", "SUBSCRIPTIONS")</f>
        <v xml:space="preserve">          6275 - SUBSCRIPTIONS</v>
      </c>
      <c r="C77" s="11"/>
      <c r="D77" s="6"/>
      <c r="E77" s="2"/>
      <c r="F77" s="7">
        <f t="shared" si="64"/>
        <v>0</v>
      </c>
      <c r="G77" s="2"/>
      <c r="H77" s="6">
        <v>159.97999999999999</v>
      </c>
      <c r="I77" s="2"/>
      <c r="J77" s="7">
        <f t="shared" si="65"/>
        <v>0</v>
      </c>
      <c r="K77" s="2"/>
      <c r="L77" s="6">
        <f t="shared" si="66"/>
        <v>-159.97999999999999</v>
      </c>
      <c r="M77" s="2"/>
      <c r="N77" s="7">
        <f t="shared" si="67"/>
        <v>-1</v>
      </c>
      <c r="O77" s="11"/>
      <c r="P77" s="6">
        <v>405.3</v>
      </c>
      <c r="Q77" s="2"/>
      <c r="R77" s="7">
        <f t="shared" si="68"/>
        <v>0</v>
      </c>
      <c r="S77" s="2"/>
      <c r="T77" s="6">
        <v>5008.8</v>
      </c>
      <c r="U77" s="2"/>
      <c r="V77" s="7">
        <f t="shared" si="69"/>
        <v>0</v>
      </c>
      <c r="W77" s="2"/>
      <c r="X77" s="6">
        <f t="shared" si="70"/>
        <v>-4603.5</v>
      </c>
      <c r="Y77" s="2"/>
      <c r="Z77" s="7">
        <f t="shared" si="71"/>
        <v>-0.91908241494968856</v>
      </c>
    </row>
    <row r="78" spans="1:26" s="25" customFormat="1" outlineLevel="1" collapsed="1" x14ac:dyDescent="0.25">
      <c r="A78" s="26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SUM(OSRRefD22_18x_0)</f>
        <v>573.82999999999993</v>
      </c>
      <c r="E78" s="1"/>
      <c r="F78" s="5">
        <f t="shared" ref="F78:F84" si="72">IF(D$12=0,0,D78/D$12)</f>
        <v>0</v>
      </c>
      <c r="G78" s="1"/>
      <c r="H78" s="1">
        <f>SUM(OSRRefH22_18x_0)</f>
        <v>1859.88</v>
      </c>
      <c r="I78" s="1"/>
      <c r="J78" s="5">
        <f t="shared" ref="J78:J84" si="73">IF(H$12=0,0,H78/H$12)</f>
        <v>0</v>
      </c>
      <c r="K78" s="1"/>
      <c r="L78" s="1">
        <f t="shared" ref="L78:L84" si="74">+D78-H78</f>
        <v>-1286.0500000000002</v>
      </c>
      <c r="M78" s="1"/>
      <c r="N78" s="5">
        <f t="shared" ref="N78:N84" si="75">IF(H78=0,0,L78/H78)</f>
        <v>-0.69146934210809308</v>
      </c>
      <c r="O78" s="13"/>
      <c r="P78" s="1">
        <f>SUM(OSRRefP22_18x_0)</f>
        <v>14121.070000000002</v>
      </c>
      <c r="Q78" s="1"/>
      <c r="R78" s="5">
        <f t="shared" ref="R78:R84" si="76">IF(P$12=0,0,P78/P$12)</f>
        <v>0</v>
      </c>
      <c r="S78" s="1"/>
      <c r="T78" s="1">
        <f>SUM(OSRRefT22_18x_0)</f>
        <v>59743.99</v>
      </c>
      <c r="U78" s="1"/>
      <c r="V78" s="5">
        <f t="shared" ref="V78:V84" si="77">IF(T$12=0,0,T78/T$12)</f>
        <v>0</v>
      </c>
      <c r="W78" s="1"/>
      <c r="X78" s="1">
        <f t="shared" ref="X78:X84" si="78">+P78-T78</f>
        <v>-45622.92</v>
      </c>
      <c r="Y78" s="1"/>
      <c r="Z78" s="5">
        <f t="shared" ref="Z78:Z84" si="79">IF(T78=0,0,X78/T78)</f>
        <v>-0.76364032599764431</v>
      </c>
    </row>
    <row r="79" spans="1:26" s="24" customFormat="1" hidden="1" outlineLevel="2" x14ac:dyDescent="0.25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72"/>
        <v>0</v>
      </c>
      <c r="G79" s="2"/>
      <c r="H79" s="6"/>
      <c r="I79" s="2"/>
      <c r="J79" s="7">
        <f t="shared" si="73"/>
        <v>0</v>
      </c>
      <c r="K79" s="2"/>
      <c r="L79" s="6">
        <f t="shared" si="74"/>
        <v>0</v>
      </c>
      <c r="M79" s="2"/>
      <c r="N79" s="7">
        <f t="shared" si="75"/>
        <v>0</v>
      </c>
      <c r="O79" s="11"/>
      <c r="P79" s="6">
        <v>1448.29</v>
      </c>
      <c r="Q79" s="2"/>
      <c r="R79" s="7">
        <f t="shared" si="76"/>
        <v>0</v>
      </c>
      <c r="S79" s="2"/>
      <c r="T79" s="6">
        <v>1164.48</v>
      </c>
      <c r="U79" s="2"/>
      <c r="V79" s="7">
        <f t="shared" si="77"/>
        <v>0</v>
      </c>
      <c r="W79" s="2"/>
      <c r="X79" s="6">
        <f t="shared" si="78"/>
        <v>283.80999999999995</v>
      </c>
      <c r="Y79" s="2"/>
      <c r="Z79" s="7">
        <f t="shared" si="79"/>
        <v>0.24372251992305574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6">
        <v>482.39</v>
      </c>
      <c r="E80" s="2"/>
      <c r="F80" s="7">
        <f t="shared" si="72"/>
        <v>0</v>
      </c>
      <c r="G80" s="2"/>
      <c r="H80" s="6">
        <v>496.53</v>
      </c>
      <c r="I80" s="2"/>
      <c r="J80" s="7">
        <f t="shared" si="73"/>
        <v>0</v>
      </c>
      <c r="K80" s="2"/>
      <c r="L80" s="6">
        <f t="shared" si="74"/>
        <v>-14.139999999999986</v>
      </c>
      <c r="M80" s="2"/>
      <c r="N80" s="7">
        <f t="shared" si="75"/>
        <v>-2.8477634785410724E-2</v>
      </c>
      <c r="O80" s="11"/>
      <c r="P80" s="6">
        <v>4407.67</v>
      </c>
      <c r="Q80" s="2"/>
      <c r="R80" s="7">
        <f t="shared" si="76"/>
        <v>0</v>
      </c>
      <c r="S80" s="2"/>
      <c r="T80" s="6">
        <v>5235.8999999999996</v>
      </c>
      <c r="U80" s="2"/>
      <c r="V80" s="7">
        <f t="shared" si="77"/>
        <v>0</v>
      </c>
      <c r="W80" s="2"/>
      <c r="X80" s="6">
        <f t="shared" si="78"/>
        <v>-828.22999999999956</v>
      </c>
      <c r="Y80" s="2"/>
      <c r="Z80" s="7">
        <f t="shared" si="79"/>
        <v>-0.15818292939131756</v>
      </c>
    </row>
    <row r="81" spans="1:26" s="24" customFormat="1" hidden="1" outlineLevel="2" x14ac:dyDescent="0.25">
      <c r="A81" s="27"/>
      <c r="B81" s="11" t="str">
        <f>CONCATENATE("          ", "6241", " - ", "OFFICE EXPENSE")</f>
        <v xml:space="preserve">          6241 - OFFICE EXPENSE</v>
      </c>
      <c r="C81" s="11"/>
      <c r="D81" s="6">
        <v>47.53</v>
      </c>
      <c r="E81" s="2"/>
      <c r="F81" s="7">
        <f t="shared" si="72"/>
        <v>0</v>
      </c>
      <c r="G81" s="2"/>
      <c r="H81" s="6">
        <v>1035.95</v>
      </c>
      <c r="I81" s="2"/>
      <c r="J81" s="7">
        <f t="shared" si="73"/>
        <v>0</v>
      </c>
      <c r="K81" s="2"/>
      <c r="L81" s="6">
        <f t="shared" si="74"/>
        <v>-988.42000000000007</v>
      </c>
      <c r="M81" s="2"/>
      <c r="N81" s="7">
        <f t="shared" si="75"/>
        <v>-0.95411940730730249</v>
      </c>
      <c r="O81" s="11"/>
      <c r="P81" s="6">
        <v>8655.1200000000008</v>
      </c>
      <c r="Q81" s="2"/>
      <c r="R81" s="7">
        <f t="shared" si="76"/>
        <v>0</v>
      </c>
      <c r="S81" s="2"/>
      <c r="T81" s="6">
        <v>16719.14</v>
      </c>
      <c r="U81" s="2"/>
      <c r="V81" s="7">
        <f t="shared" si="77"/>
        <v>0</v>
      </c>
      <c r="W81" s="2"/>
      <c r="X81" s="6">
        <f t="shared" si="78"/>
        <v>-8064.0199999999986</v>
      </c>
      <c r="Y81" s="2"/>
      <c r="Z81" s="7">
        <f t="shared" si="79"/>
        <v>-0.48232265535189006</v>
      </c>
    </row>
    <row r="82" spans="1:26" s="24" customFormat="1" hidden="1" outlineLevel="2" x14ac:dyDescent="0.25">
      <c r="A82" s="27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72"/>
        <v>0</v>
      </c>
      <c r="G82" s="2"/>
      <c r="H82" s="6"/>
      <c r="I82" s="2"/>
      <c r="J82" s="7">
        <f t="shared" si="73"/>
        <v>0</v>
      </c>
      <c r="K82" s="2"/>
      <c r="L82" s="6">
        <f t="shared" si="74"/>
        <v>0</v>
      </c>
      <c r="M82" s="2"/>
      <c r="N82" s="7">
        <f t="shared" si="75"/>
        <v>0</v>
      </c>
      <c r="O82" s="11"/>
      <c r="P82" s="6">
        <v>19.73</v>
      </c>
      <c r="Q82" s="2"/>
      <c r="R82" s="7">
        <f t="shared" si="76"/>
        <v>0</v>
      </c>
      <c r="S82" s="2"/>
      <c r="T82" s="6">
        <v>2031.1</v>
      </c>
      <c r="U82" s="2"/>
      <c r="V82" s="7">
        <f t="shared" si="77"/>
        <v>0</v>
      </c>
      <c r="W82" s="2"/>
      <c r="X82" s="6">
        <f t="shared" si="78"/>
        <v>-2011.37</v>
      </c>
      <c r="Y82" s="2"/>
      <c r="Z82" s="7">
        <f t="shared" si="79"/>
        <v>-0.99028605189306285</v>
      </c>
    </row>
    <row r="83" spans="1:26" s="24" customFormat="1" hidden="1" outlineLevel="2" x14ac:dyDescent="0.25">
      <c r="A83" s="27"/>
      <c r="B83" s="11" t="str">
        <f>CONCATENATE("          ", "6247", " - ", "STORE SUPPLIES")</f>
        <v xml:space="preserve">          6247 - STORE SUPPLIES</v>
      </c>
      <c r="C83" s="11"/>
      <c r="D83" s="6"/>
      <c r="E83" s="2"/>
      <c r="F83" s="7">
        <f t="shared" si="72"/>
        <v>0</v>
      </c>
      <c r="G83" s="2"/>
      <c r="H83" s="6">
        <v>327.39999999999998</v>
      </c>
      <c r="I83" s="2"/>
      <c r="J83" s="7">
        <f t="shared" si="73"/>
        <v>0</v>
      </c>
      <c r="K83" s="2"/>
      <c r="L83" s="6">
        <f t="shared" si="74"/>
        <v>-327.39999999999998</v>
      </c>
      <c r="M83" s="2"/>
      <c r="N83" s="7">
        <f t="shared" si="75"/>
        <v>-1</v>
      </c>
      <c r="O83" s="11"/>
      <c r="P83" s="6">
        <v>-453.65</v>
      </c>
      <c r="Q83" s="2"/>
      <c r="R83" s="7">
        <f t="shared" si="76"/>
        <v>0</v>
      </c>
      <c r="S83" s="2"/>
      <c r="T83" s="6">
        <v>33191.870000000003</v>
      </c>
      <c r="U83" s="2"/>
      <c r="V83" s="7">
        <f t="shared" si="77"/>
        <v>0</v>
      </c>
      <c r="W83" s="2"/>
      <c r="X83" s="6">
        <f t="shared" si="78"/>
        <v>-33645.520000000004</v>
      </c>
      <c r="Y83" s="2"/>
      <c r="Z83" s="7">
        <f t="shared" si="79"/>
        <v>-1.0136675035181808</v>
      </c>
    </row>
    <row r="84" spans="1:26" s="24" customFormat="1" hidden="1" outlineLevel="2" x14ac:dyDescent="0.25">
      <c r="A84" s="27"/>
      <c r="B84" s="11" t="str">
        <f>CONCATENATE("          ", "6248", " - ", "UNIFORMS")</f>
        <v xml:space="preserve">          6248 - UNIFORMS</v>
      </c>
      <c r="C84" s="11"/>
      <c r="D84" s="6">
        <v>43.91</v>
      </c>
      <c r="E84" s="2"/>
      <c r="F84" s="7">
        <f t="shared" si="72"/>
        <v>0</v>
      </c>
      <c r="G84" s="2"/>
      <c r="H84" s="6"/>
      <c r="I84" s="2"/>
      <c r="J84" s="7">
        <f t="shared" si="73"/>
        <v>0</v>
      </c>
      <c r="K84" s="2"/>
      <c r="L84" s="6">
        <f t="shared" si="74"/>
        <v>43.91</v>
      </c>
      <c r="M84" s="2"/>
      <c r="N84" s="7">
        <f t="shared" si="75"/>
        <v>0</v>
      </c>
      <c r="O84" s="11"/>
      <c r="P84" s="6">
        <v>43.91</v>
      </c>
      <c r="Q84" s="2"/>
      <c r="R84" s="7">
        <f t="shared" si="76"/>
        <v>0</v>
      </c>
      <c r="S84" s="2"/>
      <c r="T84" s="6">
        <v>1401.5</v>
      </c>
      <c r="U84" s="2"/>
      <c r="V84" s="7">
        <f t="shared" si="77"/>
        <v>0</v>
      </c>
      <c r="W84" s="2"/>
      <c r="X84" s="6">
        <f t="shared" si="78"/>
        <v>-1357.59</v>
      </c>
      <c r="Y84" s="2"/>
      <c r="Z84" s="7">
        <f t="shared" si="79"/>
        <v>-0.9686692829111665</v>
      </c>
    </row>
    <row r="85" spans="1:26" s="25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SUM(OSRRefD22_19x_0)</f>
        <v>606.77</v>
      </c>
      <c r="E85" s="1"/>
      <c r="F85" s="5">
        <f t="shared" ref="F85:F92" si="80">IF(D$12=0,0,D85/D$12)</f>
        <v>0</v>
      </c>
      <c r="G85" s="1"/>
      <c r="H85" s="1">
        <f>SUM(OSRRefH22_19x_0)</f>
        <v>508.86</v>
      </c>
      <c r="I85" s="1"/>
      <c r="J85" s="5">
        <f t="shared" ref="J85:J92" si="81">IF(H$12=0,0,H85/H$12)</f>
        <v>0</v>
      </c>
      <c r="K85" s="1"/>
      <c r="L85" s="1">
        <f t="shared" ref="L85:L92" si="82">+D85-H85</f>
        <v>97.909999999999968</v>
      </c>
      <c r="M85" s="1"/>
      <c r="N85" s="5">
        <f t="shared" ref="N85:N92" si="83">IF(H85=0,0,L85/H85)</f>
        <v>0.19241048618480519</v>
      </c>
      <c r="O85" s="13"/>
      <c r="P85" s="1">
        <f>SUM(OSRRefP22_19x_0)</f>
        <v>5381.37</v>
      </c>
      <c r="Q85" s="1"/>
      <c r="R85" s="5">
        <f t="shared" ref="R85:R92" si="84">IF(P$12=0,0,P85/P$12)</f>
        <v>0</v>
      </c>
      <c r="S85" s="1"/>
      <c r="T85" s="1">
        <f>SUM(OSRRefT22_19x_0)</f>
        <v>4855.3500000000004</v>
      </c>
      <c r="U85" s="1"/>
      <c r="V85" s="5">
        <f t="shared" ref="V85:V92" si="85">IF(T$12=0,0,T85/T$12)</f>
        <v>0</v>
      </c>
      <c r="W85" s="1"/>
      <c r="X85" s="1">
        <f t="shared" ref="X85:X92" si="86">+P85-T85</f>
        <v>526.01999999999953</v>
      </c>
      <c r="Y85" s="1"/>
      <c r="Z85" s="5">
        <f t="shared" ref="Z85:Z92" si="87">IF(T85=0,0,X85/T85)</f>
        <v>0.10833822484475877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6">
        <v>606.77</v>
      </c>
      <c r="E86" s="2"/>
      <c r="F86" s="7">
        <f t="shared" si="80"/>
        <v>0</v>
      </c>
      <c r="G86" s="2"/>
      <c r="H86" s="6">
        <v>508.86</v>
      </c>
      <c r="I86" s="2"/>
      <c r="J86" s="7">
        <f t="shared" si="81"/>
        <v>0</v>
      </c>
      <c r="K86" s="2"/>
      <c r="L86" s="6">
        <f t="shared" si="82"/>
        <v>97.909999999999968</v>
      </c>
      <c r="M86" s="2"/>
      <c r="N86" s="7">
        <f t="shared" si="83"/>
        <v>0.19241048618480519</v>
      </c>
      <c r="O86" s="11"/>
      <c r="P86" s="6">
        <v>5381.37</v>
      </c>
      <c r="Q86" s="2"/>
      <c r="R86" s="7">
        <f t="shared" si="84"/>
        <v>0</v>
      </c>
      <c r="S86" s="2"/>
      <c r="T86" s="6">
        <v>4855.3500000000004</v>
      </c>
      <c r="U86" s="2"/>
      <c r="V86" s="7">
        <f t="shared" si="85"/>
        <v>0</v>
      </c>
      <c r="W86" s="2"/>
      <c r="X86" s="6">
        <f t="shared" si="86"/>
        <v>526.01999999999953</v>
      </c>
      <c r="Y86" s="2"/>
      <c r="Z86" s="7">
        <f t="shared" si="87"/>
        <v>0.10833822484475877</v>
      </c>
    </row>
    <row r="87" spans="1:26" s="25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SUM(OSRRefD22_20x_0)</f>
        <v>1350</v>
      </c>
      <c r="E87" s="1"/>
      <c r="F87" s="5">
        <f t="shared" si="80"/>
        <v>0</v>
      </c>
      <c r="G87" s="1"/>
      <c r="H87" s="1">
        <f>SUM(OSRRefH22_20x_0)</f>
        <v>1009.6</v>
      </c>
      <c r="I87" s="1"/>
      <c r="J87" s="5">
        <f t="shared" si="81"/>
        <v>0</v>
      </c>
      <c r="K87" s="1"/>
      <c r="L87" s="1">
        <f t="shared" si="82"/>
        <v>340.4</v>
      </c>
      <c r="M87" s="1"/>
      <c r="N87" s="5">
        <f t="shared" si="83"/>
        <v>0.33716323296354989</v>
      </c>
      <c r="O87" s="13"/>
      <c r="P87" s="1">
        <f>SUM(OSRRefP22_20x_0)</f>
        <v>11802.68</v>
      </c>
      <c r="Q87" s="1"/>
      <c r="R87" s="5">
        <f t="shared" si="84"/>
        <v>0</v>
      </c>
      <c r="S87" s="1"/>
      <c r="T87" s="1">
        <f>SUM(OSRRefT22_20x_0)</f>
        <v>13189.79</v>
      </c>
      <c r="U87" s="1"/>
      <c r="V87" s="5">
        <f t="shared" si="85"/>
        <v>0</v>
      </c>
      <c r="W87" s="1"/>
      <c r="X87" s="1">
        <f t="shared" si="86"/>
        <v>-1387.1100000000006</v>
      </c>
      <c r="Y87" s="1"/>
      <c r="Z87" s="5">
        <f t="shared" si="87"/>
        <v>-0.10516543477947719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6">
        <v>1350</v>
      </c>
      <c r="E88" s="2"/>
      <c r="F88" s="7">
        <f t="shared" si="80"/>
        <v>0</v>
      </c>
      <c r="G88" s="2"/>
      <c r="H88" s="6">
        <v>1009.6</v>
      </c>
      <c r="I88" s="2"/>
      <c r="J88" s="7">
        <f t="shared" si="81"/>
        <v>0</v>
      </c>
      <c r="K88" s="2"/>
      <c r="L88" s="6">
        <f t="shared" si="82"/>
        <v>340.4</v>
      </c>
      <c r="M88" s="2"/>
      <c r="N88" s="7">
        <f t="shared" si="83"/>
        <v>0.33716323296354989</v>
      </c>
      <c r="O88" s="11"/>
      <c r="P88" s="6">
        <v>11802.68</v>
      </c>
      <c r="Q88" s="2"/>
      <c r="R88" s="7">
        <f t="shared" si="84"/>
        <v>0</v>
      </c>
      <c r="S88" s="2"/>
      <c r="T88" s="6">
        <v>13189.79</v>
      </c>
      <c r="U88" s="2"/>
      <c r="V88" s="7">
        <f t="shared" si="85"/>
        <v>0</v>
      </c>
      <c r="W88" s="2"/>
      <c r="X88" s="6">
        <f t="shared" si="86"/>
        <v>-1387.1100000000006</v>
      </c>
      <c r="Y88" s="2"/>
      <c r="Z88" s="7">
        <f t="shared" si="87"/>
        <v>-0.10516543477947719</v>
      </c>
    </row>
    <row r="89" spans="1:26" s="25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SUM(OSRRefD22_21x_0)</f>
        <v>85.45</v>
      </c>
      <c r="E89" s="1"/>
      <c r="F89" s="5">
        <f t="shared" si="80"/>
        <v>0</v>
      </c>
      <c r="G89" s="1"/>
      <c r="H89" s="1">
        <f>SUM(OSRRefH22_21x_0)</f>
        <v>94.16</v>
      </c>
      <c r="I89" s="1"/>
      <c r="J89" s="5">
        <f t="shared" si="81"/>
        <v>0</v>
      </c>
      <c r="K89" s="1"/>
      <c r="L89" s="1">
        <f t="shared" si="82"/>
        <v>-8.7099999999999937</v>
      </c>
      <c r="M89" s="1"/>
      <c r="N89" s="5">
        <f t="shared" si="83"/>
        <v>-9.2502124044180054E-2</v>
      </c>
      <c r="O89" s="13"/>
      <c r="P89" s="1">
        <f>SUM(OSRRefP22_21x_0)</f>
        <v>943.89</v>
      </c>
      <c r="Q89" s="1"/>
      <c r="R89" s="5">
        <f t="shared" si="84"/>
        <v>0</v>
      </c>
      <c r="S89" s="1"/>
      <c r="T89" s="1">
        <f>SUM(OSRRefT22_21x_0)</f>
        <v>1984.2400000000002</v>
      </c>
      <c r="U89" s="1"/>
      <c r="V89" s="5">
        <f t="shared" si="85"/>
        <v>0</v>
      </c>
      <c r="W89" s="1"/>
      <c r="X89" s="1">
        <f t="shared" si="86"/>
        <v>-1040.3500000000004</v>
      </c>
      <c r="Y89" s="1"/>
      <c r="Z89" s="5">
        <f t="shared" si="87"/>
        <v>-0.52430653549973805</v>
      </c>
    </row>
    <row r="90" spans="1:26" s="24" customFormat="1" hidden="1" outlineLevel="2" x14ac:dyDescent="0.25">
      <c r="A90" s="27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80"/>
        <v>0</v>
      </c>
      <c r="G90" s="2"/>
      <c r="H90" s="6">
        <v>47.96</v>
      </c>
      <c r="I90" s="2"/>
      <c r="J90" s="7">
        <f t="shared" si="81"/>
        <v>0</v>
      </c>
      <c r="K90" s="2"/>
      <c r="L90" s="6">
        <f t="shared" si="82"/>
        <v>-47.96</v>
      </c>
      <c r="M90" s="2"/>
      <c r="N90" s="7">
        <f t="shared" si="83"/>
        <v>-1</v>
      </c>
      <c r="O90" s="11"/>
      <c r="P90" s="6">
        <v>636.70000000000005</v>
      </c>
      <c r="Q90" s="2"/>
      <c r="R90" s="7">
        <f t="shared" si="84"/>
        <v>0</v>
      </c>
      <c r="S90" s="2"/>
      <c r="T90" s="6">
        <v>1410.39</v>
      </c>
      <c r="U90" s="2"/>
      <c r="V90" s="7">
        <f t="shared" si="85"/>
        <v>0</v>
      </c>
      <c r="W90" s="2"/>
      <c r="X90" s="6">
        <f t="shared" si="86"/>
        <v>-773.69</v>
      </c>
      <c r="Y90" s="2"/>
      <c r="Z90" s="7">
        <f t="shared" si="87"/>
        <v>-0.54856458142783204</v>
      </c>
    </row>
    <row r="91" spans="1:26" s="24" customFormat="1" hidden="1" outlineLevel="2" x14ac:dyDescent="0.25">
      <c r="A91" s="27"/>
      <c r="B91" s="11" t="str">
        <f>CONCATENATE("          ", "6294", " - ", "TRAVEL OPERATIONAL")</f>
        <v xml:space="preserve">          6294 - TRAVEL OPERATIONAL</v>
      </c>
      <c r="C91" s="11"/>
      <c r="D91" s="6"/>
      <c r="E91" s="2"/>
      <c r="F91" s="7">
        <f t="shared" si="80"/>
        <v>0</v>
      </c>
      <c r="G91" s="2"/>
      <c r="H91" s="6"/>
      <c r="I91" s="2"/>
      <c r="J91" s="7">
        <f t="shared" si="81"/>
        <v>0</v>
      </c>
      <c r="K91" s="2"/>
      <c r="L91" s="6">
        <f t="shared" si="82"/>
        <v>0</v>
      </c>
      <c r="M91" s="2"/>
      <c r="N91" s="7">
        <f t="shared" si="83"/>
        <v>0</v>
      </c>
      <c r="O91" s="11"/>
      <c r="P91" s="6">
        <v>-144.33000000000001</v>
      </c>
      <c r="Q91" s="2"/>
      <c r="R91" s="7">
        <f t="shared" si="84"/>
        <v>0</v>
      </c>
      <c r="S91" s="2"/>
      <c r="T91" s="6"/>
      <c r="U91" s="2"/>
      <c r="V91" s="7">
        <f t="shared" si="85"/>
        <v>0</v>
      </c>
      <c r="W91" s="2"/>
      <c r="X91" s="6">
        <f t="shared" si="86"/>
        <v>-144.33000000000001</v>
      </c>
      <c r="Y91" s="2"/>
      <c r="Z91" s="7">
        <f t="shared" si="87"/>
        <v>0</v>
      </c>
    </row>
    <row r="92" spans="1:26" s="24" customFormat="1" hidden="1" outlineLevel="2" x14ac:dyDescent="0.25">
      <c r="A92" s="27"/>
      <c r="B92" s="11" t="str">
        <f>CONCATENATE("          ", "6298", " - ", "VEHICLE MILEAGE")</f>
        <v xml:space="preserve">          6298 - VEHICLE MILEAGE</v>
      </c>
      <c r="C92" s="11"/>
      <c r="D92" s="6">
        <v>85.45</v>
      </c>
      <c r="E92" s="2"/>
      <c r="F92" s="7">
        <f t="shared" si="80"/>
        <v>0</v>
      </c>
      <c r="G92" s="2"/>
      <c r="H92" s="6">
        <v>46.2</v>
      </c>
      <c r="I92" s="2"/>
      <c r="J92" s="7">
        <f t="shared" si="81"/>
        <v>0</v>
      </c>
      <c r="K92" s="2"/>
      <c r="L92" s="6">
        <f t="shared" si="82"/>
        <v>39.25</v>
      </c>
      <c r="M92" s="2"/>
      <c r="N92" s="7">
        <f t="shared" si="83"/>
        <v>0.84956709956709953</v>
      </c>
      <c r="O92" s="11"/>
      <c r="P92" s="6">
        <v>451.52</v>
      </c>
      <c r="Q92" s="2"/>
      <c r="R92" s="7">
        <f t="shared" si="84"/>
        <v>0</v>
      </c>
      <c r="S92" s="2"/>
      <c r="T92" s="6">
        <v>573.85</v>
      </c>
      <c r="U92" s="2"/>
      <c r="V92" s="7">
        <f t="shared" si="85"/>
        <v>0</v>
      </c>
      <c r="W92" s="2"/>
      <c r="X92" s="6">
        <f t="shared" si="86"/>
        <v>-122.33000000000004</v>
      </c>
      <c r="Y92" s="2"/>
      <c r="Z92" s="7">
        <f t="shared" si="87"/>
        <v>-0.21317417443582823</v>
      </c>
    </row>
    <row r="93" spans="1:26" s="25" customFormat="1" outlineLevel="1" collapsed="1" x14ac:dyDescent="0.25">
      <c r="A93" s="26"/>
      <c r="B93" s="13" t="str">
        <f>CONCATENATE("     ","Utilities                                         ")</f>
        <v xml:space="preserve">     Utilities                                         </v>
      </c>
      <c r="C93" s="13"/>
      <c r="D93" s="1">
        <f>SUM(OSRRefD22_22x_0)</f>
        <v>6134</v>
      </c>
      <c r="E93" s="1"/>
      <c r="F93" s="5">
        <f t="shared" ref="F93:F94" si="88">IF(D$12=0,0,D93/D$12)</f>
        <v>0</v>
      </c>
      <c r="G93" s="1"/>
      <c r="H93" s="1">
        <f>SUM(OSRRefH22_22x_0)</f>
        <v>5593</v>
      </c>
      <c r="I93" s="1"/>
      <c r="J93" s="5">
        <f t="shared" ref="J93:J94" si="89">IF(H$12=0,0,H93/H$12)</f>
        <v>0</v>
      </c>
      <c r="K93" s="1"/>
      <c r="L93" s="1">
        <f t="shared" ref="L93:L94" si="90">+D93-H93</f>
        <v>541</v>
      </c>
      <c r="M93" s="1"/>
      <c r="N93" s="5">
        <f t="shared" ref="N93:N94" si="91">IF(H93=0,0,L93/H93)</f>
        <v>9.6728052923296975E-2</v>
      </c>
      <c r="O93" s="13"/>
      <c r="P93" s="1">
        <f>SUM(OSRRefP22_22x_0)</f>
        <v>56272</v>
      </c>
      <c r="Q93" s="1"/>
      <c r="R93" s="5">
        <f t="shared" ref="R93:R94" si="92">IF(P$12=0,0,P93/P$12)</f>
        <v>0</v>
      </c>
      <c r="S93" s="1"/>
      <c r="T93" s="1">
        <f>SUM(OSRRefT22_22x_0)</f>
        <v>42977</v>
      </c>
      <c r="U93" s="1"/>
      <c r="V93" s="5">
        <f t="shared" ref="V93:V94" si="93">IF(T$12=0,0,T93/T$12)</f>
        <v>0</v>
      </c>
      <c r="W93" s="1"/>
      <c r="X93" s="1">
        <f t="shared" ref="X93:X94" si="94">+P93-T93</f>
        <v>13295</v>
      </c>
      <c r="Y93" s="1"/>
      <c r="Z93" s="5">
        <f t="shared" ref="Z93:Z94" si="95">IF(T93=0,0,X93/T93)</f>
        <v>0.30935151360029783</v>
      </c>
    </row>
    <row r="94" spans="1:26" s="24" customFormat="1" hidden="1" outlineLevel="2" x14ac:dyDescent="0.25">
      <c r="A94" s="27"/>
      <c r="B94" s="11" t="str">
        <f>CONCATENATE("          ", "6274", " - ", "UTILITIES")</f>
        <v xml:space="preserve">          6274 - UTILITIES</v>
      </c>
      <c r="C94" s="11"/>
      <c r="D94" s="6">
        <v>6134</v>
      </c>
      <c r="E94" s="2"/>
      <c r="F94" s="7">
        <f t="shared" si="88"/>
        <v>0</v>
      </c>
      <c r="G94" s="2"/>
      <c r="H94" s="6">
        <v>5593</v>
      </c>
      <c r="I94" s="2"/>
      <c r="J94" s="7">
        <f t="shared" si="89"/>
        <v>0</v>
      </c>
      <c r="K94" s="2"/>
      <c r="L94" s="6">
        <f t="shared" si="90"/>
        <v>541</v>
      </c>
      <c r="M94" s="2"/>
      <c r="N94" s="7">
        <f t="shared" si="91"/>
        <v>9.6728052923296975E-2</v>
      </c>
      <c r="O94" s="11"/>
      <c r="P94" s="6">
        <v>56272</v>
      </c>
      <c r="Q94" s="2"/>
      <c r="R94" s="7">
        <f t="shared" si="92"/>
        <v>0</v>
      </c>
      <c r="S94" s="2"/>
      <c r="T94" s="6">
        <v>42977</v>
      </c>
      <c r="U94" s="2"/>
      <c r="V94" s="7">
        <f t="shared" si="93"/>
        <v>0</v>
      </c>
      <c r="W94" s="2"/>
      <c r="X94" s="6">
        <f t="shared" si="94"/>
        <v>13295</v>
      </c>
      <c r="Y94" s="2"/>
      <c r="Z94" s="7">
        <f t="shared" si="95"/>
        <v>0.30935151360029783</v>
      </c>
    </row>
    <row r="95" spans="1:26" s="53" customFormat="1" x14ac:dyDescent="0.25">
      <c r="A95" s="37"/>
      <c r="B95" s="37"/>
      <c r="C95" s="37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9" t="s">
        <v>0</v>
      </c>
      <c r="C96" s="10"/>
      <c r="D96" s="4">
        <f>SUM(OSRRefD25x_0)</f>
        <v>-22866.720000000001</v>
      </c>
      <c r="E96" s="4"/>
      <c r="F96" s="12">
        <f t="shared" ref="F96:F99" si="96">IF(D$12=0,0,D96/D$12)</f>
        <v>0</v>
      </c>
      <c r="G96" s="4"/>
      <c r="H96" s="4">
        <f>SUM(OSRRefH25x_0)</f>
        <v>-5322.619999999999</v>
      </c>
      <c r="I96" s="4"/>
      <c r="J96" s="12">
        <f t="shared" ref="J96:J99" si="97">IF(H$12=0,0,H96/H$12)</f>
        <v>0</v>
      </c>
      <c r="K96" s="4"/>
      <c r="L96" s="4">
        <f t="shared" ref="L96:L99" si="98">+D96-H96</f>
        <v>-17544.100000000002</v>
      </c>
      <c r="M96" s="4"/>
      <c r="N96" s="12">
        <f t="shared" ref="N96:N99" si="99">IF(H96=0,0,L96/H96)</f>
        <v>3.2961398709658036</v>
      </c>
      <c r="O96" s="10"/>
      <c r="P96" s="4">
        <f>SUM(OSRRefP25x_0)</f>
        <v>186010.69999999998</v>
      </c>
      <c r="Q96" s="4"/>
      <c r="R96" s="12">
        <f t="shared" ref="R96:R99" si="100">IF(P$12=0,0,P96/P$12)</f>
        <v>0</v>
      </c>
      <c r="S96" s="4"/>
      <c r="T96" s="4">
        <f>SUM(OSRRefT25x_0)</f>
        <v>224802.78</v>
      </c>
      <c r="U96" s="4"/>
      <c r="V96" s="12">
        <f t="shared" ref="V96:V99" si="101">IF(T$12=0,0,T96/T$12)</f>
        <v>0</v>
      </c>
      <c r="W96" s="4"/>
      <c r="X96" s="4">
        <f t="shared" ref="X96:X99" si="102">+P96-T96</f>
        <v>-38792.080000000016</v>
      </c>
      <c r="Y96" s="4"/>
      <c r="Z96" s="12">
        <f t="shared" ref="Z96:Z99" si="103">IF(T96=0,0,X96/T96)</f>
        <v>-0.17256049947425034</v>
      </c>
    </row>
    <row r="97" spans="1:26" s="24" customFormat="1" hidden="1" outlineLevel="1" x14ac:dyDescent="0.25">
      <c r="A97" s="44"/>
      <c r="B97" s="11" t="str">
        <f>CONCATENATE("          ", "9150", " - ", "MISC. INCOME")</f>
        <v xml:space="preserve">          9150 - MISC. INCOME</v>
      </c>
      <c r="C97" s="11"/>
      <c r="D97" s="2">
        <f>-22866.72</f>
        <v>-22866.720000000001</v>
      </c>
      <c r="E97" s="2"/>
      <c r="F97" s="19">
        <f t="shared" si="96"/>
        <v>0</v>
      </c>
      <c r="G97" s="2"/>
      <c r="H97" s="2">
        <f>--24743.58</f>
        <v>24743.58</v>
      </c>
      <c r="I97" s="2"/>
      <c r="J97" s="19">
        <f t="shared" si="97"/>
        <v>0</v>
      </c>
      <c r="K97" s="2"/>
      <c r="L97" s="2">
        <f t="shared" si="98"/>
        <v>-47610.3</v>
      </c>
      <c r="M97" s="2"/>
      <c r="N97" s="19">
        <f t="shared" si="99"/>
        <v>-1.9241475970736652</v>
      </c>
      <c r="O97" s="11"/>
      <c r="P97" s="2">
        <f>--178912.3</f>
        <v>178912.3</v>
      </c>
      <c r="Q97" s="2"/>
      <c r="R97" s="19">
        <f t="shared" si="100"/>
        <v>0</v>
      </c>
      <c r="S97" s="2"/>
      <c r="T97" s="2">
        <f>--257918.31</f>
        <v>257918.31</v>
      </c>
      <c r="U97" s="2"/>
      <c r="V97" s="19">
        <f t="shared" si="101"/>
        <v>0</v>
      </c>
      <c r="W97" s="2"/>
      <c r="X97" s="2">
        <f t="shared" si="102"/>
        <v>-79006.010000000009</v>
      </c>
      <c r="Y97" s="2"/>
      <c r="Z97" s="19">
        <f t="shared" si="103"/>
        <v>-0.30632183500271853</v>
      </c>
    </row>
    <row r="98" spans="1:26" s="24" customFormat="1" hidden="1" outlineLevel="1" x14ac:dyDescent="0.25">
      <c r="A98" s="44"/>
      <c r="B98" s="11" t="str">
        <f>CONCATENATE("          ", "9151", " - ", "MISC. INCOME")</f>
        <v xml:space="preserve">          9151 - MISC. INCOME</v>
      </c>
      <c r="C98" s="11"/>
      <c r="D98" s="2">
        <f t="shared" ref="D98:D99" si="104">0</f>
        <v>0</v>
      </c>
      <c r="E98" s="2"/>
      <c r="F98" s="19">
        <f t="shared" si="96"/>
        <v>0</v>
      </c>
      <c r="G98" s="2"/>
      <c r="H98" s="2">
        <f>-30066.2</f>
        <v>-30066.2</v>
      </c>
      <c r="I98" s="2"/>
      <c r="J98" s="19">
        <f t="shared" si="97"/>
        <v>0</v>
      </c>
      <c r="K98" s="2"/>
      <c r="L98" s="2">
        <f t="shared" si="98"/>
        <v>30066.2</v>
      </c>
      <c r="M98" s="2"/>
      <c r="N98" s="19">
        <f t="shared" si="99"/>
        <v>-1</v>
      </c>
      <c r="O98" s="11"/>
      <c r="P98" s="2">
        <f>--6648.4</f>
        <v>6648.4</v>
      </c>
      <c r="Q98" s="2"/>
      <c r="R98" s="19">
        <f t="shared" si="100"/>
        <v>0</v>
      </c>
      <c r="S98" s="2"/>
      <c r="T98" s="2">
        <f>-33295.53</f>
        <v>-33295.53</v>
      </c>
      <c r="U98" s="2"/>
      <c r="V98" s="19">
        <f t="shared" si="101"/>
        <v>0</v>
      </c>
      <c r="W98" s="2"/>
      <c r="X98" s="2">
        <f t="shared" si="102"/>
        <v>39943.93</v>
      </c>
      <c r="Y98" s="2"/>
      <c r="Z98" s="19">
        <f t="shared" si="103"/>
        <v>-1.1996784553361968</v>
      </c>
    </row>
    <row r="99" spans="1:26" s="24" customFormat="1" hidden="1" outlineLevel="1" x14ac:dyDescent="0.25">
      <c r="A99" s="44"/>
      <c r="B99" s="11" t="str">
        <f>CONCATENATE("          ", "9153", " - ", "MISC. INCOME")</f>
        <v xml:space="preserve">          9153 - MISC. INCOME</v>
      </c>
      <c r="C99" s="11"/>
      <c r="D99" s="2">
        <f t="shared" si="104"/>
        <v>0</v>
      </c>
      <c r="E99" s="2"/>
      <c r="F99" s="19">
        <f t="shared" si="96"/>
        <v>0</v>
      </c>
      <c r="G99" s="2"/>
      <c r="H99" s="2">
        <f>0</f>
        <v>0</v>
      </c>
      <c r="I99" s="2"/>
      <c r="J99" s="19">
        <f t="shared" si="97"/>
        <v>0</v>
      </c>
      <c r="K99" s="2"/>
      <c r="L99" s="2">
        <f t="shared" si="98"/>
        <v>0</v>
      </c>
      <c r="M99" s="2"/>
      <c r="N99" s="19">
        <f t="shared" si="99"/>
        <v>0</v>
      </c>
      <c r="O99" s="11"/>
      <c r="P99" s="2">
        <f>--450</f>
        <v>450</v>
      </c>
      <c r="Q99" s="2"/>
      <c r="R99" s="19">
        <f t="shared" si="100"/>
        <v>0</v>
      </c>
      <c r="S99" s="2"/>
      <c r="T99" s="2">
        <f>--180</f>
        <v>180</v>
      </c>
      <c r="U99" s="2"/>
      <c r="V99" s="19">
        <f t="shared" si="101"/>
        <v>0</v>
      </c>
      <c r="W99" s="2"/>
      <c r="X99" s="2">
        <f t="shared" si="102"/>
        <v>270</v>
      </c>
      <c r="Y99" s="2"/>
      <c r="Z99" s="19">
        <f t="shared" si="103"/>
        <v>1.5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8" t="s">
        <v>3</v>
      </c>
      <c r="C101" s="28"/>
      <c r="D101" s="21">
        <f>+D17-D19+D96</f>
        <v>-80398.760000000009</v>
      </c>
      <c r="E101" s="14"/>
      <c r="F101" s="20">
        <f>IF(D$12=0,0,D101/D$12)</f>
        <v>0</v>
      </c>
      <c r="G101" s="14"/>
      <c r="H101" s="21">
        <f>+H17-H19+H96</f>
        <v>-111332.68999999999</v>
      </c>
      <c r="I101" s="14"/>
      <c r="J101" s="20">
        <f>IF(H$12=0,0,H101/H$12)</f>
        <v>0</v>
      </c>
      <c r="K101" s="15"/>
      <c r="L101" s="21">
        <f>+D101-H101</f>
        <v>30933.929999999978</v>
      </c>
      <c r="M101" s="15"/>
      <c r="N101" s="20">
        <f>IF(H101=0,0,L101/H101)</f>
        <v>-0.27785127620647609</v>
      </c>
      <c r="O101" s="29"/>
      <c r="P101" s="21">
        <f>+P17-P19+P96</f>
        <v>-968158.15999999992</v>
      </c>
      <c r="Q101" s="14"/>
      <c r="R101" s="20">
        <f>IF(P$12=0,0,P101/P$12)</f>
        <v>0</v>
      </c>
      <c r="S101" s="14"/>
      <c r="T101" s="21">
        <f>+T17-T19+T96</f>
        <v>-1118067.3400000001</v>
      </c>
      <c r="U101" s="14"/>
      <c r="V101" s="20">
        <f>IF(T$12=0,0,T101/T$12)</f>
        <v>0</v>
      </c>
      <c r="W101" s="15"/>
      <c r="X101" s="21">
        <f>+P101-T101</f>
        <v>149909.18000000017</v>
      </c>
      <c r="Y101" s="15"/>
      <c r="Z101" s="20">
        <f>IF(T101=0,0,X101/T101)</f>
        <v>-0.13407884716496607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1"/>
      <c r="B103" s="10" t="s">
        <v>13</v>
      </c>
      <c r="C103" s="10"/>
      <c r="D103" s="4"/>
      <c r="E103" s="4"/>
      <c r="F103" s="12">
        <f>IF(D$12=0,0,D103/D$12)</f>
        <v>0</v>
      </c>
      <c r="G103" s="4"/>
      <c r="H103" s="4"/>
      <c r="I103" s="4"/>
      <c r="J103" s="12">
        <f>IF(H$12=0,0,H103/H$12)</f>
        <v>0</v>
      </c>
      <c r="K103" s="4"/>
      <c r="L103" s="4">
        <f>+D103-H103</f>
        <v>0</v>
      </c>
      <c r="M103" s="4"/>
      <c r="N103" s="12">
        <f>IF(H103=0,0,L103/H103)</f>
        <v>0</v>
      </c>
      <c r="O103" s="10"/>
      <c r="P103" s="4"/>
      <c r="Q103" s="4"/>
      <c r="R103" s="12">
        <f>IF(P$12=0,0,P103/P$12)</f>
        <v>0</v>
      </c>
      <c r="S103" s="4"/>
      <c r="T103" s="4"/>
      <c r="U103" s="4"/>
      <c r="V103" s="12">
        <f>IF(T$12=0,0,T103/T$12)</f>
        <v>0</v>
      </c>
      <c r="W103" s="4"/>
      <c r="X103" s="4">
        <f>+P103-T103</f>
        <v>0</v>
      </c>
      <c r="Y103" s="4"/>
      <c r="Z103" s="12">
        <f>IF(T103=0,0,X103/T103)</f>
        <v>0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8" t="s">
        <v>4</v>
      </c>
      <c r="C105" s="28"/>
      <c r="D105" s="30">
        <f>+D101-D103</f>
        <v>-80398.760000000009</v>
      </c>
      <c r="E105" s="14"/>
      <c r="F105" s="36">
        <f>IF(D$12=0,0,D105/D$12)</f>
        <v>0</v>
      </c>
      <c r="G105" s="14"/>
      <c r="H105" s="30">
        <f>+H101-H103</f>
        <v>-111332.68999999999</v>
      </c>
      <c r="I105" s="14"/>
      <c r="J105" s="36">
        <f>IF(H$12=0,0,H105/H$12)</f>
        <v>0</v>
      </c>
      <c r="K105" s="15"/>
      <c r="L105" s="30">
        <f>D105-H105</f>
        <v>30933.929999999978</v>
      </c>
      <c r="M105" s="15"/>
      <c r="N105" s="36">
        <f>IF(H105=0,0,L105/H105)</f>
        <v>-0.27785127620647609</v>
      </c>
      <c r="O105" s="29"/>
      <c r="P105" s="30">
        <f>+P101-P103</f>
        <v>-968158.15999999992</v>
      </c>
      <c r="Q105" s="14"/>
      <c r="R105" s="36">
        <f>IF(P$12=0,0,P105/P$12)</f>
        <v>0</v>
      </c>
      <c r="S105" s="14"/>
      <c r="T105" s="30">
        <f>+T101-T103</f>
        <v>-1118067.3400000001</v>
      </c>
      <c r="U105" s="14"/>
      <c r="V105" s="36">
        <f>IF(T$12=0,0,T105/T$12)</f>
        <v>0</v>
      </c>
      <c r="W105" s="15"/>
      <c r="X105" s="30">
        <f>P105-T105</f>
        <v>149909.18000000017</v>
      </c>
      <c r="Y105" s="15"/>
      <c r="Z105" s="36">
        <f>IF(T105=0,0,X105/T105)</f>
        <v>-0.13407884716496607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5</v>
      </c>
      <c r="C108" s="28"/>
      <c r="D108" s="31">
        <f>SUM(D105:D107)</f>
        <v>-80398.760000000009</v>
      </c>
      <c r="E108" s="14"/>
      <c r="F108" s="32">
        <f>IF(D$12=0,0,D108/D$12)</f>
        <v>0</v>
      </c>
      <c r="G108" s="14"/>
      <c r="H108" s="31">
        <f>SUM(H105:H107)</f>
        <v>-111332.68999999999</v>
      </c>
      <c r="I108" s="14"/>
      <c r="J108" s="32">
        <f>IF(H$12=0,0,H108/H$12)</f>
        <v>0</v>
      </c>
      <c r="K108" s="15"/>
      <c r="L108" s="31">
        <f>+D108-H108</f>
        <v>30933.929999999978</v>
      </c>
      <c r="M108" s="15"/>
      <c r="N108" s="32">
        <f>IF(H108=0,0,L108/H108)</f>
        <v>-0.27785127620647609</v>
      </c>
      <c r="O108" s="29"/>
      <c r="P108" s="31">
        <f>SUM(P105:P107)</f>
        <v>-968158.15999999992</v>
      </c>
      <c r="Q108" s="14"/>
      <c r="R108" s="32">
        <f>IF(P$12=0,0,P108/P$12)</f>
        <v>0</v>
      </c>
      <c r="S108" s="14"/>
      <c r="T108" s="31">
        <f>SUM(T105:T107)</f>
        <v>-1118067.3400000001</v>
      </c>
      <c r="U108" s="14"/>
      <c r="V108" s="32">
        <f>IF(T$12=0,0,T108/T$12)</f>
        <v>0</v>
      </c>
      <c r="W108" s="15"/>
      <c r="X108" s="31">
        <f>+P108-T108</f>
        <v>149909.18000000017</v>
      </c>
      <c r="Y108" s="15"/>
      <c r="Z108" s="32">
        <f>IF(T108=0,0,X108/T108)</f>
        <v>-0.13407884716496607</v>
      </c>
    </row>
    <row r="109" spans="1:26" ht="15.75" thickTop="1" x14ac:dyDescent="0.25">
      <c r="A109" s="9"/>
      <c r="C109" s="9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4">
        <v>43965.470843090276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9" t="s">
        <v>313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61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4:24" x14ac:dyDescent="0.25"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","306", " - ", "Warehouse")</f>
        <v>Department 306 - Warehouse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15739.560000000001</v>
      </c>
      <c r="E18" s="22"/>
      <c r="F18" s="35">
        <f t="shared" ref="F18:F28" si="0">IF(D$12=0,0,D18/D$12)</f>
        <v>0</v>
      </c>
      <c r="G18" s="22"/>
      <c r="H18" s="22">
        <f>SUM(OSRRefH22x_0)</f>
        <v>27241.039999999997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-11501.479999999996</v>
      </c>
      <c r="M18" s="4"/>
      <c r="N18" s="35">
        <f t="shared" ref="N18:N28" si="3">IF(H18=0,0,L18/H18)</f>
        <v>-0.42221148678611381</v>
      </c>
      <c r="O18" s="10"/>
      <c r="P18" s="22">
        <f>SUM(OSRRefP22x_0)</f>
        <v>439122.72000000003</v>
      </c>
      <c r="Q18" s="22"/>
      <c r="R18" s="35">
        <f t="shared" ref="R18:R28" si="4">IF(P$12=0,0,P18/P$12)</f>
        <v>0</v>
      </c>
      <c r="S18" s="22"/>
      <c r="T18" s="22">
        <f>SUM(OSRRefT22x_0)</f>
        <v>441794.97000000003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-2672.25</v>
      </c>
      <c r="Y18" s="4"/>
      <c r="Z18" s="35">
        <f t="shared" ref="Z18:Z28" si="7">IF(T18=0,0,X18/T18)</f>
        <v>-6.0486202457216741E-3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-11416.619999999999</v>
      </c>
      <c r="E19" s="1"/>
      <c r="F19" s="5">
        <f t="shared" si="0"/>
        <v>0</v>
      </c>
      <c r="G19" s="1"/>
      <c r="H19" s="1">
        <f>SUM(OSRRefH22_0x_0)</f>
        <v>4665.34</v>
      </c>
      <c r="I19" s="1"/>
      <c r="J19" s="5">
        <f t="shared" si="1"/>
        <v>0</v>
      </c>
      <c r="K19" s="1"/>
      <c r="L19" s="1">
        <f t="shared" si="2"/>
        <v>-16081.96</v>
      </c>
      <c r="M19" s="1"/>
      <c r="N19" s="5">
        <f t="shared" si="3"/>
        <v>-3.4471142510513699</v>
      </c>
      <c r="O19" s="13"/>
      <c r="P19" s="1">
        <f>SUM(OSRRefP22_0x_0)</f>
        <v>44203.66</v>
      </c>
      <c r="Q19" s="1"/>
      <c r="R19" s="5">
        <f t="shared" si="4"/>
        <v>0</v>
      </c>
      <c r="S19" s="1"/>
      <c r="T19" s="1">
        <f>SUM(OSRRefT22_0x_0)</f>
        <v>62467.510000000009</v>
      </c>
      <c r="U19" s="1"/>
      <c r="V19" s="5">
        <f t="shared" si="5"/>
        <v>0</v>
      </c>
      <c r="W19" s="1"/>
      <c r="X19" s="1">
        <f t="shared" si="6"/>
        <v>-18263.850000000006</v>
      </c>
      <c r="Y19" s="1"/>
      <c r="Z19" s="5">
        <f t="shared" si="7"/>
        <v>-0.29237358748571862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1425.05</v>
      </c>
      <c r="E20" s="2"/>
      <c r="F20" s="7">
        <f t="shared" si="0"/>
        <v>0</v>
      </c>
      <c r="G20" s="2"/>
      <c r="H20" s="6">
        <v>885.1</v>
      </c>
      <c r="I20" s="2"/>
      <c r="J20" s="7">
        <f t="shared" si="1"/>
        <v>0</v>
      </c>
      <c r="K20" s="2"/>
      <c r="L20" s="6">
        <f t="shared" si="2"/>
        <v>539.94999999999993</v>
      </c>
      <c r="M20" s="2"/>
      <c r="N20" s="7">
        <f t="shared" si="3"/>
        <v>0.61004406281776058</v>
      </c>
      <c r="O20" s="11"/>
      <c r="P20" s="6">
        <v>14754.15</v>
      </c>
      <c r="Q20" s="2"/>
      <c r="R20" s="7">
        <f t="shared" si="4"/>
        <v>0</v>
      </c>
      <c r="S20" s="2"/>
      <c r="T20" s="6">
        <v>15449.329999999998</v>
      </c>
      <c r="U20" s="2"/>
      <c r="V20" s="7">
        <f t="shared" si="5"/>
        <v>0</v>
      </c>
      <c r="W20" s="2"/>
      <c r="X20" s="6">
        <f t="shared" si="6"/>
        <v>-695.17999999999847</v>
      </c>
      <c r="Y20" s="2"/>
      <c r="Z20" s="7">
        <f t="shared" si="7"/>
        <v>-4.4997420600116543E-2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409.05</v>
      </c>
      <c r="E21" s="2"/>
      <c r="F21" s="7">
        <f t="shared" si="0"/>
        <v>0</v>
      </c>
      <c r="G21" s="2"/>
      <c r="H21" s="6">
        <v>269.87</v>
      </c>
      <c r="I21" s="2"/>
      <c r="J21" s="7">
        <f t="shared" si="1"/>
        <v>0</v>
      </c>
      <c r="K21" s="2"/>
      <c r="L21" s="6">
        <f t="shared" si="2"/>
        <v>139.18</v>
      </c>
      <c r="M21" s="2"/>
      <c r="N21" s="7">
        <f t="shared" si="3"/>
        <v>0.51572979582762069</v>
      </c>
      <c r="O21" s="11"/>
      <c r="P21" s="6">
        <v>6705.75</v>
      </c>
      <c r="Q21" s="2"/>
      <c r="R21" s="7">
        <f t="shared" si="4"/>
        <v>0</v>
      </c>
      <c r="S21" s="2"/>
      <c r="T21" s="6">
        <v>4098.29</v>
      </c>
      <c r="U21" s="2"/>
      <c r="V21" s="7">
        <f t="shared" si="5"/>
        <v>0</v>
      </c>
      <c r="W21" s="2"/>
      <c r="X21" s="6">
        <f t="shared" si="6"/>
        <v>2607.46</v>
      </c>
      <c r="Y21" s="2"/>
      <c r="Z21" s="7">
        <f t="shared" si="7"/>
        <v>0.63623120862603677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696.78</v>
      </c>
      <c r="E22" s="2"/>
      <c r="F22" s="7">
        <f t="shared" si="0"/>
        <v>0</v>
      </c>
      <c r="G22" s="2"/>
      <c r="H22" s="6">
        <v>1949.27</v>
      </c>
      <c r="I22" s="2"/>
      <c r="J22" s="7">
        <f t="shared" si="1"/>
        <v>0</v>
      </c>
      <c r="K22" s="2"/>
      <c r="L22" s="6">
        <f t="shared" si="2"/>
        <v>-1252.49</v>
      </c>
      <c r="M22" s="2"/>
      <c r="N22" s="7">
        <f t="shared" si="3"/>
        <v>-0.64254310588066299</v>
      </c>
      <c r="O22" s="11"/>
      <c r="P22" s="6">
        <v>18585.449999999997</v>
      </c>
      <c r="Q22" s="2"/>
      <c r="R22" s="7">
        <f t="shared" si="4"/>
        <v>0</v>
      </c>
      <c r="S22" s="2"/>
      <c r="T22" s="6">
        <v>19109.05</v>
      </c>
      <c r="U22" s="2"/>
      <c r="V22" s="7">
        <f t="shared" si="5"/>
        <v>0</v>
      </c>
      <c r="W22" s="2"/>
      <c r="X22" s="6">
        <f t="shared" si="6"/>
        <v>-523.60000000000218</v>
      </c>
      <c r="Y22" s="2"/>
      <c r="Z22" s="7">
        <f t="shared" si="7"/>
        <v>-2.7400629544639957E-2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61.83</v>
      </c>
      <c r="E23" s="2"/>
      <c r="F23" s="7">
        <f t="shared" si="0"/>
        <v>0</v>
      </c>
      <c r="G23" s="2"/>
      <c r="H23" s="6">
        <v>58.96</v>
      </c>
      <c r="I23" s="2"/>
      <c r="J23" s="7">
        <f t="shared" si="1"/>
        <v>0</v>
      </c>
      <c r="K23" s="2"/>
      <c r="L23" s="6">
        <f t="shared" si="2"/>
        <v>2.8699999999999974</v>
      </c>
      <c r="M23" s="2"/>
      <c r="N23" s="7">
        <f t="shared" si="3"/>
        <v>4.8677069199457218E-2</v>
      </c>
      <c r="O23" s="11"/>
      <c r="P23" s="6">
        <v>1016.98</v>
      </c>
      <c r="Q23" s="2"/>
      <c r="R23" s="7">
        <f t="shared" si="4"/>
        <v>0</v>
      </c>
      <c r="S23" s="2"/>
      <c r="T23" s="6">
        <v>1067.48</v>
      </c>
      <c r="U23" s="2"/>
      <c r="V23" s="7">
        <f t="shared" si="5"/>
        <v>0</v>
      </c>
      <c r="W23" s="2"/>
      <c r="X23" s="6">
        <f t="shared" si="6"/>
        <v>-50.5</v>
      </c>
      <c r="Y23" s="2"/>
      <c r="Z23" s="7">
        <f t="shared" si="7"/>
        <v>-4.7307677895604604E-2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400.51</v>
      </c>
      <c r="E24" s="2"/>
      <c r="F24" s="7">
        <f t="shared" si="0"/>
        <v>0</v>
      </c>
      <c r="G24" s="2"/>
      <c r="H24" s="6">
        <v>645.47</v>
      </c>
      <c r="I24" s="2"/>
      <c r="J24" s="7">
        <f t="shared" si="1"/>
        <v>0</v>
      </c>
      <c r="K24" s="2"/>
      <c r="L24" s="6">
        <f t="shared" si="2"/>
        <v>-244.96000000000004</v>
      </c>
      <c r="M24" s="2"/>
      <c r="N24" s="7">
        <f t="shared" si="3"/>
        <v>-0.37950640618464071</v>
      </c>
      <c r="O24" s="11"/>
      <c r="P24" s="6">
        <v>7279.28</v>
      </c>
      <c r="Q24" s="2"/>
      <c r="R24" s="7">
        <f t="shared" si="4"/>
        <v>0</v>
      </c>
      <c r="S24" s="2"/>
      <c r="T24" s="6">
        <v>7200.79</v>
      </c>
      <c r="U24" s="2"/>
      <c r="V24" s="7">
        <f t="shared" si="5"/>
        <v>0</v>
      </c>
      <c r="W24" s="2"/>
      <c r="X24" s="6">
        <f t="shared" si="6"/>
        <v>78.489999999999782</v>
      </c>
      <c r="Y24" s="2"/>
      <c r="Z24" s="7">
        <f t="shared" si="7"/>
        <v>1.0900192895501714E-2</v>
      </c>
    </row>
    <row r="25" spans="1:26" s="24" customFormat="1" hidden="1" outlineLevel="2" x14ac:dyDescent="0.25">
      <c r="A25" s="27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302.08</v>
      </c>
      <c r="U25" s="2"/>
      <c r="V25" s="7">
        <f t="shared" si="5"/>
        <v>0</v>
      </c>
      <c r="W25" s="2"/>
      <c r="X25" s="6">
        <f t="shared" si="6"/>
        <v>-302.08</v>
      </c>
      <c r="Y25" s="2"/>
      <c r="Z25" s="7">
        <f t="shared" si="7"/>
        <v>-1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312.82</v>
      </c>
      <c r="E26" s="2"/>
      <c r="F26" s="7">
        <f t="shared" si="0"/>
        <v>0</v>
      </c>
      <c r="G26" s="2"/>
      <c r="H26" s="6">
        <v>194.91</v>
      </c>
      <c r="I26" s="2"/>
      <c r="J26" s="7">
        <f t="shared" si="1"/>
        <v>0</v>
      </c>
      <c r="K26" s="2"/>
      <c r="L26" s="6">
        <f t="shared" si="2"/>
        <v>117.91</v>
      </c>
      <c r="M26" s="2"/>
      <c r="N26" s="7">
        <f t="shared" si="3"/>
        <v>0.60494587245395315</v>
      </c>
      <c r="O26" s="11"/>
      <c r="P26" s="6">
        <v>3299.15</v>
      </c>
      <c r="Q26" s="2"/>
      <c r="R26" s="7">
        <f t="shared" si="4"/>
        <v>0</v>
      </c>
      <c r="S26" s="2"/>
      <c r="T26" s="6">
        <v>6029.76</v>
      </c>
      <c r="U26" s="2"/>
      <c r="V26" s="7">
        <f t="shared" si="5"/>
        <v>0</v>
      </c>
      <c r="W26" s="2"/>
      <c r="X26" s="6">
        <f t="shared" si="6"/>
        <v>-2730.61</v>
      </c>
      <c r="Y26" s="2"/>
      <c r="Z26" s="7">
        <f t="shared" si="7"/>
        <v>-0.45285550336995173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-14722.66</v>
      </c>
      <c r="E27" s="2"/>
      <c r="F27" s="7">
        <f t="shared" si="0"/>
        <v>0</v>
      </c>
      <c r="G27" s="2"/>
      <c r="H27" s="6">
        <v>368.68</v>
      </c>
      <c r="I27" s="2"/>
      <c r="J27" s="7">
        <f t="shared" si="1"/>
        <v>0</v>
      </c>
      <c r="K27" s="2"/>
      <c r="L27" s="6">
        <f t="shared" si="2"/>
        <v>-15091.34</v>
      </c>
      <c r="M27" s="2"/>
      <c r="N27" s="7">
        <f t="shared" si="3"/>
        <v>-40.933438211999565</v>
      </c>
      <c r="O27" s="11"/>
      <c r="P27" s="6">
        <v>-10242.57</v>
      </c>
      <c r="Q27" s="2"/>
      <c r="R27" s="7">
        <f t="shared" si="4"/>
        <v>0</v>
      </c>
      <c r="S27" s="2"/>
      <c r="T27" s="6">
        <v>6669.36</v>
      </c>
      <c r="U27" s="2"/>
      <c r="V27" s="7">
        <f t="shared" si="5"/>
        <v>0</v>
      </c>
      <c r="W27" s="2"/>
      <c r="X27" s="6">
        <f t="shared" si="6"/>
        <v>-16911.93</v>
      </c>
      <c r="Y27" s="2"/>
      <c r="Z27" s="7">
        <f t="shared" si="7"/>
        <v>-2.5357650509194287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293.08</v>
      </c>
      <c r="I28" s="2"/>
      <c r="J28" s="7">
        <f t="shared" si="1"/>
        <v>0</v>
      </c>
      <c r="K28" s="2"/>
      <c r="L28" s="6">
        <f t="shared" si="2"/>
        <v>-293.08</v>
      </c>
      <c r="M28" s="2"/>
      <c r="N28" s="7">
        <f t="shared" si="3"/>
        <v>-1</v>
      </c>
      <c r="O28" s="11"/>
      <c r="P28" s="6">
        <v>2805.47</v>
      </c>
      <c r="Q28" s="2"/>
      <c r="R28" s="7">
        <f t="shared" si="4"/>
        <v>0</v>
      </c>
      <c r="S28" s="2"/>
      <c r="T28" s="6">
        <v>2541.37</v>
      </c>
      <c r="U28" s="2"/>
      <c r="V28" s="7">
        <f t="shared" si="5"/>
        <v>0</v>
      </c>
      <c r="W28" s="2"/>
      <c r="X28" s="6">
        <f t="shared" si="6"/>
        <v>264.09999999999991</v>
      </c>
      <c r="Y28" s="2"/>
      <c r="Z28" s="7">
        <f t="shared" si="7"/>
        <v>0.10392032643810226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25865.96</v>
      </c>
      <c r="E29" s="1"/>
      <c r="F29" s="5">
        <f t="shared" ref="F29:F34" si="8">IF(D$12=0,0,D29/D$12)</f>
        <v>0</v>
      </c>
      <c r="G29" s="1"/>
      <c r="H29" s="1">
        <f>SUM(OSRRefH22_1x_0)</f>
        <v>22225.75</v>
      </c>
      <c r="I29" s="1"/>
      <c r="J29" s="5">
        <f t="shared" ref="J29:J34" si="9">IF(H$12=0,0,H29/H$12)</f>
        <v>0</v>
      </c>
      <c r="K29" s="1"/>
      <c r="L29" s="1">
        <f t="shared" ref="L29:L34" si="10">+D29-H29</f>
        <v>3640.2099999999991</v>
      </c>
      <c r="M29" s="1"/>
      <c r="N29" s="5">
        <f t="shared" ref="N29:N34" si="11">IF(H29=0,0,L29/H29)</f>
        <v>0.16378344937741129</v>
      </c>
      <c r="O29" s="13"/>
      <c r="P29" s="1">
        <f>SUM(OSRRefP22_1x_0)</f>
        <v>383571.18</v>
      </c>
      <c r="Q29" s="1"/>
      <c r="R29" s="5">
        <f t="shared" ref="R29:R34" si="12">IF(P$12=0,0,P29/P$12)</f>
        <v>0</v>
      </c>
      <c r="S29" s="1"/>
      <c r="T29" s="1">
        <f>SUM(OSRRefT22_1x_0)</f>
        <v>368256.93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15314.25</v>
      </c>
      <c r="Y29" s="1"/>
      <c r="Z29" s="5">
        <f t="shared" ref="Z29:Z34" si="15">IF(T29=0,0,X29/T29)</f>
        <v>4.1585775453024061E-2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>
        <v>3636.62</v>
      </c>
      <c r="E30" s="2"/>
      <c r="F30" s="7">
        <f t="shared" si="8"/>
        <v>0</v>
      </c>
      <c r="G30" s="2"/>
      <c r="H30" s="6">
        <v>7801.24</v>
      </c>
      <c r="I30" s="2"/>
      <c r="J30" s="7">
        <f t="shared" si="9"/>
        <v>0</v>
      </c>
      <c r="K30" s="2"/>
      <c r="L30" s="6">
        <f t="shared" si="10"/>
        <v>-4164.62</v>
      </c>
      <c r="M30" s="2"/>
      <c r="N30" s="7">
        <f t="shared" si="11"/>
        <v>-0.53384077403079511</v>
      </c>
      <c r="O30" s="11"/>
      <c r="P30" s="6">
        <v>86098.72</v>
      </c>
      <c r="Q30" s="2"/>
      <c r="R30" s="7">
        <f t="shared" si="12"/>
        <v>0</v>
      </c>
      <c r="S30" s="2"/>
      <c r="T30" s="6">
        <v>79310.19</v>
      </c>
      <c r="U30" s="2"/>
      <c r="V30" s="7">
        <f t="shared" si="13"/>
        <v>0</v>
      </c>
      <c r="W30" s="2"/>
      <c r="X30" s="6">
        <f t="shared" si="14"/>
        <v>6788.5299999999988</v>
      </c>
      <c r="Y30" s="2"/>
      <c r="Z30" s="7">
        <f t="shared" si="15"/>
        <v>8.5594675791345332E-2</v>
      </c>
    </row>
    <row r="31" spans="1:26" s="24" customFormat="1" hidden="1" outlineLevel="2" x14ac:dyDescent="0.25">
      <c r="A31" s="27"/>
      <c r="B31" s="11" t="str">
        <f>CONCATENATE("          ", "6005", " - ", "TEMPORARY WAGES-HOURLY")</f>
        <v xml:space="preserve">          6005 - TEMPORARY WAGES-HOURLY</v>
      </c>
      <c r="C31" s="11"/>
      <c r="D31" s="6">
        <v>10741.89</v>
      </c>
      <c r="E31" s="2"/>
      <c r="F31" s="7">
        <f t="shared" si="8"/>
        <v>0</v>
      </c>
      <c r="G31" s="2"/>
      <c r="H31" s="6">
        <v>2443</v>
      </c>
      <c r="I31" s="2"/>
      <c r="J31" s="7">
        <f t="shared" si="9"/>
        <v>0</v>
      </c>
      <c r="K31" s="2"/>
      <c r="L31" s="6">
        <f t="shared" si="10"/>
        <v>8298.89</v>
      </c>
      <c r="M31" s="2"/>
      <c r="N31" s="7">
        <f t="shared" si="11"/>
        <v>3.3970077773229632</v>
      </c>
      <c r="O31" s="11"/>
      <c r="P31" s="6">
        <v>28564.78</v>
      </c>
      <c r="Q31" s="2"/>
      <c r="R31" s="7">
        <f t="shared" si="12"/>
        <v>0</v>
      </c>
      <c r="S31" s="2"/>
      <c r="T31" s="6">
        <v>32707.4</v>
      </c>
      <c r="U31" s="2"/>
      <c r="V31" s="7">
        <f t="shared" si="13"/>
        <v>0</v>
      </c>
      <c r="W31" s="2"/>
      <c r="X31" s="6">
        <f t="shared" si="14"/>
        <v>-4142.6200000000026</v>
      </c>
      <c r="Y31" s="2"/>
      <c r="Z31" s="7">
        <f t="shared" si="15"/>
        <v>-0.12665696447898647</v>
      </c>
    </row>
    <row r="32" spans="1:26" s="24" customFormat="1" hidden="1" outlineLevel="2" x14ac:dyDescent="0.25">
      <c r="A32" s="27"/>
      <c r="B32" s="11" t="str">
        <f>CONCATENATE("          ", "6006", " - ", "TEMPORARY PART TIME")</f>
        <v xml:space="preserve">          6006 - TEMPORARY PART TIME</v>
      </c>
      <c r="C32" s="11"/>
      <c r="D32" s="6">
        <v>1491.52</v>
      </c>
      <c r="E32" s="2"/>
      <c r="F32" s="7">
        <f t="shared" si="8"/>
        <v>0</v>
      </c>
      <c r="G32" s="2"/>
      <c r="H32" s="6">
        <v>1134</v>
      </c>
      <c r="I32" s="2"/>
      <c r="J32" s="7">
        <f t="shared" si="9"/>
        <v>0</v>
      </c>
      <c r="K32" s="2"/>
      <c r="L32" s="6">
        <f t="shared" si="10"/>
        <v>357.52</v>
      </c>
      <c r="M32" s="2"/>
      <c r="N32" s="7">
        <f t="shared" si="11"/>
        <v>0.31527336860670191</v>
      </c>
      <c r="O32" s="11"/>
      <c r="P32" s="6">
        <v>13281.49</v>
      </c>
      <c r="Q32" s="2"/>
      <c r="R32" s="7">
        <f t="shared" si="12"/>
        <v>0</v>
      </c>
      <c r="S32" s="2"/>
      <c r="T32" s="6">
        <v>23737.05</v>
      </c>
      <c r="U32" s="2"/>
      <c r="V32" s="7">
        <f t="shared" si="13"/>
        <v>0</v>
      </c>
      <c r="W32" s="2"/>
      <c r="X32" s="6">
        <f t="shared" si="14"/>
        <v>-10455.56</v>
      </c>
      <c r="Y32" s="2"/>
      <c r="Z32" s="7">
        <f t="shared" si="15"/>
        <v>-0.44047427965985664</v>
      </c>
    </row>
    <row r="33" spans="1:26" s="24" customFormat="1" hidden="1" outlineLevel="2" x14ac:dyDescent="0.25">
      <c r="A33" s="27"/>
      <c r="B33" s="11" t="str">
        <f>CONCATENATE("          ", "6007", " - ", "STUDENT HOURLY")</f>
        <v xml:space="preserve">          6007 - STUDENT HOURLY</v>
      </c>
      <c r="C33" s="11"/>
      <c r="D33" s="6">
        <v>9839.93</v>
      </c>
      <c r="E33" s="2"/>
      <c r="F33" s="7">
        <f t="shared" si="8"/>
        <v>0</v>
      </c>
      <c r="G33" s="2"/>
      <c r="H33" s="6">
        <v>10403.51</v>
      </c>
      <c r="I33" s="2"/>
      <c r="J33" s="7">
        <f t="shared" si="9"/>
        <v>0</v>
      </c>
      <c r="K33" s="2"/>
      <c r="L33" s="6">
        <f t="shared" si="10"/>
        <v>-563.57999999999993</v>
      </c>
      <c r="M33" s="2"/>
      <c r="N33" s="7">
        <f t="shared" si="11"/>
        <v>-5.4172101531117858E-2</v>
      </c>
      <c r="O33" s="11"/>
      <c r="P33" s="6">
        <v>242609.00999999998</v>
      </c>
      <c r="Q33" s="2"/>
      <c r="R33" s="7">
        <f t="shared" si="12"/>
        <v>0</v>
      </c>
      <c r="S33" s="2"/>
      <c r="T33" s="6">
        <v>215832.09</v>
      </c>
      <c r="U33" s="2"/>
      <c r="V33" s="7">
        <f t="shared" si="13"/>
        <v>0</v>
      </c>
      <c r="W33" s="2"/>
      <c r="X33" s="6">
        <f t="shared" si="14"/>
        <v>26776.919999999984</v>
      </c>
      <c r="Y33" s="2"/>
      <c r="Z33" s="7">
        <f t="shared" si="15"/>
        <v>0.12406366449029885</v>
      </c>
    </row>
    <row r="34" spans="1:26" s="24" customFormat="1" hidden="1" outlineLevel="2" x14ac:dyDescent="0.25">
      <c r="A34" s="27"/>
      <c r="B34" s="11" t="str">
        <f>CONCATENATE("          ", "6008", " - ", "STUDENT HOURLY-FICA EXEMPT")</f>
        <v xml:space="preserve">          6008 - STUDENT HOURLY-FICA EXEMPT</v>
      </c>
      <c r="C34" s="11"/>
      <c r="D34" s="6">
        <v>156</v>
      </c>
      <c r="E34" s="2"/>
      <c r="F34" s="7">
        <f t="shared" si="8"/>
        <v>0</v>
      </c>
      <c r="G34" s="2"/>
      <c r="H34" s="6">
        <v>444</v>
      </c>
      <c r="I34" s="2"/>
      <c r="J34" s="7">
        <f t="shared" si="9"/>
        <v>0</v>
      </c>
      <c r="K34" s="2"/>
      <c r="L34" s="6">
        <f t="shared" si="10"/>
        <v>-288</v>
      </c>
      <c r="M34" s="2"/>
      <c r="N34" s="7">
        <f t="shared" si="11"/>
        <v>-0.64864864864864868</v>
      </c>
      <c r="O34" s="11"/>
      <c r="P34" s="6">
        <v>13017.18</v>
      </c>
      <c r="Q34" s="2"/>
      <c r="R34" s="7">
        <f t="shared" si="12"/>
        <v>0</v>
      </c>
      <c r="S34" s="2"/>
      <c r="T34" s="6">
        <v>16670.2</v>
      </c>
      <c r="U34" s="2"/>
      <c r="V34" s="7">
        <f t="shared" si="13"/>
        <v>0</v>
      </c>
      <c r="W34" s="2"/>
      <c r="X34" s="6">
        <f t="shared" si="14"/>
        <v>-3653.0200000000004</v>
      </c>
      <c r="Y34" s="2"/>
      <c r="Z34" s="7">
        <f t="shared" si="15"/>
        <v>-0.21913474343439193</v>
      </c>
    </row>
    <row r="35" spans="1:26" s="25" customFormat="1" outlineLevel="1" collapsed="1" x14ac:dyDescent="0.25">
      <c r="A35" s="26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47" si="16">IF(D$12=0,0,D35/D$12)</f>
        <v>0</v>
      </c>
      <c r="G35" s="1"/>
      <c r="H35" s="1">
        <f>SUM(OSRRefH22_2x_0)</f>
        <v>48</v>
      </c>
      <c r="I35" s="1"/>
      <c r="J35" s="5">
        <f t="shared" ref="J35:J47" si="17">IF(H$12=0,0,H35/H$12)</f>
        <v>0</v>
      </c>
      <c r="K35" s="1"/>
      <c r="L35" s="1">
        <f t="shared" ref="L35:L47" si="18">+D35-H35</f>
        <v>-48</v>
      </c>
      <c r="M35" s="1"/>
      <c r="N35" s="5">
        <f t="shared" ref="N35:N47" si="19">IF(H35=0,0,L35/H35)</f>
        <v>-1</v>
      </c>
      <c r="O35" s="13"/>
      <c r="P35" s="1">
        <f>SUM(OSRRefP22_2x_0)</f>
        <v>360</v>
      </c>
      <c r="Q35" s="1"/>
      <c r="R35" s="5">
        <f t="shared" ref="R35:R47" si="20">IF(P$12=0,0,P35/P$12)</f>
        <v>0</v>
      </c>
      <c r="S35" s="1"/>
      <c r="T35" s="1">
        <f>SUM(OSRRefT22_2x_0)</f>
        <v>834</v>
      </c>
      <c r="U35" s="1"/>
      <c r="V35" s="5">
        <f t="shared" ref="V35:V47" si="21">IF(T$12=0,0,T35/T$12)</f>
        <v>0</v>
      </c>
      <c r="W35" s="1"/>
      <c r="X35" s="1">
        <f t="shared" ref="X35:X47" si="22">+P35-T35</f>
        <v>-474</v>
      </c>
      <c r="Y35" s="1"/>
      <c r="Z35" s="5">
        <f t="shared" ref="Z35:Z47" si="23">IF(T35=0,0,X35/T35)</f>
        <v>-0.56834532374100721</v>
      </c>
    </row>
    <row r="36" spans="1:26" s="24" customFormat="1" hidden="1" outlineLevel="2" x14ac:dyDescent="0.25">
      <c r="A36" s="27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>
        <v>48</v>
      </c>
      <c r="I36" s="2"/>
      <c r="J36" s="7">
        <f t="shared" si="17"/>
        <v>0</v>
      </c>
      <c r="K36" s="2"/>
      <c r="L36" s="6">
        <f t="shared" si="18"/>
        <v>-48</v>
      </c>
      <c r="M36" s="2"/>
      <c r="N36" s="7">
        <f t="shared" si="19"/>
        <v>-1</v>
      </c>
      <c r="O36" s="11"/>
      <c r="P36" s="6">
        <v>360</v>
      </c>
      <c r="Q36" s="2"/>
      <c r="R36" s="7">
        <f t="shared" si="20"/>
        <v>0</v>
      </c>
      <c r="S36" s="2"/>
      <c r="T36" s="6">
        <v>834</v>
      </c>
      <c r="U36" s="2"/>
      <c r="V36" s="7">
        <f t="shared" si="21"/>
        <v>0</v>
      </c>
      <c r="W36" s="2"/>
      <c r="X36" s="6">
        <f t="shared" si="22"/>
        <v>-474</v>
      </c>
      <c r="Y36" s="2"/>
      <c r="Z36" s="7">
        <f t="shared" si="23"/>
        <v>-0.56834532374100721</v>
      </c>
    </row>
    <row r="37" spans="1:26" s="25" customFormat="1" outlineLevel="1" collapsed="1" x14ac:dyDescent="0.25">
      <c r="A37" s="26"/>
      <c r="B37" s="13" t="str">
        <f>CONCATENATE("     ","Employees' Appreciation                           ")</f>
        <v xml:space="preserve">     Employees' Appreciation                           </v>
      </c>
      <c r="C37" s="13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19.07</v>
      </c>
      <c r="U37" s="1"/>
      <c r="V37" s="5">
        <f t="shared" si="21"/>
        <v>0</v>
      </c>
      <c r="W37" s="1"/>
      <c r="X37" s="1">
        <f t="shared" si="22"/>
        <v>-19.07</v>
      </c>
      <c r="Y37" s="1"/>
      <c r="Z37" s="5">
        <f t="shared" si="23"/>
        <v>-1</v>
      </c>
    </row>
    <row r="38" spans="1:26" s="24" customFormat="1" hidden="1" outlineLevel="2" x14ac:dyDescent="0.25">
      <c r="A38" s="27"/>
      <c r="B38" s="11" t="str">
        <f>CONCATENATE("          ", "6277", " - ", "EMPLOYEE APPRECIATION")</f>
        <v xml:space="preserve">          6277 - EMPLOYEE APPRECIATION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19.07</v>
      </c>
      <c r="U38" s="2"/>
      <c r="V38" s="7">
        <f t="shared" si="21"/>
        <v>0</v>
      </c>
      <c r="W38" s="2"/>
      <c r="X38" s="6">
        <f t="shared" si="22"/>
        <v>-19.07</v>
      </c>
      <c r="Y38" s="2"/>
      <c r="Z38" s="7">
        <f t="shared" si="23"/>
        <v>-1</v>
      </c>
    </row>
    <row r="39" spans="1:26" s="25" customFormat="1" outlineLevel="1" collapsed="1" x14ac:dyDescent="0.25">
      <c r="A39" s="26"/>
      <c r="B39" s="13" t="str">
        <f>CONCATENATE("     ","Equipment Rental                                  ")</f>
        <v xml:space="preserve">     Equipment Rental                                  </v>
      </c>
      <c r="C39" s="13"/>
      <c r="D39" s="1">
        <f>SUM(OSRRefD22_4x_0)</f>
        <v>91.26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91.26</v>
      </c>
      <c r="M39" s="1"/>
      <c r="N39" s="5">
        <f t="shared" si="19"/>
        <v>0</v>
      </c>
      <c r="O39" s="13"/>
      <c r="P39" s="1">
        <f>SUM(OSRRefP22_4x_0)</f>
        <v>975.46</v>
      </c>
      <c r="Q39" s="1"/>
      <c r="R39" s="5">
        <f t="shared" si="20"/>
        <v>0</v>
      </c>
      <c r="S39" s="1"/>
      <c r="T39" s="1">
        <f>SUM(OSRRefT22_4x_0)</f>
        <v>999.52</v>
      </c>
      <c r="U39" s="1"/>
      <c r="V39" s="5">
        <f t="shared" si="21"/>
        <v>0</v>
      </c>
      <c r="W39" s="1"/>
      <c r="X39" s="1">
        <f t="shared" si="22"/>
        <v>-24.059999999999945</v>
      </c>
      <c r="Y39" s="1"/>
      <c r="Z39" s="5">
        <f t="shared" si="23"/>
        <v>-2.4071554346086068E-2</v>
      </c>
    </row>
    <row r="40" spans="1:26" s="24" customFormat="1" hidden="1" outlineLevel="2" x14ac:dyDescent="0.25">
      <c r="A40" s="27"/>
      <c r="B40" s="11" t="str">
        <f>CONCATENATE("          ", "6351", " - ", "EQUIPMENT RENTAL")</f>
        <v xml:space="preserve">          6351 - EQUIPMENT RENTAL</v>
      </c>
      <c r="C40" s="11"/>
      <c r="D40" s="6">
        <v>91.26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91.26</v>
      </c>
      <c r="M40" s="2"/>
      <c r="N40" s="7">
        <f t="shared" si="19"/>
        <v>0</v>
      </c>
      <c r="O40" s="11"/>
      <c r="P40" s="6">
        <v>975.46</v>
      </c>
      <c r="Q40" s="2"/>
      <c r="R40" s="7">
        <f t="shared" si="20"/>
        <v>0</v>
      </c>
      <c r="S40" s="2"/>
      <c r="T40" s="6">
        <v>999.52</v>
      </c>
      <c r="U40" s="2"/>
      <c r="V40" s="7">
        <f t="shared" si="21"/>
        <v>0</v>
      </c>
      <c r="W40" s="2"/>
      <c r="X40" s="6">
        <f t="shared" si="22"/>
        <v>-24.059999999999945</v>
      </c>
      <c r="Y40" s="2"/>
      <c r="Z40" s="7">
        <f t="shared" si="23"/>
        <v>-2.4071554346086068E-2</v>
      </c>
    </row>
    <row r="41" spans="1:26" s="25" customFormat="1" outlineLevel="1" collapsed="1" x14ac:dyDescent="0.25">
      <c r="A41" s="26"/>
      <c r="B41" s="13" t="str">
        <f>CONCATENATE("     ","Freight out/Postage                               ")</f>
        <v xml:space="preserve">     Freight out/Postage                               </v>
      </c>
      <c r="C41" s="13"/>
      <c r="D41" s="1">
        <f>SUM(OSRRefD22_5x_0)</f>
        <v>415.95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415.95</v>
      </c>
      <c r="M41" s="1"/>
      <c r="N41" s="5">
        <f t="shared" si="19"/>
        <v>0</v>
      </c>
      <c r="O41" s="13"/>
      <c r="P41" s="1">
        <f>SUM(OSRRefP22_5x_0)</f>
        <v>4213.8</v>
      </c>
      <c r="Q41" s="1"/>
      <c r="R41" s="5">
        <f t="shared" si="20"/>
        <v>0</v>
      </c>
      <c r="S41" s="1"/>
      <c r="T41" s="1">
        <f>SUM(OSRRefT22_5x_0)</f>
        <v>62.63</v>
      </c>
      <c r="U41" s="1"/>
      <c r="V41" s="5">
        <f t="shared" si="21"/>
        <v>0</v>
      </c>
      <c r="W41" s="1"/>
      <c r="X41" s="1">
        <f t="shared" si="22"/>
        <v>4151.17</v>
      </c>
      <c r="Y41" s="1"/>
      <c r="Z41" s="5">
        <f t="shared" si="23"/>
        <v>66.280855819894612</v>
      </c>
    </row>
    <row r="42" spans="1:26" s="24" customFormat="1" hidden="1" outlineLevel="2" x14ac:dyDescent="0.25">
      <c r="A42" s="27"/>
      <c r="B42" s="11" t="str">
        <f>CONCATENATE("          ", "6307", " - ", "POSTAGE")</f>
        <v xml:space="preserve">          6307 - POSTAGE</v>
      </c>
      <c r="C42" s="11"/>
      <c r="D42" s="6">
        <v>415.95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415.95</v>
      </c>
      <c r="M42" s="2"/>
      <c r="N42" s="7">
        <f t="shared" si="19"/>
        <v>0</v>
      </c>
      <c r="O42" s="11"/>
      <c r="P42" s="6">
        <v>4213.8</v>
      </c>
      <c r="Q42" s="2"/>
      <c r="R42" s="7">
        <f t="shared" si="20"/>
        <v>0</v>
      </c>
      <c r="S42" s="2"/>
      <c r="T42" s="6">
        <v>62.63</v>
      </c>
      <c r="U42" s="2"/>
      <c r="V42" s="7">
        <f t="shared" si="21"/>
        <v>0</v>
      </c>
      <c r="W42" s="2"/>
      <c r="X42" s="6">
        <f t="shared" si="22"/>
        <v>4151.17</v>
      </c>
      <c r="Y42" s="2"/>
      <c r="Z42" s="7">
        <f t="shared" si="23"/>
        <v>66.280855819894612</v>
      </c>
    </row>
    <row r="43" spans="1:26" s="25" customFormat="1" outlineLevel="1" collapsed="1" x14ac:dyDescent="0.25">
      <c r="A43" s="26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SUM(OSRRefD22_6x_0)</f>
        <v>0</v>
      </c>
      <c r="E43" s="1"/>
      <c r="F43" s="5">
        <f t="shared" si="16"/>
        <v>0</v>
      </c>
      <c r="G43" s="1"/>
      <c r="H43" s="1">
        <f>SUM(OSRRefH22_6x_0)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SUM(OSRRefP22_6x_0)</f>
        <v>89.45</v>
      </c>
      <c r="Q43" s="1"/>
      <c r="R43" s="5">
        <f t="shared" si="20"/>
        <v>0</v>
      </c>
      <c r="S43" s="1"/>
      <c r="T43" s="1">
        <f>SUM(OSRRefT22_6x_0)</f>
        <v>0</v>
      </c>
      <c r="U43" s="1"/>
      <c r="V43" s="5">
        <f t="shared" si="21"/>
        <v>0</v>
      </c>
      <c r="W43" s="1"/>
      <c r="X43" s="1">
        <f t="shared" si="22"/>
        <v>89.45</v>
      </c>
      <c r="Y43" s="1"/>
      <c r="Z43" s="5">
        <f t="shared" si="23"/>
        <v>0</v>
      </c>
    </row>
    <row r="44" spans="1:26" s="24" customFormat="1" hidden="1" outlineLevel="2" x14ac:dyDescent="0.25">
      <c r="A44" s="27"/>
      <c r="B44" s="11" t="str">
        <f>CONCATENATE("          ", "6279", " - ", "GENERAL EXPENSE")</f>
        <v xml:space="preserve">          6279 - GENERAL EXPENSE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89.45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89.45</v>
      </c>
      <c r="Y44" s="2"/>
      <c r="Z44" s="7">
        <f t="shared" si="23"/>
        <v>0</v>
      </c>
    </row>
    <row r="45" spans="1:26" s="25" customFormat="1" outlineLevel="1" collapsed="1" x14ac:dyDescent="0.25">
      <c r="A45" s="26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SUM(OSRRefD22_7x_0)</f>
        <v>9.1300000000000008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9.1300000000000008</v>
      </c>
      <c r="M45" s="1"/>
      <c r="N45" s="5">
        <f t="shared" si="19"/>
        <v>0</v>
      </c>
      <c r="O45" s="13"/>
      <c r="P45" s="1">
        <f>SUM(OSRRefP22_7x_0)</f>
        <v>478.33</v>
      </c>
      <c r="Q45" s="1"/>
      <c r="R45" s="5">
        <f t="shared" si="20"/>
        <v>0</v>
      </c>
      <c r="S45" s="1"/>
      <c r="T45" s="1">
        <f>SUM(OSRRefT22_7x_0)</f>
        <v>524.91</v>
      </c>
      <c r="U45" s="1"/>
      <c r="V45" s="5">
        <f t="shared" si="21"/>
        <v>0</v>
      </c>
      <c r="W45" s="1"/>
      <c r="X45" s="1">
        <f t="shared" si="22"/>
        <v>-46.579999999999984</v>
      </c>
      <c r="Y45" s="1"/>
      <c r="Z45" s="5">
        <f t="shared" si="23"/>
        <v>-8.8739021927568509E-2</v>
      </c>
    </row>
    <row r="46" spans="1:26" s="24" customFormat="1" hidden="1" outlineLevel="2" x14ac:dyDescent="0.25">
      <c r="A46" s="27"/>
      <c r="B46" s="11" t="str">
        <f>CONCATENATE("          ", "6373", " - ", "MAINTENANCE CONTRACTS")</f>
        <v xml:space="preserve">          6373 - MAINTENANCE CONTRACTS</v>
      </c>
      <c r="C46" s="11"/>
      <c r="D46" s="6">
        <v>9.1300000000000008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9.1300000000000008</v>
      </c>
      <c r="M46" s="2"/>
      <c r="N46" s="7">
        <f t="shared" si="19"/>
        <v>0</v>
      </c>
      <c r="O46" s="11"/>
      <c r="P46" s="6">
        <v>166</v>
      </c>
      <c r="Q46" s="2"/>
      <c r="R46" s="7">
        <f t="shared" si="20"/>
        <v>0</v>
      </c>
      <c r="S46" s="2"/>
      <c r="T46" s="6">
        <v>524.91</v>
      </c>
      <c r="U46" s="2"/>
      <c r="V46" s="7">
        <f t="shared" si="21"/>
        <v>0</v>
      </c>
      <c r="W46" s="2"/>
      <c r="X46" s="6">
        <f t="shared" si="22"/>
        <v>-358.90999999999997</v>
      </c>
      <c r="Y46" s="2"/>
      <c r="Z46" s="7">
        <f t="shared" si="23"/>
        <v>-0.68375531043416959</v>
      </c>
    </row>
    <row r="47" spans="1:26" s="24" customFormat="1" hidden="1" outlineLevel="2" x14ac:dyDescent="0.25">
      <c r="A47" s="27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312.33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312.33</v>
      </c>
      <c r="Y47" s="2"/>
      <c r="Z47" s="7">
        <f t="shared" si="23"/>
        <v>0</v>
      </c>
    </row>
    <row r="48" spans="1:26" s="25" customFormat="1" outlineLevel="1" collapsed="1" x14ac:dyDescent="0.25">
      <c r="A48" s="26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SUM(OSRRefD22_8x_0)</f>
        <v>625.73</v>
      </c>
      <c r="E48" s="1"/>
      <c r="F48" s="5">
        <f t="shared" ref="F48:F53" si="24">IF(D$12=0,0,D48/D$12)</f>
        <v>0</v>
      </c>
      <c r="G48" s="1"/>
      <c r="H48" s="1">
        <f>SUM(OSRRefH22_8x_0)</f>
        <v>153.85</v>
      </c>
      <c r="I48" s="1"/>
      <c r="J48" s="5">
        <f t="shared" ref="J48:J53" si="25">IF(H$12=0,0,H48/H$12)</f>
        <v>0</v>
      </c>
      <c r="K48" s="1"/>
      <c r="L48" s="1">
        <f t="shared" ref="L48:L53" si="26">+D48-H48</f>
        <v>471.88</v>
      </c>
      <c r="M48" s="1"/>
      <c r="N48" s="5">
        <f t="shared" ref="N48:N53" si="27">IF(H48=0,0,L48/H48)</f>
        <v>3.0671433214169648</v>
      </c>
      <c r="O48" s="13"/>
      <c r="P48" s="1">
        <f>SUM(OSRRefP22_8x_0)</f>
        <v>3604.19</v>
      </c>
      <c r="Q48" s="1"/>
      <c r="R48" s="5">
        <f t="shared" ref="R48:R53" si="28">IF(P$12=0,0,P48/P$12)</f>
        <v>0</v>
      </c>
      <c r="S48" s="1"/>
      <c r="T48" s="1">
        <f>SUM(OSRRefT22_8x_0)</f>
        <v>6057.58</v>
      </c>
      <c r="U48" s="1"/>
      <c r="V48" s="5">
        <f t="shared" ref="V48:V53" si="29">IF(T$12=0,0,T48/T$12)</f>
        <v>0</v>
      </c>
      <c r="W48" s="1"/>
      <c r="X48" s="1">
        <f t="shared" ref="X48:X53" si="30">+P48-T48</f>
        <v>-2453.39</v>
      </c>
      <c r="Y48" s="1"/>
      <c r="Z48" s="5">
        <f t="shared" ref="Z48:Z53" si="31">IF(T48=0,0,X48/T48)</f>
        <v>-0.40501157227803841</v>
      </c>
    </row>
    <row r="49" spans="1:26" s="24" customFormat="1" hidden="1" outlineLevel="2" x14ac:dyDescent="0.25">
      <c r="A49" s="27"/>
      <c r="B49" s="11" t="str">
        <f>CONCATENATE("          ", "6234", " - ", "EXPENDABLE SUPPLIES &amp; EQUIPMEN")</f>
        <v xml:space="preserve">          6234 - EXPENDABLE SUPPLIES &amp; EQUIPMEN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858</v>
      </c>
      <c r="U49" s="2"/>
      <c r="V49" s="7">
        <f t="shared" si="29"/>
        <v>0</v>
      </c>
      <c r="W49" s="2"/>
      <c r="X49" s="6">
        <f t="shared" si="30"/>
        <v>-858</v>
      </c>
      <c r="Y49" s="2"/>
      <c r="Z49" s="7">
        <f t="shared" si="31"/>
        <v>-1</v>
      </c>
    </row>
    <row r="50" spans="1:26" s="24" customFormat="1" hidden="1" outlineLevel="2" x14ac:dyDescent="0.25">
      <c r="A50" s="27"/>
      <c r="B50" s="11" t="str">
        <f>CONCATENATE("          ", "6237", " - ", "JANITORIAL SUPPLIES")</f>
        <v xml:space="preserve">          6237 - JANITORIAL SUPPLIES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226.95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226.95</v>
      </c>
      <c r="Y50" s="2"/>
      <c r="Z50" s="7">
        <f t="shared" si="31"/>
        <v>0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6">
        <v>417.94</v>
      </c>
      <c r="E51" s="2"/>
      <c r="F51" s="7">
        <f t="shared" si="24"/>
        <v>0</v>
      </c>
      <c r="G51" s="2"/>
      <c r="H51" s="6">
        <v>153.85</v>
      </c>
      <c r="I51" s="2"/>
      <c r="J51" s="7">
        <f t="shared" si="25"/>
        <v>0</v>
      </c>
      <c r="K51" s="2"/>
      <c r="L51" s="6">
        <f t="shared" si="26"/>
        <v>264.09000000000003</v>
      </c>
      <c r="M51" s="2"/>
      <c r="N51" s="7">
        <f t="shared" si="27"/>
        <v>1.7165420864478391</v>
      </c>
      <c r="O51" s="11"/>
      <c r="P51" s="6">
        <v>2023.01</v>
      </c>
      <c r="Q51" s="2"/>
      <c r="R51" s="7">
        <f t="shared" si="28"/>
        <v>0</v>
      </c>
      <c r="S51" s="2"/>
      <c r="T51" s="6">
        <v>3438.24</v>
      </c>
      <c r="U51" s="2"/>
      <c r="V51" s="7">
        <f t="shared" si="29"/>
        <v>0</v>
      </c>
      <c r="W51" s="2"/>
      <c r="X51" s="6">
        <f t="shared" si="30"/>
        <v>-1415.2299999999998</v>
      </c>
      <c r="Y51" s="2"/>
      <c r="Z51" s="7">
        <f t="shared" si="31"/>
        <v>-0.41161466331611518</v>
      </c>
    </row>
    <row r="52" spans="1:26" s="24" customFormat="1" hidden="1" outlineLevel="2" x14ac:dyDescent="0.25">
      <c r="A52" s="27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95.57</v>
      </c>
      <c r="U52" s="2"/>
      <c r="V52" s="7">
        <f t="shared" si="29"/>
        <v>0</v>
      </c>
      <c r="W52" s="2"/>
      <c r="X52" s="6">
        <f t="shared" si="30"/>
        <v>-95.57</v>
      </c>
      <c r="Y52" s="2"/>
      <c r="Z52" s="7">
        <f t="shared" si="31"/>
        <v>-1</v>
      </c>
    </row>
    <row r="53" spans="1:26" s="24" customFormat="1" hidden="1" outlineLevel="2" x14ac:dyDescent="0.25">
      <c r="A53" s="27"/>
      <c r="B53" s="11" t="str">
        <f>CONCATENATE("          ", "6247", " - ", "STORE SUPPLIES")</f>
        <v xml:space="preserve">          6247 - STORE SUPPLIES</v>
      </c>
      <c r="C53" s="11"/>
      <c r="D53" s="6">
        <v>207.79</v>
      </c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207.79</v>
      </c>
      <c r="M53" s="2"/>
      <c r="N53" s="7">
        <f t="shared" si="27"/>
        <v>0</v>
      </c>
      <c r="O53" s="11"/>
      <c r="P53" s="6">
        <v>1354.23</v>
      </c>
      <c r="Q53" s="2"/>
      <c r="R53" s="7">
        <f t="shared" si="28"/>
        <v>0</v>
      </c>
      <c r="S53" s="2"/>
      <c r="T53" s="6">
        <v>1665.77</v>
      </c>
      <c r="U53" s="2"/>
      <c r="V53" s="7">
        <f t="shared" si="29"/>
        <v>0</v>
      </c>
      <c r="W53" s="2"/>
      <c r="X53" s="6">
        <f t="shared" si="30"/>
        <v>-311.53999999999996</v>
      </c>
      <c r="Y53" s="2"/>
      <c r="Z53" s="7">
        <f t="shared" si="31"/>
        <v>-0.18702461924515387</v>
      </c>
    </row>
    <row r="54" spans="1:26" s="25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SUM(OSRRefD22_9x_0)</f>
        <v>148.15</v>
      </c>
      <c r="E54" s="1"/>
      <c r="F54" s="5">
        <f t="shared" ref="F54:F57" si="32">IF(D$12=0,0,D54/D$12)</f>
        <v>0</v>
      </c>
      <c r="G54" s="1"/>
      <c r="H54" s="1">
        <f>SUM(OSRRefH22_9x_0)</f>
        <v>148.1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5.0000000000011369E-2</v>
      </c>
      <c r="M54" s="1"/>
      <c r="N54" s="5">
        <f t="shared" ref="N54:N57" si="35">IF(H54=0,0,L54/H54)</f>
        <v>3.3760972316010379E-4</v>
      </c>
      <c r="O54" s="13"/>
      <c r="P54" s="1">
        <f>SUM(OSRRefP22_9x_0)</f>
        <v>1546.65</v>
      </c>
      <c r="Q54" s="1"/>
      <c r="R54" s="5">
        <f t="shared" ref="R54:R57" si="36">IF(P$12=0,0,P54/P$12)</f>
        <v>0</v>
      </c>
      <c r="S54" s="1"/>
      <c r="T54" s="1">
        <f>SUM(OSRRefT22_9x_0)</f>
        <v>1574.73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-28.079999999999927</v>
      </c>
      <c r="Y54" s="1"/>
      <c r="Z54" s="5">
        <f t="shared" ref="Z54:Z57" si="39">IF(T54=0,0,X54/T54)</f>
        <v>-1.7831628279133521E-2</v>
      </c>
    </row>
    <row r="55" spans="1:26" s="24" customFormat="1" hidden="1" outlineLevel="2" x14ac:dyDescent="0.25">
      <c r="A55" s="27"/>
      <c r="B55" s="11" t="str">
        <f>CONCATENATE("          ", "6309", " - ", "TELEPHONE")</f>
        <v xml:space="preserve">          6309 - TELEPHONE</v>
      </c>
      <c r="C55" s="11"/>
      <c r="D55" s="6">
        <v>148.15</v>
      </c>
      <c r="E55" s="2"/>
      <c r="F55" s="7">
        <f t="shared" si="32"/>
        <v>0</v>
      </c>
      <c r="G55" s="2"/>
      <c r="H55" s="6">
        <v>148.1</v>
      </c>
      <c r="I55" s="2"/>
      <c r="J55" s="7">
        <f t="shared" si="33"/>
        <v>0</v>
      </c>
      <c r="K55" s="2"/>
      <c r="L55" s="6">
        <f t="shared" si="34"/>
        <v>5.0000000000011369E-2</v>
      </c>
      <c r="M55" s="2"/>
      <c r="N55" s="7">
        <f t="shared" si="35"/>
        <v>3.3760972316010379E-4</v>
      </c>
      <c r="O55" s="11"/>
      <c r="P55" s="6">
        <v>1546.65</v>
      </c>
      <c r="Q55" s="2"/>
      <c r="R55" s="7">
        <f t="shared" si="36"/>
        <v>0</v>
      </c>
      <c r="S55" s="2"/>
      <c r="T55" s="6">
        <v>1574.73</v>
      </c>
      <c r="U55" s="2"/>
      <c r="V55" s="7">
        <f t="shared" si="37"/>
        <v>0</v>
      </c>
      <c r="W55" s="2"/>
      <c r="X55" s="6">
        <f t="shared" si="38"/>
        <v>-28.079999999999927</v>
      </c>
      <c r="Y55" s="2"/>
      <c r="Z55" s="7">
        <f t="shared" si="39"/>
        <v>-1.7831628279133521E-2</v>
      </c>
    </row>
    <row r="56" spans="1:26" s="25" customFormat="1" outlineLevel="1" collapsed="1" x14ac:dyDescent="0.25">
      <c r="A56" s="26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SUM(OSRRefD22_10x_0)</f>
        <v>0</v>
      </c>
      <c r="E56" s="1"/>
      <c r="F56" s="5">
        <f t="shared" si="32"/>
        <v>0</v>
      </c>
      <c r="G56" s="1"/>
      <c r="H56" s="1">
        <f>SUM(OSRRefH22_10x_0)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SUM(OSRRefP22_10x_0)</f>
        <v>80</v>
      </c>
      <c r="Q56" s="1"/>
      <c r="R56" s="5">
        <f t="shared" si="36"/>
        <v>0</v>
      </c>
      <c r="S56" s="1"/>
      <c r="T56" s="1">
        <f>SUM(OSRRefT22_10x_0)</f>
        <v>998.09</v>
      </c>
      <c r="U56" s="1"/>
      <c r="V56" s="5">
        <f t="shared" si="37"/>
        <v>0</v>
      </c>
      <c r="W56" s="1"/>
      <c r="X56" s="1">
        <f t="shared" si="38"/>
        <v>-918.09</v>
      </c>
      <c r="Y56" s="1"/>
      <c r="Z56" s="5">
        <f t="shared" si="39"/>
        <v>-0.91984690759350363</v>
      </c>
    </row>
    <row r="57" spans="1:26" s="24" customFormat="1" hidden="1" outlineLevel="2" x14ac:dyDescent="0.25">
      <c r="A57" s="27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80</v>
      </c>
      <c r="Q57" s="2"/>
      <c r="R57" s="7">
        <f t="shared" si="36"/>
        <v>0</v>
      </c>
      <c r="S57" s="2"/>
      <c r="T57" s="6">
        <v>998.09</v>
      </c>
      <c r="U57" s="2"/>
      <c r="V57" s="7">
        <f t="shared" si="37"/>
        <v>0</v>
      </c>
      <c r="W57" s="2"/>
      <c r="X57" s="6">
        <f t="shared" si="38"/>
        <v>-918.09</v>
      </c>
      <c r="Y57" s="2"/>
      <c r="Z57" s="7">
        <f t="shared" si="39"/>
        <v>-0.91984690759350363</v>
      </c>
    </row>
    <row r="58" spans="1:26" s="53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1">
        <f>+D16-D18+D59</f>
        <v>-15739.560000000001</v>
      </c>
      <c r="E61" s="14"/>
      <c r="F61" s="20">
        <f>IF(D$12=0,0,D61/D$12)</f>
        <v>0</v>
      </c>
      <c r="G61" s="14"/>
      <c r="H61" s="21">
        <f>+H16-H18+H59</f>
        <v>-27241.039999999997</v>
      </c>
      <c r="I61" s="14"/>
      <c r="J61" s="20">
        <f>IF(H$12=0,0,H61/H$12)</f>
        <v>0</v>
      </c>
      <c r="K61" s="15"/>
      <c r="L61" s="21">
        <f>+D61-H61</f>
        <v>11501.479999999996</v>
      </c>
      <c r="M61" s="15"/>
      <c r="N61" s="20">
        <f>IF(H61=0,0,L61/H61)</f>
        <v>-0.42221148678611381</v>
      </c>
      <c r="O61" s="29"/>
      <c r="P61" s="21">
        <f>+P16-P18+P59</f>
        <v>-439122.72000000003</v>
      </c>
      <c r="Q61" s="14"/>
      <c r="R61" s="20">
        <f>IF(P$12=0,0,P61/P$12)</f>
        <v>0</v>
      </c>
      <c r="S61" s="14"/>
      <c r="T61" s="21">
        <f>+T16-T18+T59</f>
        <v>-441794.97000000003</v>
      </c>
      <c r="U61" s="14"/>
      <c r="V61" s="20">
        <f>IF(T$12=0,0,T61/T$12)</f>
        <v>0</v>
      </c>
      <c r="W61" s="15"/>
      <c r="X61" s="21">
        <f>+P61-T61</f>
        <v>2672.25</v>
      </c>
      <c r="Y61" s="15"/>
      <c r="Z61" s="20">
        <f>IF(T61=0,0,X61/T61)</f>
        <v>-6.0486202457216741E-3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0">
        <f>+D61-D63</f>
        <v>-15739.560000000001</v>
      </c>
      <c r="E65" s="14"/>
      <c r="F65" s="36">
        <f>IF(D$12=0,0,D65/D$12)</f>
        <v>0</v>
      </c>
      <c r="G65" s="14"/>
      <c r="H65" s="30">
        <f>+H61-H63</f>
        <v>-27241.039999999997</v>
      </c>
      <c r="I65" s="14"/>
      <c r="J65" s="36">
        <f>IF(H$12=0,0,H65/H$12)</f>
        <v>0</v>
      </c>
      <c r="K65" s="15"/>
      <c r="L65" s="30">
        <f>D65-H65</f>
        <v>11501.479999999996</v>
      </c>
      <c r="M65" s="15"/>
      <c r="N65" s="36">
        <f>IF(H65=0,0,L65/H65)</f>
        <v>-0.42221148678611381</v>
      </c>
      <c r="O65" s="29"/>
      <c r="P65" s="30">
        <f>+P61-P63</f>
        <v>-439122.72000000003</v>
      </c>
      <c r="Q65" s="14"/>
      <c r="R65" s="36">
        <f>IF(P$12=0,0,P65/P$12)</f>
        <v>0</v>
      </c>
      <c r="S65" s="14"/>
      <c r="T65" s="30">
        <f>+T61-T63</f>
        <v>-441794.97000000003</v>
      </c>
      <c r="U65" s="14"/>
      <c r="V65" s="36">
        <f>IF(T$12=0,0,T65/T$12)</f>
        <v>0</v>
      </c>
      <c r="W65" s="15"/>
      <c r="X65" s="30">
        <f>P65-T65</f>
        <v>2672.25</v>
      </c>
      <c r="Y65" s="15"/>
      <c r="Z65" s="36">
        <f>IF(T65=0,0,X65/T65)</f>
        <v>-6.0486202457216741E-3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1">
        <f>SUM(D65:D67)</f>
        <v>-15739.560000000001</v>
      </c>
      <c r="E68" s="14"/>
      <c r="F68" s="32">
        <f>IF(D$12=0,0,D68/D$12)</f>
        <v>0</v>
      </c>
      <c r="G68" s="14"/>
      <c r="H68" s="31">
        <f>SUM(H65:H67)</f>
        <v>-27241.039999999997</v>
      </c>
      <c r="I68" s="14"/>
      <c r="J68" s="32">
        <f>IF(H$12=0,0,H68/H$12)</f>
        <v>0</v>
      </c>
      <c r="K68" s="15"/>
      <c r="L68" s="31">
        <f>+D68-H68</f>
        <v>11501.479999999996</v>
      </c>
      <c r="M68" s="15"/>
      <c r="N68" s="32">
        <f>IF(H68=0,0,L68/H68)</f>
        <v>-0.42221148678611381</v>
      </c>
      <c r="O68" s="29"/>
      <c r="P68" s="31">
        <f>SUM(P65:P67)</f>
        <v>-439122.72000000003</v>
      </c>
      <c r="Q68" s="14"/>
      <c r="R68" s="32">
        <f>IF(P$12=0,0,P68/P$12)</f>
        <v>0</v>
      </c>
      <c r="S68" s="14"/>
      <c r="T68" s="31">
        <f>SUM(T65:T67)</f>
        <v>-441794.97000000003</v>
      </c>
      <c r="U68" s="14"/>
      <c r="V68" s="32">
        <f>IF(T$12=0,0,T68/T$12)</f>
        <v>0</v>
      </c>
      <c r="W68" s="15"/>
      <c r="X68" s="31">
        <f>+P68-T68</f>
        <v>2672.25</v>
      </c>
      <c r="Y68" s="15"/>
      <c r="Z68" s="32">
        <f>IF(T68=0,0,X68/T68)</f>
        <v>-6.0486202457216741E-3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4">
        <v>43965.470906168979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9" t="s">
        <v>313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1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3159.7599999999998</v>
      </c>
      <c r="E12" s="4"/>
      <c r="F12" s="12"/>
      <c r="G12" s="4"/>
      <c r="H12" s="4">
        <f>SUM(OSRRefH13x_0)</f>
        <v>69591.640000000029</v>
      </c>
      <c r="I12" s="4"/>
      <c r="J12" s="12"/>
      <c r="K12" s="4"/>
      <c r="L12" s="4">
        <f t="shared" ref="L12:L55" si="0">+D12-H12</f>
        <v>-66431.880000000034</v>
      </c>
      <c r="M12" s="4"/>
      <c r="N12" s="12">
        <f t="shared" ref="N12:N55" si="1">IF(H12=0,0,L12/H12)</f>
        <v>-0.95459569568988467</v>
      </c>
      <c r="O12" s="10"/>
      <c r="P12" s="4">
        <f>SUM(OSRRefP13x_0)</f>
        <v>814699.96</v>
      </c>
      <c r="Q12" s="4"/>
      <c r="R12" s="12"/>
      <c r="S12" s="4"/>
      <c r="T12" s="4">
        <f>SUM(OSRRefT13x_0)</f>
        <v>885139.48999999964</v>
      </c>
      <c r="U12" s="4"/>
      <c r="V12" s="12"/>
      <c r="W12" s="4"/>
      <c r="X12" s="4">
        <f t="shared" ref="X12:X55" si="2">+P12-T12</f>
        <v>-70439.529999999679</v>
      </c>
      <c r="Y12" s="4"/>
      <c r="Z12" s="12">
        <f t="shared" ref="Z12:Z55" si="3">IF(T12=0,0,X12/T12)</f>
        <v>-7.9580146175604147E-2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>--39.95</f>
        <v>39.950000000000003</v>
      </c>
      <c r="I13" s="2"/>
      <c r="J13" s="19"/>
      <c r="K13" s="2"/>
      <c r="L13" s="2">
        <f t="shared" si="0"/>
        <v>-39.950000000000003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--109.2</f>
        <v>109.2</v>
      </c>
      <c r="U13" s="2"/>
      <c r="V13" s="19"/>
      <c r="W13" s="2"/>
      <c r="X13" s="2">
        <f t="shared" si="2"/>
        <v>-109.2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--64.95</f>
        <v>64.95</v>
      </c>
      <c r="E14" s="2"/>
      <c r="F14" s="19"/>
      <c r="G14" s="2"/>
      <c r="H14" s="2">
        <f>--20.89</f>
        <v>20.89</v>
      </c>
      <c r="I14" s="2"/>
      <c r="J14" s="19"/>
      <c r="K14" s="2"/>
      <c r="L14" s="2">
        <f t="shared" si="0"/>
        <v>44.06</v>
      </c>
      <c r="M14" s="2"/>
      <c r="N14" s="19">
        <f t="shared" si="1"/>
        <v>2.1091431306845383</v>
      </c>
      <c r="O14" s="11"/>
      <c r="P14" s="2">
        <f>--347.52</f>
        <v>347.52</v>
      </c>
      <c r="Q14" s="2"/>
      <c r="R14" s="19"/>
      <c r="S14" s="2"/>
      <c r="T14" s="2">
        <f>--717.61</f>
        <v>717.61</v>
      </c>
      <c r="U14" s="2"/>
      <c r="V14" s="19"/>
      <c r="W14" s="2"/>
      <c r="X14" s="2">
        <f t="shared" si="2"/>
        <v>-370.09000000000003</v>
      </c>
      <c r="Y14" s="2"/>
      <c r="Z14" s="19">
        <f t="shared" si="3"/>
        <v>-0.5157258120706234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ref="D15:D16" si="4"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>
        <f>--66.94</f>
        <v>66.94</v>
      </c>
      <c r="U15" s="2"/>
      <c r="V15" s="19"/>
      <c r="W15" s="2"/>
      <c r="X15" s="2">
        <f t="shared" si="2"/>
        <v>-24.089999999999996</v>
      </c>
      <c r="Y15" s="2"/>
      <c r="Z15" s="19">
        <f t="shared" si="3"/>
        <v>-0.35987451449058855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--3109.67</f>
        <v>3109.67</v>
      </c>
      <c r="I16" s="2"/>
      <c r="J16" s="19"/>
      <c r="K16" s="2"/>
      <c r="L16" s="2">
        <f t="shared" si="0"/>
        <v>-3109.67</v>
      </c>
      <c r="M16" s="2"/>
      <c r="N16" s="19">
        <f t="shared" si="1"/>
        <v>-1</v>
      </c>
      <c r="O16" s="11"/>
      <c r="P16" s="2">
        <f>--54689.24</f>
        <v>54689.24</v>
      </c>
      <c r="Q16" s="2"/>
      <c r="R16" s="19"/>
      <c r="S16" s="2"/>
      <c r="T16" s="2">
        <f>--56602.14</f>
        <v>56602.14</v>
      </c>
      <c r="U16" s="2"/>
      <c r="V16" s="19"/>
      <c r="W16" s="2"/>
      <c r="X16" s="2">
        <f t="shared" si="2"/>
        <v>-1912.9000000000015</v>
      </c>
      <c r="Y16" s="2"/>
      <c r="Z16" s="19">
        <f t="shared" si="3"/>
        <v>-3.3795542006008983E-2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--81.65</f>
        <v>81.650000000000006</v>
      </c>
      <c r="E17" s="2"/>
      <c r="F17" s="19"/>
      <c r="G17" s="2"/>
      <c r="H17" s="2">
        <f>--6194.34</f>
        <v>6194.34</v>
      </c>
      <c r="I17" s="2"/>
      <c r="J17" s="19"/>
      <c r="K17" s="2"/>
      <c r="L17" s="2">
        <f t="shared" si="0"/>
        <v>-6112.6900000000005</v>
      </c>
      <c r="M17" s="2"/>
      <c r="N17" s="19">
        <f t="shared" si="1"/>
        <v>-0.98681861182950892</v>
      </c>
      <c r="O17" s="11"/>
      <c r="P17" s="2">
        <f>--79720.2</f>
        <v>79720.2</v>
      </c>
      <c r="Q17" s="2"/>
      <c r="R17" s="19"/>
      <c r="S17" s="2"/>
      <c r="T17" s="2">
        <f>--74487.84</f>
        <v>74487.839999999997</v>
      </c>
      <c r="U17" s="2"/>
      <c r="V17" s="19"/>
      <c r="W17" s="2"/>
      <c r="X17" s="2">
        <f t="shared" si="2"/>
        <v>5232.3600000000006</v>
      </c>
      <c r="Y17" s="2"/>
      <c r="Z17" s="19">
        <f t="shared" si="3"/>
        <v>7.0244485542875199E-2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--1399.98</f>
        <v>1399.98</v>
      </c>
      <c r="E18" s="2"/>
      <c r="F18" s="19"/>
      <c r="G18" s="2"/>
      <c r="H18" s="2">
        <f>--14945.52</f>
        <v>14945.52</v>
      </c>
      <c r="I18" s="2"/>
      <c r="J18" s="19"/>
      <c r="K18" s="2"/>
      <c r="L18" s="2">
        <f t="shared" si="0"/>
        <v>-13545.54</v>
      </c>
      <c r="M18" s="2"/>
      <c r="N18" s="19">
        <f t="shared" si="1"/>
        <v>-0.90632778250606205</v>
      </c>
      <c r="O18" s="11"/>
      <c r="P18" s="2">
        <f>--271084.97</f>
        <v>271084.96999999997</v>
      </c>
      <c r="Q18" s="2"/>
      <c r="R18" s="19"/>
      <c r="S18" s="2"/>
      <c r="T18" s="2">
        <f>--276393.06</f>
        <v>276393.06</v>
      </c>
      <c r="U18" s="2"/>
      <c r="V18" s="19"/>
      <c r="W18" s="2"/>
      <c r="X18" s="2">
        <f t="shared" si="2"/>
        <v>-5308.0900000000256</v>
      </c>
      <c r="Y18" s="2"/>
      <c r="Z18" s="19">
        <f t="shared" si="3"/>
        <v>-1.9204859919420645E-2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--168.82</f>
        <v>168.82</v>
      </c>
      <c r="E19" s="2"/>
      <c r="F19" s="19"/>
      <c r="G19" s="2"/>
      <c r="H19" s="2">
        <f>--29042.56</f>
        <v>29042.560000000001</v>
      </c>
      <c r="I19" s="2"/>
      <c r="J19" s="19"/>
      <c r="K19" s="2"/>
      <c r="L19" s="2">
        <f t="shared" si="0"/>
        <v>-28873.74</v>
      </c>
      <c r="M19" s="2"/>
      <c r="N19" s="19">
        <f t="shared" si="1"/>
        <v>-0.99418715154586923</v>
      </c>
      <c r="O19" s="11"/>
      <c r="P19" s="2">
        <f>--292765.87</f>
        <v>292765.87</v>
      </c>
      <c r="Q19" s="2"/>
      <c r="R19" s="19"/>
      <c r="S19" s="2"/>
      <c r="T19" s="2">
        <f>--334048.12</f>
        <v>334048.12</v>
      </c>
      <c r="U19" s="2"/>
      <c r="V19" s="19"/>
      <c r="W19" s="2"/>
      <c r="X19" s="2">
        <f t="shared" si="2"/>
        <v>-41282.25</v>
      </c>
      <c r="Y19" s="2"/>
      <c r="Z19" s="19">
        <f t="shared" si="3"/>
        <v>-0.12358174624661861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ref="D20:D33" si="5">0</f>
        <v>0</v>
      </c>
      <c r="E20" s="2"/>
      <c r="F20" s="19"/>
      <c r="G20" s="2"/>
      <c r="H20" s="2">
        <f>--91.57</f>
        <v>91.57</v>
      </c>
      <c r="I20" s="2"/>
      <c r="J20" s="19"/>
      <c r="K20" s="2"/>
      <c r="L20" s="2">
        <f t="shared" si="0"/>
        <v>-91.57</v>
      </c>
      <c r="M20" s="2"/>
      <c r="N20" s="19">
        <f t="shared" si="1"/>
        <v>-1</v>
      </c>
      <c r="O20" s="11"/>
      <c r="P20" s="2">
        <f>--486.34</f>
        <v>486.34</v>
      </c>
      <c r="Q20" s="2"/>
      <c r="R20" s="19"/>
      <c r="S20" s="2"/>
      <c r="T20" s="2">
        <f>--658.7</f>
        <v>658.7</v>
      </c>
      <c r="U20" s="2"/>
      <c r="V20" s="19"/>
      <c r="W20" s="2"/>
      <c r="X20" s="2">
        <f t="shared" si="2"/>
        <v>-172.36000000000007</v>
      </c>
      <c r="Y20" s="2"/>
      <c r="Z20" s="19">
        <f t="shared" si="3"/>
        <v>-0.26166691969029915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5"/>
        <v>0</v>
      </c>
      <c r="E21" s="2"/>
      <c r="F21" s="19"/>
      <c r="G21" s="2"/>
      <c r="H21" s="2">
        <f>--94.97</f>
        <v>94.97</v>
      </c>
      <c r="I21" s="2"/>
      <c r="J21" s="19"/>
      <c r="K21" s="2"/>
      <c r="L21" s="2">
        <f t="shared" si="0"/>
        <v>-94.97</v>
      </c>
      <c r="M21" s="2"/>
      <c r="N21" s="19">
        <f t="shared" si="1"/>
        <v>-1</v>
      </c>
      <c r="O21" s="11"/>
      <c r="P21" s="2">
        <f>--1905.06</f>
        <v>1905.06</v>
      </c>
      <c r="Q21" s="2"/>
      <c r="R21" s="19"/>
      <c r="S21" s="2"/>
      <c r="T21" s="2">
        <f>--469.45</f>
        <v>469.45</v>
      </c>
      <c r="U21" s="2"/>
      <c r="V21" s="19"/>
      <c r="W21" s="2"/>
      <c r="X21" s="2">
        <f t="shared" si="2"/>
        <v>1435.61</v>
      </c>
      <c r="Y21" s="2"/>
      <c r="Z21" s="19">
        <f t="shared" si="3"/>
        <v>3.0580679518585576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5"/>
        <v>0</v>
      </c>
      <c r="E22" s="2"/>
      <c r="F22" s="19"/>
      <c r="G22" s="2"/>
      <c r="H22" s="2">
        <f>--38.96</f>
        <v>38.96</v>
      </c>
      <c r="I22" s="2"/>
      <c r="J22" s="19"/>
      <c r="K22" s="2"/>
      <c r="L22" s="2">
        <f t="shared" si="0"/>
        <v>-38.96</v>
      </c>
      <c r="M22" s="2"/>
      <c r="N22" s="19">
        <f t="shared" si="1"/>
        <v>-1</v>
      </c>
      <c r="O22" s="11"/>
      <c r="P22" s="2">
        <f>--205.53</f>
        <v>205.53</v>
      </c>
      <c r="Q22" s="2"/>
      <c r="R22" s="19"/>
      <c r="S22" s="2"/>
      <c r="T22" s="2">
        <f>--244.06</f>
        <v>244.06</v>
      </c>
      <c r="U22" s="2"/>
      <c r="V22" s="19"/>
      <c r="W22" s="2"/>
      <c r="X22" s="2">
        <f t="shared" si="2"/>
        <v>-38.53</v>
      </c>
      <c r="Y22" s="2"/>
      <c r="Z22" s="19">
        <f t="shared" si="3"/>
        <v>-0.15787101532410064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5"/>
        <v>0</v>
      </c>
      <c r="E23" s="2"/>
      <c r="F23" s="19"/>
      <c r="G23" s="2"/>
      <c r="H23" s="2">
        <f>--1251.48</f>
        <v>1251.48</v>
      </c>
      <c r="I23" s="2"/>
      <c r="J23" s="19"/>
      <c r="K23" s="2"/>
      <c r="L23" s="2">
        <f t="shared" si="0"/>
        <v>-1251.48</v>
      </c>
      <c r="M23" s="2"/>
      <c r="N23" s="19">
        <f t="shared" si="1"/>
        <v>-1</v>
      </c>
      <c r="O23" s="11"/>
      <c r="P23" s="2">
        <f>--7803.51</f>
        <v>7803.51</v>
      </c>
      <c r="Q23" s="2"/>
      <c r="R23" s="19"/>
      <c r="S23" s="2"/>
      <c r="T23" s="2">
        <f>--8204.69</f>
        <v>8204.69</v>
      </c>
      <c r="U23" s="2"/>
      <c r="V23" s="19"/>
      <c r="W23" s="2"/>
      <c r="X23" s="2">
        <f t="shared" si="2"/>
        <v>-401.18000000000029</v>
      </c>
      <c r="Y23" s="2"/>
      <c r="Z23" s="19">
        <f t="shared" si="3"/>
        <v>-4.8896423874637586E-2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5"/>
        <v>0</v>
      </c>
      <c r="E24" s="2"/>
      <c r="F24" s="19"/>
      <c r="G24" s="2"/>
      <c r="H24" s="2">
        <f>--218.46</f>
        <v>218.46</v>
      </c>
      <c r="I24" s="2"/>
      <c r="J24" s="19"/>
      <c r="K24" s="2"/>
      <c r="L24" s="2">
        <f t="shared" si="0"/>
        <v>-218.46</v>
      </c>
      <c r="M24" s="2"/>
      <c r="N24" s="19">
        <f t="shared" si="1"/>
        <v>-1</v>
      </c>
      <c r="O24" s="11"/>
      <c r="P24" s="2">
        <f>--1981.84</f>
        <v>1981.84</v>
      </c>
      <c r="Q24" s="2"/>
      <c r="R24" s="19"/>
      <c r="S24" s="2"/>
      <c r="T24" s="2">
        <f>--2566.74</f>
        <v>2566.7399999999998</v>
      </c>
      <c r="U24" s="2"/>
      <c r="V24" s="19"/>
      <c r="W24" s="2"/>
      <c r="X24" s="2">
        <f t="shared" si="2"/>
        <v>-584.89999999999986</v>
      </c>
      <c r="Y24" s="2"/>
      <c r="Z24" s="19">
        <f t="shared" si="3"/>
        <v>-0.22787660612294192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5"/>
        <v>0</v>
      </c>
      <c r="E25" s="2"/>
      <c r="F25" s="19"/>
      <c r="G25" s="2"/>
      <c r="H25" s="2">
        <f>--128.18</f>
        <v>128.18</v>
      </c>
      <c r="I25" s="2"/>
      <c r="J25" s="19"/>
      <c r="K25" s="2"/>
      <c r="L25" s="2">
        <f t="shared" si="0"/>
        <v>-128.18</v>
      </c>
      <c r="M25" s="2"/>
      <c r="N25" s="19">
        <f t="shared" si="1"/>
        <v>-1</v>
      </c>
      <c r="O25" s="11"/>
      <c r="P25" s="2">
        <f>--513.51</f>
        <v>513.51</v>
      </c>
      <c r="Q25" s="2"/>
      <c r="R25" s="19"/>
      <c r="S25" s="2"/>
      <c r="T25" s="2">
        <f>--805.99</f>
        <v>805.99</v>
      </c>
      <c r="U25" s="2"/>
      <c r="V25" s="19"/>
      <c r="W25" s="2"/>
      <c r="X25" s="2">
        <f t="shared" si="2"/>
        <v>-292.48</v>
      </c>
      <c r="Y25" s="2"/>
      <c r="Z25" s="19">
        <f t="shared" si="3"/>
        <v>-0.36288291418007668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 t="shared" si="5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 t="shared" si="5"/>
        <v>0</v>
      </c>
      <c r="E27" s="2"/>
      <c r="F27" s="19"/>
      <c r="G27" s="2"/>
      <c r="H27" s="2">
        <f>--33.9</f>
        <v>33.9</v>
      </c>
      <c r="I27" s="2"/>
      <c r="J27" s="19"/>
      <c r="K27" s="2"/>
      <c r="L27" s="2">
        <f t="shared" si="0"/>
        <v>-33.9</v>
      </c>
      <c r="M27" s="2"/>
      <c r="N27" s="19">
        <f t="shared" si="1"/>
        <v>-1</v>
      </c>
      <c r="O27" s="11"/>
      <c r="P27" s="2">
        <f>--583.7</f>
        <v>583.70000000000005</v>
      </c>
      <c r="Q27" s="2"/>
      <c r="R27" s="19"/>
      <c r="S27" s="2"/>
      <c r="T27" s="2">
        <f>--736.93</f>
        <v>736.93</v>
      </c>
      <c r="U27" s="2"/>
      <c r="V27" s="19"/>
      <c r="W27" s="2"/>
      <c r="X27" s="2">
        <f t="shared" si="2"/>
        <v>-153.2299999999999</v>
      </c>
      <c r="Y27" s="2"/>
      <c r="Z27" s="19">
        <f t="shared" si="3"/>
        <v>-0.20793019689794134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 t="shared" si="5"/>
        <v>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 t="shared" si="5"/>
        <v>0</v>
      </c>
      <c r="E29" s="2"/>
      <c r="F29" s="19"/>
      <c r="G29" s="2"/>
      <c r="H29" s="2">
        <f>--287.73</f>
        <v>287.73</v>
      </c>
      <c r="I29" s="2"/>
      <c r="J29" s="19"/>
      <c r="K29" s="2"/>
      <c r="L29" s="2">
        <f t="shared" si="0"/>
        <v>-287.73</v>
      </c>
      <c r="M29" s="2"/>
      <c r="N29" s="19">
        <f t="shared" si="1"/>
        <v>-1</v>
      </c>
      <c r="O29" s="11"/>
      <c r="P29" s="2">
        <f>--3174.93</f>
        <v>3174.93</v>
      </c>
      <c r="Q29" s="2"/>
      <c r="R29" s="19"/>
      <c r="S29" s="2"/>
      <c r="T29" s="2">
        <f>--4214.69</f>
        <v>4214.6899999999996</v>
      </c>
      <c r="U29" s="2"/>
      <c r="V29" s="19"/>
      <c r="W29" s="2"/>
      <c r="X29" s="2">
        <f t="shared" si="2"/>
        <v>-1039.7599999999998</v>
      </c>
      <c r="Y29" s="2"/>
      <c r="Z29" s="19">
        <f t="shared" si="3"/>
        <v>-0.24669904548139954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 t="shared" si="5"/>
        <v>0</v>
      </c>
      <c r="E30" s="2"/>
      <c r="F30" s="19"/>
      <c r="G30" s="2"/>
      <c r="H30" s="2">
        <f>--164</f>
        <v>164</v>
      </c>
      <c r="I30" s="2"/>
      <c r="J30" s="19"/>
      <c r="K30" s="2"/>
      <c r="L30" s="2">
        <f t="shared" si="0"/>
        <v>-164</v>
      </c>
      <c r="M30" s="2"/>
      <c r="N30" s="19">
        <f t="shared" si="1"/>
        <v>-1</v>
      </c>
      <c r="O30" s="11"/>
      <c r="P30" s="2">
        <f>--363.94</f>
        <v>363.94</v>
      </c>
      <c r="Q30" s="2"/>
      <c r="R30" s="19"/>
      <c r="S30" s="2"/>
      <c r="T30" s="2">
        <f>--1505</f>
        <v>1505</v>
      </c>
      <c r="U30" s="2"/>
      <c r="V30" s="19"/>
      <c r="W30" s="2"/>
      <c r="X30" s="2">
        <f t="shared" si="2"/>
        <v>-1141.06</v>
      </c>
      <c r="Y30" s="2"/>
      <c r="Z30" s="19">
        <f t="shared" si="3"/>
        <v>-0.75817940199335543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 t="shared" si="5"/>
        <v>0</v>
      </c>
      <c r="E31" s="2"/>
      <c r="F31" s="19"/>
      <c r="G31" s="2"/>
      <c r="H31" s="2">
        <f>--119.9</f>
        <v>119.9</v>
      </c>
      <c r="I31" s="2"/>
      <c r="J31" s="19"/>
      <c r="K31" s="2"/>
      <c r="L31" s="2">
        <f t="shared" si="0"/>
        <v>-119.9</v>
      </c>
      <c r="M31" s="2"/>
      <c r="N31" s="19">
        <f t="shared" si="1"/>
        <v>-1</v>
      </c>
      <c r="O31" s="11"/>
      <c r="P31" s="2">
        <f>--914.33</f>
        <v>914.33</v>
      </c>
      <c r="Q31" s="2"/>
      <c r="R31" s="19"/>
      <c r="S31" s="2"/>
      <c r="T31" s="2">
        <f>--1283.94</f>
        <v>1283.94</v>
      </c>
      <c r="U31" s="2"/>
      <c r="V31" s="19"/>
      <c r="W31" s="2"/>
      <c r="X31" s="2">
        <f t="shared" si="2"/>
        <v>-369.61</v>
      </c>
      <c r="Y31" s="2"/>
      <c r="Z31" s="19">
        <f t="shared" si="3"/>
        <v>-0.28787170740065737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 t="shared" si="5"/>
        <v>0</v>
      </c>
      <c r="E32" s="2"/>
      <c r="F32" s="19"/>
      <c r="G32" s="2"/>
      <c r="H32" s="2">
        <f>--202.9</f>
        <v>202.9</v>
      </c>
      <c r="I32" s="2"/>
      <c r="J32" s="19"/>
      <c r="K32" s="2"/>
      <c r="L32" s="2">
        <f t="shared" si="0"/>
        <v>-202.9</v>
      </c>
      <c r="M32" s="2"/>
      <c r="N32" s="19">
        <f t="shared" si="1"/>
        <v>-1</v>
      </c>
      <c r="O32" s="11"/>
      <c r="P32" s="2">
        <f>--813.74</f>
        <v>813.74</v>
      </c>
      <c r="Q32" s="2"/>
      <c r="R32" s="19"/>
      <c r="S32" s="2"/>
      <c r="T32" s="2">
        <f>--2085.13</f>
        <v>2085.13</v>
      </c>
      <c r="U32" s="2"/>
      <c r="V32" s="19"/>
      <c r="W32" s="2"/>
      <c r="X32" s="2">
        <f t="shared" si="2"/>
        <v>-1271.3900000000001</v>
      </c>
      <c r="Y32" s="2"/>
      <c r="Z32" s="19">
        <f t="shared" si="3"/>
        <v>-0.60974135905195359</v>
      </c>
    </row>
    <row r="33" spans="1:26" s="24" customFormat="1" hidden="1" outlineLevel="1" x14ac:dyDescent="0.25">
      <c r="A33" s="44"/>
      <c r="B33" s="11" t="str">
        <f>CONCATENATE("          ", "4125", " - ", "NON-TAXABLE SALES-TEST FORMS")</f>
        <v xml:space="preserve">          4125 - NON-TAXABLE SALES-TEST FORMS</v>
      </c>
      <c r="C33" s="11"/>
      <c r="D33" s="2">
        <f t="shared" si="5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--267.61</f>
        <v>267.61</v>
      </c>
      <c r="Q33" s="2"/>
      <c r="R33" s="19"/>
      <c r="S33" s="2"/>
      <c r="T33" s="2">
        <f>--305.19</f>
        <v>305.19</v>
      </c>
      <c r="U33" s="2"/>
      <c r="V33" s="19"/>
      <c r="W33" s="2"/>
      <c r="X33" s="2">
        <f t="shared" si="2"/>
        <v>-37.579999999999984</v>
      </c>
      <c r="Y33" s="2"/>
      <c r="Z33" s="19">
        <f t="shared" si="3"/>
        <v>-0.123136406828533</v>
      </c>
    </row>
    <row r="34" spans="1:26" s="24" customFormat="1" hidden="1" outlineLevel="1" x14ac:dyDescent="0.25">
      <c r="A34" s="44"/>
      <c r="B34" s="11" t="str">
        <f>CONCATENATE("          ", "4126", " - ", "NON-TAXABLE SALES-WRITING INST")</f>
        <v xml:space="preserve">          4126 - NON-TAXABLE SALES-WRITING INST</v>
      </c>
      <c r="C34" s="11"/>
      <c r="D34" s="2">
        <f>--5.57</f>
        <v>5.57</v>
      </c>
      <c r="E34" s="2"/>
      <c r="F34" s="19"/>
      <c r="G34" s="2"/>
      <c r="H34" s="2">
        <f>--100.47</f>
        <v>100.47</v>
      </c>
      <c r="I34" s="2"/>
      <c r="J34" s="19"/>
      <c r="K34" s="2"/>
      <c r="L34" s="2">
        <f t="shared" si="0"/>
        <v>-94.9</v>
      </c>
      <c r="M34" s="2"/>
      <c r="N34" s="19">
        <f t="shared" si="1"/>
        <v>-0.94456056534288846</v>
      </c>
      <c r="O34" s="11"/>
      <c r="P34" s="2">
        <f>--3022.86</f>
        <v>3022.86</v>
      </c>
      <c r="Q34" s="2"/>
      <c r="R34" s="19"/>
      <c r="S34" s="2"/>
      <c r="T34" s="2">
        <f>--3659.14</f>
        <v>3659.14</v>
      </c>
      <c r="U34" s="2"/>
      <c r="V34" s="19"/>
      <c r="W34" s="2"/>
      <c r="X34" s="2">
        <f t="shared" si="2"/>
        <v>-636.27999999999975</v>
      </c>
      <c r="Y34" s="2"/>
      <c r="Z34" s="19">
        <f t="shared" si="3"/>
        <v>-0.17388785343004087</v>
      </c>
    </row>
    <row r="35" spans="1:26" s="24" customFormat="1" hidden="1" outlineLevel="1" x14ac:dyDescent="0.25">
      <c r="A35" s="44"/>
      <c r="B35" s="11" t="str">
        <f>CONCATENATE("          ", "4127", " - ", "NON-TAXABLE SALES-SCHOOL SUPPL")</f>
        <v xml:space="preserve">          4127 - NON-TAXABLE SALES-SCHOOL SUPPL</v>
      </c>
      <c r="C35" s="11"/>
      <c r="D35" s="2">
        <f>--1430.65</f>
        <v>1430.65</v>
      </c>
      <c r="E35" s="2"/>
      <c r="F35" s="19"/>
      <c r="G35" s="2"/>
      <c r="H35" s="2">
        <f>--4.99</f>
        <v>4.99</v>
      </c>
      <c r="I35" s="2"/>
      <c r="J35" s="19"/>
      <c r="K35" s="2"/>
      <c r="L35" s="2">
        <f t="shared" si="0"/>
        <v>1425.66</v>
      </c>
      <c r="M35" s="2"/>
      <c r="N35" s="19">
        <f t="shared" si="1"/>
        <v>285.70340681362728</v>
      </c>
      <c r="O35" s="11"/>
      <c r="P35" s="2">
        <f>--6146.87</f>
        <v>6146.87</v>
      </c>
      <c r="Q35" s="2"/>
      <c r="R35" s="19"/>
      <c r="S35" s="2"/>
      <c r="T35" s="2">
        <f>--12330.36</f>
        <v>12330.36</v>
      </c>
      <c r="U35" s="2"/>
      <c r="V35" s="19"/>
      <c r="W35" s="2"/>
      <c r="X35" s="2">
        <f t="shared" si="2"/>
        <v>-6183.4900000000007</v>
      </c>
      <c r="Y35" s="2"/>
      <c r="Z35" s="19">
        <f t="shared" si="3"/>
        <v>-0.50148495258857007</v>
      </c>
    </row>
    <row r="36" spans="1:26" s="24" customFormat="1" hidden="1" outlineLevel="1" x14ac:dyDescent="0.25">
      <c r="A36" s="44"/>
      <c r="B36" s="11" t="str">
        <f>CONCATENATE("          ", "4128", " - ", "NON-TAXABLE SALES-ART/TECH")</f>
        <v xml:space="preserve">          4128 - NON-TAXABLE SALES-ART/TECH</v>
      </c>
      <c r="C36" s="11"/>
      <c r="D36" s="2">
        <f>0</f>
        <v>0</v>
      </c>
      <c r="E36" s="2"/>
      <c r="F36" s="19"/>
      <c r="G36" s="2"/>
      <c r="H36" s="2">
        <f>--7.45</f>
        <v>7.45</v>
      </c>
      <c r="I36" s="2"/>
      <c r="J36" s="19"/>
      <c r="K36" s="2"/>
      <c r="L36" s="2">
        <f t="shared" si="0"/>
        <v>-7.45</v>
      </c>
      <c r="M36" s="2"/>
      <c r="N36" s="19">
        <f t="shared" si="1"/>
        <v>-1</v>
      </c>
      <c r="O36" s="11"/>
      <c r="P36" s="2">
        <f>--730.62</f>
        <v>730.62</v>
      </c>
      <c r="Q36" s="2"/>
      <c r="R36" s="19"/>
      <c r="S36" s="2"/>
      <c r="T36" s="2">
        <f>--852.82</f>
        <v>852.82</v>
      </c>
      <c r="U36" s="2"/>
      <c r="V36" s="19"/>
      <c r="W36" s="2"/>
      <c r="X36" s="2">
        <f t="shared" si="2"/>
        <v>-122.20000000000005</v>
      </c>
      <c r="Y36" s="2"/>
      <c r="Z36" s="19">
        <f t="shared" si="3"/>
        <v>-0.14328932248305626</v>
      </c>
    </row>
    <row r="37" spans="1:26" s="24" customFormat="1" hidden="1" outlineLevel="1" x14ac:dyDescent="0.25">
      <c r="A37" s="44"/>
      <c r="B37" s="11" t="str">
        <f>CONCATENATE("          ", "4131", " - ", "NON-TAXABLE SALES-FOOD")</f>
        <v xml:space="preserve">          4131 - NON-TAXABLE SALES-FOOD</v>
      </c>
      <c r="C37" s="11"/>
      <c r="D37" s="2">
        <f>--3.97</f>
        <v>3.97</v>
      </c>
      <c r="E37" s="2"/>
      <c r="F37" s="19"/>
      <c r="G37" s="2"/>
      <c r="H37" s="2">
        <f>--9031.87</f>
        <v>9031.8700000000008</v>
      </c>
      <c r="I37" s="2"/>
      <c r="J37" s="19"/>
      <c r="K37" s="2"/>
      <c r="L37" s="2">
        <f t="shared" si="0"/>
        <v>-9027.9000000000015</v>
      </c>
      <c r="M37" s="2"/>
      <c r="N37" s="19">
        <f t="shared" si="1"/>
        <v>-0.99956044540056499</v>
      </c>
      <c r="O37" s="11"/>
      <c r="P37" s="2">
        <f>--57887.54</f>
        <v>57887.54</v>
      </c>
      <c r="Q37" s="2"/>
      <c r="R37" s="19"/>
      <c r="S37" s="2"/>
      <c r="T37" s="2">
        <f>--71045.88</f>
        <v>71045.88</v>
      </c>
      <c r="U37" s="2"/>
      <c r="V37" s="19"/>
      <c r="W37" s="2"/>
      <c r="X37" s="2">
        <f t="shared" si="2"/>
        <v>-13158.340000000004</v>
      </c>
      <c r="Y37" s="2"/>
      <c r="Z37" s="19">
        <f t="shared" si="3"/>
        <v>-0.18520905082743719</v>
      </c>
    </row>
    <row r="38" spans="1:26" s="24" customFormat="1" hidden="1" outlineLevel="1" x14ac:dyDescent="0.25">
      <c r="A38" s="44"/>
      <c r="B38" s="11" t="str">
        <f>CONCATENATE("          ", "4132", " - ", "NON-TAXABLE SALES-JUICE")</f>
        <v xml:space="preserve">          4132 - NON-TAXABLE SALES-JUICE</v>
      </c>
      <c r="C38" s="11"/>
      <c r="D38" s="2">
        <f>0</f>
        <v>0</v>
      </c>
      <c r="E38" s="2"/>
      <c r="F38" s="19"/>
      <c r="G38" s="2"/>
      <c r="H38" s="2">
        <f>--2173.93</f>
        <v>2173.9299999999998</v>
      </c>
      <c r="I38" s="2"/>
      <c r="J38" s="19"/>
      <c r="K38" s="2"/>
      <c r="L38" s="2">
        <f t="shared" si="0"/>
        <v>-2173.9299999999998</v>
      </c>
      <c r="M38" s="2"/>
      <c r="N38" s="19">
        <f t="shared" si="1"/>
        <v>-1</v>
      </c>
      <c r="O38" s="11"/>
      <c r="P38" s="2">
        <f>--16199.63</f>
        <v>16199.63</v>
      </c>
      <c r="Q38" s="2"/>
      <c r="R38" s="19"/>
      <c r="S38" s="2"/>
      <c r="T38" s="2">
        <f>--17387.86</f>
        <v>17387.86</v>
      </c>
      <c r="U38" s="2"/>
      <c r="V38" s="19"/>
      <c r="W38" s="2"/>
      <c r="X38" s="2">
        <f t="shared" si="2"/>
        <v>-1188.2300000000014</v>
      </c>
      <c r="Y38" s="2"/>
      <c r="Z38" s="19">
        <f t="shared" si="3"/>
        <v>-6.8336759095138866E-2</v>
      </c>
    </row>
    <row r="39" spans="1:26" s="24" customFormat="1" hidden="1" outlineLevel="1" x14ac:dyDescent="0.25">
      <c r="A39" s="44"/>
      <c r="B39" s="11" t="str">
        <f>CONCATENATE("          ", "4133", " - ", "NON-TAXABLE SALES-CANDY")</f>
        <v xml:space="preserve">          4133 - NON-TAXABLE SALES-CANDY</v>
      </c>
      <c r="C39" s="11"/>
      <c r="D39" s="2">
        <f>--4.17</f>
        <v>4.17</v>
      </c>
      <c r="E39" s="2"/>
      <c r="F39" s="19"/>
      <c r="G39" s="2"/>
      <c r="H39" s="2">
        <f>--2570.67</f>
        <v>2570.67</v>
      </c>
      <c r="I39" s="2"/>
      <c r="J39" s="19"/>
      <c r="K39" s="2"/>
      <c r="L39" s="2">
        <f t="shared" si="0"/>
        <v>-2566.5</v>
      </c>
      <c r="M39" s="2"/>
      <c r="N39" s="19">
        <f t="shared" si="1"/>
        <v>-0.99837785480049945</v>
      </c>
      <c r="O39" s="11"/>
      <c r="P39" s="2">
        <f>--18088.46</f>
        <v>18088.46</v>
      </c>
      <c r="Q39" s="2"/>
      <c r="R39" s="19"/>
      <c r="S39" s="2"/>
      <c r="T39" s="2">
        <f>--19959.46</f>
        <v>19959.46</v>
      </c>
      <c r="U39" s="2"/>
      <c r="V39" s="19"/>
      <c r="W39" s="2"/>
      <c r="X39" s="2">
        <f t="shared" si="2"/>
        <v>-1871</v>
      </c>
      <c r="Y39" s="2"/>
      <c r="Z39" s="19">
        <f t="shared" si="3"/>
        <v>-9.3740011002301671E-2</v>
      </c>
    </row>
    <row r="40" spans="1:26" s="24" customFormat="1" hidden="1" outlineLevel="1" x14ac:dyDescent="0.25">
      <c r="A40" s="44"/>
      <c r="B40" s="11" t="str">
        <f>CONCATENATE("          ", "4134", " - ", "NON-TAXABLE SALES-SODA")</f>
        <v xml:space="preserve">          4134 - NON-TAXABLE SALES-SODA</v>
      </c>
      <c r="C40" s="11"/>
      <c r="D40" s="2">
        <f t="shared" ref="D40:D55" si="6"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--1.89</f>
        <v>1.89</v>
      </c>
      <c r="Q40" s="2"/>
      <c r="R40" s="19"/>
      <c r="S40" s="2"/>
      <c r="T40" s="2">
        <f>--111.36</f>
        <v>111.36</v>
      </c>
      <c r="U40" s="2"/>
      <c r="V40" s="19"/>
      <c r="W40" s="2"/>
      <c r="X40" s="2">
        <f t="shared" si="2"/>
        <v>-109.47</v>
      </c>
      <c r="Y40" s="2"/>
      <c r="Z40" s="19">
        <f t="shared" si="3"/>
        <v>-0.98302801724137934</v>
      </c>
    </row>
    <row r="41" spans="1:26" s="24" customFormat="1" hidden="1" outlineLevel="1" x14ac:dyDescent="0.25">
      <c r="A41" s="44"/>
      <c r="B41" s="11" t="str">
        <f>CONCATENATE("          ", "4135", " - ", "NON-TAXABLE SALES")</f>
        <v xml:space="preserve">          4135 - NON-TAXABLE SALES</v>
      </c>
      <c r="C41" s="11"/>
      <c r="D41" s="2">
        <f t="shared" si="6"/>
        <v>0</v>
      </c>
      <c r="E41" s="2"/>
      <c r="F41" s="19"/>
      <c r="G41" s="2"/>
      <c r="H41" s="2">
        <f>--34.82</f>
        <v>34.82</v>
      </c>
      <c r="I41" s="2"/>
      <c r="J41" s="19"/>
      <c r="K41" s="2"/>
      <c r="L41" s="2">
        <f t="shared" si="0"/>
        <v>-34.82</v>
      </c>
      <c r="M41" s="2"/>
      <c r="N41" s="19">
        <f t="shared" si="1"/>
        <v>-1</v>
      </c>
      <c r="O41" s="11"/>
      <c r="P41" s="2">
        <f>--161.4</f>
        <v>161.4</v>
      </c>
      <c r="Q41" s="2"/>
      <c r="R41" s="19"/>
      <c r="S41" s="2"/>
      <c r="T41" s="2">
        <f>--370.53</f>
        <v>370.53</v>
      </c>
      <c r="U41" s="2"/>
      <c r="V41" s="19"/>
      <c r="W41" s="2"/>
      <c r="X41" s="2">
        <f t="shared" si="2"/>
        <v>-209.12999999999997</v>
      </c>
      <c r="Y41" s="2"/>
      <c r="Z41" s="19">
        <f t="shared" si="3"/>
        <v>-0.56440774026394624</v>
      </c>
    </row>
    <row r="42" spans="1:26" s="24" customFormat="1" hidden="1" outlineLevel="1" x14ac:dyDescent="0.25">
      <c r="A42" s="44"/>
      <c r="B42" s="11" t="str">
        <f>CONCATENATE("          ", "4137", " - ", "NON-TAXABLE SALES-WATER")</f>
        <v xml:space="preserve">          4137 - NON-TAXABLE SALES-WATER</v>
      </c>
      <c r="C42" s="11"/>
      <c r="D42" s="2">
        <f t="shared" si="6"/>
        <v>0</v>
      </c>
      <c r="E42" s="2"/>
      <c r="F42" s="19"/>
      <c r="G42" s="2"/>
      <c r="H42" s="2">
        <f>--1252.81</f>
        <v>1252.81</v>
      </c>
      <c r="I42" s="2"/>
      <c r="J42" s="19"/>
      <c r="K42" s="2"/>
      <c r="L42" s="2">
        <f t="shared" si="0"/>
        <v>-1252.81</v>
      </c>
      <c r="M42" s="2"/>
      <c r="N42" s="19">
        <f t="shared" si="1"/>
        <v>-1</v>
      </c>
      <c r="O42" s="11"/>
      <c r="P42" s="2">
        <f>--8396.06</f>
        <v>8396.06</v>
      </c>
      <c r="Q42" s="2"/>
      <c r="R42" s="19"/>
      <c r="S42" s="2"/>
      <c r="T42" s="2">
        <f>--9588.24</f>
        <v>9588.24</v>
      </c>
      <c r="U42" s="2"/>
      <c r="V42" s="19"/>
      <c r="W42" s="2"/>
      <c r="X42" s="2">
        <f t="shared" si="2"/>
        <v>-1192.1800000000003</v>
      </c>
      <c r="Y42" s="2"/>
      <c r="Z42" s="19">
        <f t="shared" si="3"/>
        <v>-0.12433773038639002</v>
      </c>
    </row>
    <row r="43" spans="1:26" s="24" customFormat="1" hidden="1" outlineLevel="1" x14ac:dyDescent="0.25">
      <c r="A43" s="44"/>
      <c r="B43" s="11" t="str">
        <f>CONCATENATE("          ", "4186", " - ", "NON-TAXABLE SALES-COMPUTER SUP")</f>
        <v xml:space="preserve">          4186 - NON-TAXABLE SALES-COMPUTER SUP</v>
      </c>
      <c r="C43" s="11"/>
      <c r="D43" s="2">
        <f t="shared" si="6"/>
        <v>0</v>
      </c>
      <c r="E43" s="2"/>
      <c r="F43" s="19"/>
      <c r="G43" s="2"/>
      <c r="H43" s="2">
        <f>-29</f>
        <v>-29</v>
      </c>
      <c r="I43" s="2"/>
      <c r="J43" s="19"/>
      <c r="K43" s="2"/>
      <c r="L43" s="2">
        <f t="shared" si="0"/>
        <v>29</v>
      </c>
      <c r="M43" s="2"/>
      <c r="N43" s="19">
        <f t="shared" si="1"/>
        <v>-1</v>
      </c>
      <c r="O43" s="11"/>
      <c r="P43" s="2">
        <f>-30.97</f>
        <v>-30.97</v>
      </c>
      <c r="Q43" s="2"/>
      <c r="R43" s="19"/>
      <c r="S43" s="2"/>
      <c r="T43" s="2">
        <f>-174.68</f>
        <v>-174.68</v>
      </c>
      <c r="U43" s="2"/>
      <c r="V43" s="19"/>
      <c r="W43" s="2"/>
      <c r="X43" s="2">
        <f t="shared" si="2"/>
        <v>143.71</v>
      </c>
      <c r="Y43" s="2"/>
      <c r="Z43" s="19">
        <f t="shared" si="3"/>
        <v>-0.82270437371193039</v>
      </c>
    </row>
    <row r="44" spans="1:26" s="24" customFormat="1" hidden="1" outlineLevel="1" x14ac:dyDescent="0.25">
      <c r="A44" s="44"/>
      <c r="B44" s="11" t="str">
        <f>CONCATENATE("          ", "4217", " - ", "NON-TAXABLE SALES-DORM/HOUSEWA")</f>
        <v xml:space="preserve">          4217 - NON-TAXABLE SALES-DORM/HOUSEWA</v>
      </c>
      <c r="C44" s="11"/>
      <c r="D44" s="2">
        <f t="shared" si="6"/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-2.98</f>
        <v>-2.98</v>
      </c>
      <c r="Q44" s="2"/>
      <c r="R44" s="19"/>
      <c r="S44" s="2"/>
      <c r="T44" s="2">
        <f>-1.5</f>
        <v>-1.5</v>
      </c>
      <c r="U44" s="2"/>
      <c r="V44" s="19"/>
      <c r="W44" s="2"/>
      <c r="X44" s="2">
        <f t="shared" si="2"/>
        <v>-1.48</v>
      </c>
      <c r="Y44" s="2"/>
      <c r="Z44" s="19">
        <f t="shared" si="3"/>
        <v>0.98666666666666669</v>
      </c>
    </row>
    <row r="45" spans="1:26" s="24" customFormat="1" hidden="1" outlineLevel="1" x14ac:dyDescent="0.25">
      <c r="A45" s="44"/>
      <c r="B45" s="11" t="str">
        <f>CONCATENATE("          ", "4225", " - ", "SALES RETURN TAXABLE-TEST FORM")</f>
        <v xml:space="preserve">          4225 - SALES RETURN TAXABLE-TEST FORM</v>
      </c>
      <c r="C45" s="11"/>
      <c r="D45" s="2">
        <f t="shared" si="6"/>
        <v>0</v>
      </c>
      <c r="E45" s="2"/>
      <c r="F45" s="19"/>
      <c r="G45" s="2"/>
      <c r="H45" s="2">
        <f>-73.92</f>
        <v>-73.92</v>
      </c>
      <c r="I45" s="2"/>
      <c r="J45" s="19"/>
      <c r="K45" s="2"/>
      <c r="L45" s="2">
        <f t="shared" si="0"/>
        <v>73.92</v>
      </c>
      <c r="M45" s="2"/>
      <c r="N45" s="19">
        <f t="shared" si="1"/>
        <v>-1</v>
      </c>
      <c r="O45" s="11"/>
      <c r="P45" s="2">
        <f>-176.41</f>
        <v>-176.41</v>
      </c>
      <c r="Q45" s="2"/>
      <c r="R45" s="19"/>
      <c r="S45" s="2"/>
      <c r="T45" s="2">
        <f>-187.82</f>
        <v>-187.82</v>
      </c>
      <c r="U45" s="2"/>
      <c r="V45" s="19"/>
      <c r="W45" s="2"/>
      <c r="X45" s="2">
        <f t="shared" si="2"/>
        <v>11.409999999999997</v>
      </c>
      <c r="Y45" s="2"/>
      <c r="Z45" s="19">
        <f t="shared" si="3"/>
        <v>-6.0749653923969742E-2</v>
      </c>
    </row>
    <row r="46" spans="1:26" s="24" customFormat="1" hidden="1" outlineLevel="1" x14ac:dyDescent="0.25">
      <c r="A46" s="44"/>
      <c r="B46" s="11" t="str">
        <f>CONCATENATE("          ", "4226", " - ", "SALES RETURN TAXABLE-WRITING I")</f>
        <v xml:space="preserve">          4226 - SALES RETURN TAXABLE-WRITING I</v>
      </c>
      <c r="C46" s="11"/>
      <c r="D46" s="2">
        <f t="shared" si="6"/>
        <v>0</v>
      </c>
      <c r="E46" s="2"/>
      <c r="F46" s="19"/>
      <c r="G46" s="2"/>
      <c r="H46" s="2">
        <f>-292.72</f>
        <v>-292.72000000000003</v>
      </c>
      <c r="I46" s="2"/>
      <c r="J46" s="19"/>
      <c r="K46" s="2"/>
      <c r="L46" s="2">
        <f t="shared" si="0"/>
        <v>292.72000000000003</v>
      </c>
      <c r="M46" s="2"/>
      <c r="N46" s="19">
        <f t="shared" si="1"/>
        <v>-1</v>
      </c>
      <c r="O46" s="11"/>
      <c r="P46" s="2">
        <f>-630.24</f>
        <v>-630.24</v>
      </c>
      <c r="Q46" s="2"/>
      <c r="R46" s="19"/>
      <c r="S46" s="2"/>
      <c r="T46" s="2">
        <f>-665.38</f>
        <v>-665.38</v>
      </c>
      <c r="U46" s="2"/>
      <c r="V46" s="19"/>
      <c r="W46" s="2"/>
      <c r="X46" s="2">
        <f t="shared" si="2"/>
        <v>35.139999999999986</v>
      </c>
      <c r="Y46" s="2"/>
      <c r="Z46" s="19">
        <f t="shared" si="3"/>
        <v>-5.2811927019146936E-2</v>
      </c>
    </row>
    <row r="47" spans="1:26" s="24" customFormat="1" hidden="1" outlineLevel="1" x14ac:dyDescent="0.25">
      <c r="A47" s="44"/>
      <c r="B47" s="11" t="str">
        <f>CONCATENATE("          ", "4227", " - ", "SALES RETURN TAXABLE-SCHOOL SU")</f>
        <v xml:space="preserve">          4227 - SALES RETURN TAXABLE-SCHOOL SU</v>
      </c>
      <c r="C47" s="11"/>
      <c r="D47" s="2">
        <f t="shared" si="6"/>
        <v>0</v>
      </c>
      <c r="E47" s="2"/>
      <c r="F47" s="19"/>
      <c r="G47" s="2"/>
      <c r="H47" s="2">
        <f>-521.01</f>
        <v>-521.01</v>
      </c>
      <c r="I47" s="2"/>
      <c r="J47" s="19"/>
      <c r="K47" s="2"/>
      <c r="L47" s="2">
        <f t="shared" si="0"/>
        <v>521.01</v>
      </c>
      <c r="M47" s="2"/>
      <c r="N47" s="19">
        <f t="shared" si="1"/>
        <v>-1</v>
      </c>
      <c r="O47" s="11"/>
      <c r="P47" s="2">
        <f>-8593.61</f>
        <v>-8593.61</v>
      </c>
      <c r="Q47" s="2"/>
      <c r="R47" s="19"/>
      <c r="S47" s="2"/>
      <c r="T47" s="2">
        <f>-6486.84</f>
        <v>-6486.84</v>
      </c>
      <c r="U47" s="2"/>
      <c r="V47" s="19"/>
      <c r="W47" s="2"/>
      <c r="X47" s="2">
        <f t="shared" si="2"/>
        <v>-2106.7700000000004</v>
      </c>
      <c r="Y47" s="2"/>
      <c r="Z47" s="19">
        <f t="shared" si="3"/>
        <v>0.32477600804089518</v>
      </c>
    </row>
    <row r="48" spans="1:26" s="24" customFormat="1" hidden="1" outlineLevel="1" x14ac:dyDescent="0.25">
      <c r="A48" s="44"/>
      <c r="B48" s="11" t="str">
        <f>CONCATENATE("          ", "4228", " - ", "SALES RETURN TAXABLE-ART/TECH")</f>
        <v xml:space="preserve">          4228 - SALES RETURN TAXABLE-ART/TECH</v>
      </c>
      <c r="C48" s="11"/>
      <c r="D48" s="2">
        <f t="shared" si="6"/>
        <v>0</v>
      </c>
      <c r="E48" s="2"/>
      <c r="F48" s="19"/>
      <c r="G48" s="2"/>
      <c r="H48" s="2">
        <f>-636.43</f>
        <v>-636.42999999999995</v>
      </c>
      <c r="I48" s="2"/>
      <c r="J48" s="19"/>
      <c r="K48" s="2"/>
      <c r="L48" s="2">
        <f t="shared" si="0"/>
        <v>636.42999999999995</v>
      </c>
      <c r="M48" s="2"/>
      <c r="N48" s="19">
        <f t="shared" si="1"/>
        <v>-1</v>
      </c>
      <c r="O48" s="11"/>
      <c r="P48" s="2">
        <f>-4739.1</f>
        <v>-4739.1000000000004</v>
      </c>
      <c r="Q48" s="2"/>
      <c r="R48" s="19"/>
      <c r="S48" s="2"/>
      <c r="T48" s="2">
        <f>-8058.01</f>
        <v>-8058.01</v>
      </c>
      <c r="U48" s="2"/>
      <c r="V48" s="19"/>
      <c r="W48" s="2"/>
      <c r="X48" s="2">
        <f t="shared" si="2"/>
        <v>3318.91</v>
      </c>
      <c r="Y48" s="2"/>
      <c r="Z48" s="19">
        <f t="shared" si="3"/>
        <v>-0.41187712599016379</v>
      </c>
    </row>
    <row r="49" spans="1:26" s="24" customFormat="1" hidden="1" outlineLevel="1" x14ac:dyDescent="0.25">
      <c r="A49" s="44"/>
      <c r="B49" s="11" t="str">
        <f>CONCATENATE("          ", "4233", " - ", "SALES RETURN TAXABLE-CANDY")</f>
        <v xml:space="preserve">          4233 - SALES RETURN TAXABLE-CANDY</v>
      </c>
      <c r="C49" s="11"/>
      <c r="D49" s="2">
        <f t="shared" si="6"/>
        <v>0</v>
      </c>
      <c r="E49" s="2"/>
      <c r="F49" s="19"/>
      <c r="G49" s="2"/>
      <c r="H49" s="2">
        <f t="shared" ref="H49:H50" si="7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-8.25</f>
        <v>-8.25</v>
      </c>
      <c r="Q49" s="2"/>
      <c r="R49" s="19"/>
      <c r="S49" s="2"/>
      <c r="T49" s="2">
        <f>-3.58</f>
        <v>-3.58</v>
      </c>
      <c r="U49" s="2"/>
      <c r="V49" s="19"/>
      <c r="W49" s="2"/>
      <c r="X49" s="2">
        <f t="shared" si="2"/>
        <v>-4.67</v>
      </c>
      <c r="Y49" s="2"/>
      <c r="Z49" s="19">
        <f t="shared" si="3"/>
        <v>1.3044692737430168</v>
      </c>
    </row>
    <row r="50" spans="1:26" s="24" customFormat="1" hidden="1" outlineLevel="1" x14ac:dyDescent="0.25">
      <c r="A50" s="44"/>
      <c r="B50" s="11" t="str">
        <f>CONCATENATE("          ", "4234", " - ", "SALES RETURN TAXABLE-SODA")</f>
        <v xml:space="preserve">          4234 - SALES RETURN TAXABLE-SODA</v>
      </c>
      <c r="C50" s="11"/>
      <c r="D50" s="2">
        <f t="shared" si="6"/>
        <v>0</v>
      </c>
      <c r="E50" s="2"/>
      <c r="F50" s="19"/>
      <c r="G50" s="2"/>
      <c r="H50" s="2">
        <f t="shared" si="7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0</f>
        <v>0</v>
      </c>
      <c r="Q50" s="2"/>
      <c r="R50" s="19"/>
      <c r="S50" s="2"/>
      <c r="T50" s="2">
        <f>-5.28</f>
        <v>-5.28</v>
      </c>
      <c r="U50" s="2"/>
      <c r="V50" s="19"/>
      <c r="W50" s="2"/>
      <c r="X50" s="2">
        <f t="shared" si="2"/>
        <v>5.28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si="6"/>
        <v>0</v>
      </c>
      <c r="E51" s="2"/>
      <c r="F51" s="19"/>
      <c r="G51" s="2"/>
      <c r="H51" s="2">
        <f>-9.99</f>
        <v>-9.99</v>
      </c>
      <c r="I51" s="2"/>
      <c r="J51" s="19"/>
      <c r="K51" s="2"/>
      <c r="L51" s="2">
        <f t="shared" si="0"/>
        <v>9.99</v>
      </c>
      <c r="M51" s="2"/>
      <c r="N51" s="19">
        <f t="shared" si="1"/>
        <v>-1</v>
      </c>
      <c r="O51" s="11"/>
      <c r="P51" s="2">
        <f>-54.97</f>
        <v>-54.97</v>
      </c>
      <c r="Q51" s="2"/>
      <c r="R51" s="19"/>
      <c r="S51" s="2"/>
      <c r="T51" s="2">
        <f>-64.95</f>
        <v>-64.95</v>
      </c>
      <c r="U51" s="2"/>
      <c r="V51" s="19"/>
      <c r="W51" s="2"/>
      <c r="X51" s="2">
        <f t="shared" si="2"/>
        <v>9.980000000000004</v>
      </c>
      <c r="Y51" s="2"/>
      <c r="Z51" s="19">
        <f t="shared" si="3"/>
        <v>-0.1536566589684373</v>
      </c>
    </row>
    <row r="52" spans="1:26" s="24" customFormat="1" hidden="1" outlineLevel="1" x14ac:dyDescent="0.25">
      <c r="A52" s="44"/>
      <c r="B52" s="11" t="str">
        <f>CONCATENATE("          ", "4326", " - ", "SALES RETURN NON TAXABLE-WRITI")</f>
        <v xml:space="preserve">          4326 - SALES RETURN NON TAXABLE-WRITI</v>
      </c>
      <c r="C52" s="11"/>
      <c r="D52" s="2">
        <f t="shared" si="6"/>
        <v>0</v>
      </c>
      <c r="E52" s="2"/>
      <c r="F52" s="19"/>
      <c r="G52" s="2"/>
      <c r="H52" s="2">
        <f>-2.29</f>
        <v>-2.29</v>
      </c>
      <c r="I52" s="2"/>
      <c r="J52" s="19"/>
      <c r="K52" s="2"/>
      <c r="L52" s="2">
        <f t="shared" si="0"/>
        <v>2.29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-18.55</f>
        <v>-18.55</v>
      </c>
      <c r="U52" s="2"/>
      <c r="V52" s="19"/>
      <c r="W52" s="2"/>
      <c r="X52" s="2">
        <f t="shared" si="2"/>
        <v>18.55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"4327", " - ", "SALES RETURN NON TAXABLE-SCHOO")</f>
        <v xml:space="preserve">          4327 - SALES RETURN NON TAXABLE-SCHOO</v>
      </c>
      <c r="C53" s="11"/>
      <c r="D53" s="2">
        <f t="shared" si="6"/>
        <v>0</v>
      </c>
      <c r="E53" s="2"/>
      <c r="F53" s="19"/>
      <c r="G53" s="2"/>
      <c r="H53" s="2">
        <f>-4.99</f>
        <v>-4.99</v>
      </c>
      <c r="I53" s="2"/>
      <c r="J53" s="19"/>
      <c r="K53" s="2"/>
      <c r="L53" s="2">
        <f t="shared" si="0"/>
        <v>4.99</v>
      </c>
      <c r="M53" s="2"/>
      <c r="N53" s="19">
        <f t="shared" si="1"/>
        <v>-1</v>
      </c>
      <c r="O53" s="11"/>
      <c r="P53" s="2">
        <f>-21.87</f>
        <v>-21.87</v>
      </c>
      <c r="Q53" s="2"/>
      <c r="R53" s="19"/>
      <c r="S53" s="2"/>
      <c r="T53" s="2">
        <f>-4.99</f>
        <v>-4.99</v>
      </c>
      <c r="U53" s="2"/>
      <c r="V53" s="19"/>
      <c r="W53" s="2"/>
      <c r="X53" s="2">
        <f t="shared" si="2"/>
        <v>-16.880000000000003</v>
      </c>
      <c r="Y53" s="2"/>
      <c r="Z53" s="19">
        <f t="shared" si="3"/>
        <v>3.3827655310621245</v>
      </c>
    </row>
    <row r="54" spans="1:26" s="24" customFormat="1" hidden="1" outlineLevel="1" x14ac:dyDescent="0.25">
      <c r="A54" s="44"/>
      <c r="B54" s="11" t="str">
        <f>CONCATENATE("          ", "4331", " - ", "SALES RETURN NON TAXABLE-FOOD")</f>
        <v xml:space="preserve">          4331 - SALES RETURN NON TAXABLE-FOOD</v>
      </c>
      <c r="C54" s="11"/>
      <c r="D54" s="2">
        <f t="shared" si="6"/>
        <v>0</v>
      </c>
      <c r="E54" s="2"/>
      <c r="F54" s="19"/>
      <c r="G54" s="2"/>
      <c r="H54" s="2">
        <f t="shared" ref="H54:H55" si="8"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-12.57</f>
        <v>-12.57</v>
      </c>
      <c r="Q54" s="2"/>
      <c r="R54" s="19"/>
      <c r="S54" s="2"/>
      <c r="T54" s="2">
        <f t="shared" ref="T54:T55" si="9">0</f>
        <v>0</v>
      </c>
      <c r="U54" s="2"/>
      <c r="V54" s="19"/>
      <c r="W54" s="2"/>
      <c r="X54" s="2">
        <f t="shared" si="2"/>
        <v>-12.57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"4332", " - ", "SALES RETURN NON TAXABLE-JUICE")</f>
        <v xml:space="preserve">          4332 - SALES RETURN NON TAXABLE-JUICE</v>
      </c>
      <c r="C55" s="11"/>
      <c r="D55" s="2">
        <f t="shared" si="6"/>
        <v>0</v>
      </c>
      <c r="E55" s="2"/>
      <c r="F55" s="19"/>
      <c r="G55" s="2"/>
      <c r="H55" s="2">
        <f t="shared" si="8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-2.79</f>
        <v>-2.79</v>
      </c>
      <c r="Q55" s="2"/>
      <c r="R55" s="19"/>
      <c r="S55" s="2"/>
      <c r="T55" s="2">
        <f t="shared" si="9"/>
        <v>0</v>
      </c>
      <c r="U55" s="2"/>
      <c r="V55" s="19"/>
      <c r="W55" s="2"/>
      <c r="X55" s="2">
        <f t="shared" si="2"/>
        <v>-2.79</v>
      </c>
      <c r="Y55" s="2"/>
      <c r="Z55" s="19">
        <f t="shared" si="3"/>
        <v>0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collapsed="1" x14ac:dyDescent="0.25">
      <c r="A57" s="10"/>
      <c r="B57" s="29" t="s">
        <v>8</v>
      </c>
      <c r="C57" s="10"/>
      <c r="D57" s="4">
        <f>SUM(OSRRefD16x_0)</f>
        <v>1571.6699999999996</v>
      </c>
      <c r="E57" s="4"/>
      <c r="F57" s="12">
        <f t="shared" ref="F57:F81" si="10">IF(D$12=0,0,D57/D$12)</f>
        <v>0.49740170139504258</v>
      </c>
      <c r="G57" s="4"/>
      <c r="H57" s="4">
        <f>SUM(OSRRefH16x_0)</f>
        <v>36674.480000000003</v>
      </c>
      <c r="I57" s="4"/>
      <c r="J57" s="12">
        <f t="shared" ref="J57:J81" si="11">IF(H$12=0,0,H57/H$12)</f>
        <v>0.52699548394031215</v>
      </c>
      <c r="K57" s="4"/>
      <c r="L57" s="4">
        <f t="shared" ref="L57:L81" si="12">+D57-H57</f>
        <v>-35102.810000000005</v>
      </c>
      <c r="M57" s="4"/>
      <c r="N57" s="12">
        <f t="shared" ref="N57:N81" si="13">IF(H57=0,0,L57/H57)</f>
        <v>-0.95714540465195419</v>
      </c>
      <c r="O57" s="10"/>
      <c r="P57" s="4">
        <f>SUM(OSRRefP16x_0)</f>
        <v>408014.6999999999</v>
      </c>
      <c r="Q57" s="4"/>
      <c r="R57" s="12">
        <f t="shared" ref="R57:R81" si="14">IF(P$12=0,0,P57/P$12)</f>
        <v>0.5008159077361436</v>
      </c>
      <c r="S57" s="4"/>
      <c r="T57" s="4">
        <f>SUM(OSRRefT16x_0)</f>
        <v>461634.66</v>
      </c>
      <c r="U57" s="4"/>
      <c r="V57" s="12">
        <f t="shared" ref="V57:V81" si="15">IF(T$12=0,0,T57/T$12)</f>
        <v>0.52153888196763221</v>
      </c>
      <c r="W57" s="4"/>
      <c r="X57" s="4">
        <f t="shared" ref="X57:X81" si="16">+P57-T57</f>
        <v>-53619.960000000079</v>
      </c>
      <c r="Y57" s="4"/>
      <c r="Z57" s="12">
        <f t="shared" ref="Z57:Z81" si="17">IF(T57=0,0,X57/T57)</f>
        <v>-0.11615237036144574</v>
      </c>
    </row>
    <row r="58" spans="1:26" s="24" customFormat="1" hidden="1" outlineLevel="1" x14ac:dyDescent="0.25">
      <c r="A58" s="44"/>
      <c r="B58" s="11" t="str">
        <f>CONCATENATE("          ", "5014", " - ", "PURCHASES @ COST-REMAINDERS")</f>
        <v xml:space="preserve">          5014 - PURCHASES @ COST-REMAINDERS</v>
      </c>
      <c r="C58" s="11"/>
      <c r="D58" s="2"/>
      <c r="E58" s="2"/>
      <c r="F58" s="19">
        <f t="shared" si="10"/>
        <v>0</v>
      </c>
      <c r="G58" s="2"/>
      <c r="H58" s="2"/>
      <c r="I58" s="2"/>
      <c r="J58" s="19">
        <f t="shared" si="11"/>
        <v>0</v>
      </c>
      <c r="K58" s="2"/>
      <c r="L58" s="2">
        <f t="shared" si="12"/>
        <v>0</v>
      </c>
      <c r="M58" s="2"/>
      <c r="N58" s="19">
        <f t="shared" si="13"/>
        <v>0</v>
      </c>
      <c r="O58" s="11"/>
      <c r="P58" s="2">
        <v>14.46</v>
      </c>
      <c r="Q58" s="2"/>
      <c r="R58" s="19">
        <f t="shared" si="14"/>
        <v>1.7748865484171622E-5</v>
      </c>
      <c r="S58" s="2"/>
      <c r="T58" s="2"/>
      <c r="U58" s="2"/>
      <c r="V58" s="19">
        <f t="shared" si="15"/>
        <v>0</v>
      </c>
      <c r="W58" s="2"/>
      <c r="X58" s="2">
        <f t="shared" si="16"/>
        <v>14.46</v>
      </c>
      <c r="Y58" s="2"/>
      <c r="Z58" s="19">
        <f t="shared" si="17"/>
        <v>0</v>
      </c>
    </row>
    <row r="59" spans="1:26" s="24" customFormat="1" hidden="1" outlineLevel="1" x14ac:dyDescent="0.25">
      <c r="A59" s="44"/>
      <c r="B59" s="11" t="str">
        <f>CONCATENATE("          ", "5017", " - ", "PURCHASES @ COST-DORM/HOUSEWAR")</f>
        <v xml:space="preserve">          5017 - PURCHASES @ COST-DORM/HOUSEWAR</v>
      </c>
      <c r="C59" s="11"/>
      <c r="D59" s="2"/>
      <c r="E59" s="2"/>
      <c r="F59" s="19">
        <f t="shared" si="10"/>
        <v>0</v>
      </c>
      <c r="G59" s="2"/>
      <c r="H59" s="2"/>
      <c r="I59" s="2"/>
      <c r="J59" s="19">
        <f t="shared" si="11"/>
        <v>0</v>
      </c>
      <c r="K59" s="2"/>
      <c r="L59" s="2">
        <f t="shared" si="12"/>
        <v>0</v>
      </c>
      <c r="M59" s="2"/>
      <c r="N59" s="19">
        <f t="shared" si="13"/>
        <v>0</v>
      </c>
      <c r="O59" s="11"/>
      <c r="P59" s="2">
        <v>14.46</v>
      </c>
      <c r="Q59" s="2"/>
      <c r="R59" s="19">
        <f t="shared" si="14"/>
        <v>1.7748865484171622E-5</v>
      </c>
      <c r="S59" s="2"/>
      <c r="T59" s="2">
        <v>239.9</v>
      </c>
      <c r="U59" s="2"/>
      <c r="V59" s="19">
        <f t="shared" si="15"/>
        <v>2.7103072759752261E-4</v>
      </c>
      <c r="W59" s="2"/>
      <c r="X59" s="2">
        <f t="shared" si="16"/>
        <v>-225.44</v>
      </c>
      <c r="Y59" s="2"/>
      <c r="Z59" s="19">
        <f t="shared" si="17"/>
        <v>-0.93972488536890364</v>
      </c>
    </row>
    <row r="60" spans="1:26" s="24" customFormat="1" hidden="1" outlineLevel="1" x14ac:dyDescent="0.25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/>
      <c r="E60" s="2"/>
      <c r="F60" s="19">
        <f t="shared" si="10"/>
        <v>0</v>
      </c>
      <c r="G60" s="2"/>
      <c r="H60" s="2">
        <v>3255</v>
      </c>
      <c r="I60" s="2"/>
      <c r="J60" s="19">
        <f t="shared" si="11"/>
        <v>4.6772859498640906E-2</v>
      </c>
      <c r="K60" s="2"/>
      <c r="L60" s="2">
        <f t="shared" si="12"/>
        <v>-3255</v>
      </c>
      <c r="M60" s="2"/>
      <c r="N60" s="19">
        <f t="shared" si="13"/>
        <v>-1</v>
      </c>
      <c r="O60" s="11"/>
      <c r="P60" s="2">
        <v>26394.329999999998</v>
      </c>
      <c r="Q60" s="2"/>
      <c r="R60" s="19">
        <f t="shared" si="14"/>
        <v>3.2397608071565387E-2</v>
      </c>
      <c r="S60" s="2"/>
      <c r="T60" s="2">
        <v>19551.7</v>
      </c>
      <c r="U60" s="2"/>
      <c r="V60" s="19">
        <f t="shared" si="15"/>
        <v>2.2088834834383005E-2</v>
      </c>
      <c r="W60" s="2"/>
      <c r="X60" s="2">
        <f t="shared" si="16"/>
        <v>6842.6299999999974</v>
      </c>
      <c r="Y60" s="2"/>
      <c r="Z60" s="19">
        <f t="shared" si="17"/>
        <v>0.34997621690185493</v>
      </c>
    </row>
    <row r="61" spans="1:26" s="24" customFormat="1" hidden="1" outlineLevel="1" x14ac:dyDescent="0.25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>
        <v>2463.3000000000002</v>
      </c>
      <c r="E61" s="2"/>
      <c r="F61" s="19">
        <f t="shared" si="10"/>
        <v>0.77958452540699308</v>
      </c>
      <c r="G61" s="2"/>
      <c r="H61" s="2">
        <v>-408.8</v>
      </c>
      <c r="I61" s="2"/>
      <c r="J61" s="19">
        <f t="shared" si="11"/>
        <v>-5.8742688058508151E-3</v>
      </c>
      <c r="K61" s="2"/>
      <c r="L61" s="2">
        <f t="shared" si="12"/>
        <v>2872.1000000000004</v>
      </c>
      <c r="M61" s="2"/>
      <c r="N61" s="19">
        <f t="shared" si="13"/>
        <v>-7.0256849315068504</v>
      </c>
      <c r="O61" s="11"/>
      <c r="P61" s="2">
        <v>50236.5</v>
      </c>
      <c r="Q61" s="2"/>
      <c r="R61" s="19">
        <f t="shared" si="14"/>
        <v>6.1662578208546863E-2</v>
      </c>
      <c r="S61" s="2"/>
      <c r="T61" s="2">
        <v>49044.67</v>
      </c>
      <c r="U61" s="2"/>
      <c r="V61" s="19">
        <f t="shared" si="15"/>
        <v>5.5408972884036636E-2</v>
      </c>
      <c r="W61" s="2"/>
      <c r="X61" s="2">
        <f t="shared" si="16"/>
        <v>1191.8300000000017</v>
      </c>
      <c r="Y61" s="2"/>
      <c r="Z61" s="19">
        <f t="shared" si="17"/>
        <v>2.4300907723510054E-2</v>
      </c>
    </row>
    <row r="62" spans="1:26" s="24" customFormat="1" hidden="1" outlineLevel="1" x14ac:dyDescent="0.25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>
        <v>6003.13</v>
      </c>
      <c r="E62" s="2"/>
      <c r="F62" s="19">
        <f t="shared" si="10"/>
        <v>1.8998689773906881</v>
      </c>
      <c r="G62" s="2"/>
      <c r="H62" s="2">
        <v>5943.8</v>
      </c>
      <c r="I62" s="2"/>
      <c r="J62" s="19">
        <f t="shared" si="11"/>
        <v>8.5409684266673377E-2</v>
      </c>
      <c r="K62" s="2"/>
      <c r="L62" s="2">
        <f t="shared" si="12"/>
        <v>59.329999999999927</v>
      </c>
      <c r="M62" s="2"/>
      <c r="N62" s="19">
        <f t="shared" si="13"/>
        <v>9.9818298058480977E-3</v>
      </c>
      <c r="O62" s="11"/>
      <c r="P62" s="2">
        <v>143282.72</v>
      </c>
      <c r="Q62" s="2"/>
      <c r="R62" s="19">
        <f t="shared" si="14"/>
        <v>0.17587176510969757</v>
      </c>
      <c r="S62" s="2"/>
      <c r="T62" s="2">
        <v>142796.73000000001</v>
      </c>
      <c r="U62" s="2"/>
      <c r="V62" s="19">
        <f t="shared" si="15"/>
        <v>0.16132680963087531</v>
      </c>
      <c r="W62" s="2"/>
      <c r="X62" s="2">
        <f t="shared" si="16"/>
        <v>485.98999999999069</v>
      </c>
      <c r="Y62" s="2"/>
      <c r="Z62" s="19">
        <f t="shared" si="17"/>
        <v>3.4033692508224148E-3</v>
      </c>
    </row>
    <row r="63" spans="1:26" s="24" customFormat="1" hidden="1" outlineLevel="1" x14ac:dyDescent="0.25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>
        <v>8617.84</v>
      </c>
      <c r="E63" s="2"/>
      <c r="F63" s="19">
        <f t="shared" si="10"/>
        <v>2.727371699116389</v>
      </c>
      <c r="G63" s="2"/>
      <c r="H63" s="2">
        <v>11220.15</v>
      </c>
      <c r="I63" s="2"/>
      <c r="J63" s="19">
        <f t="shared" si="11"/>
        <v>0.16122841766625984</v>
      </c>
      <c r="K63" s="2"/>
      <c r="L63" s="2">
        <f t="shared" si="12"/>
        <v>-2602.3099999999995</v>
      </c>
      <c r="M63" s="2"/>
      <c r="N63" s="19">
        <f t="shared" si="13"/>
        <v>-0.23193183691840122</v>
      </c>
      <c r="O63" s="11"/>
      <c r="P63" s="2">
        <v>159687.99</v>
      </c>
      <c r="Q63" s="2"/>
      <c r="R63" s="19">
        <f t="shared" si="14"/>
        <v>0.19600834397978859</v>
      </c>
      <c r="S63" s="2"/>
      <c r="T63" s="2">
        <v>175997.88</v>
      </c>
      <c r="U63" s="2"/>
      <c r="V63" s="19">
        <f t="shared" si="15"/>
        <v>0.19883632126728418</v>
      </c>
      <c r="W63" s="2"/>
      <c r="X63" s="2">
        <f t="shared" si="16"/>
        <v>-16309.890000000014</v>
      </c>
      <c r="Y63" s="2"/>
      <c r="Z63" s="19">
        <f t="shared" si="17"/>
        <v>-9.2670945809120053E-2</v>
      </c>
    </row>
    <row r="64" spans="1:26" s="24" customFormat="1" hidden="1" outlineLevel="1" x14ac:dyDescent="0.25">
      <c r="A64" s="44"/>
      <c r="B64" s="11" t="str">
        <f>CONCATENATE("          ", "5031", " - ", "PURCHASES @ COST-FOOD")</f>
        <v xml:space="preserve">          5031 - PURCHASES @ COST-FOOD</v>
      </c>
      <c r="C64" s="11"/>
      <c r="D64" s="2"/>
      <c r="E64" s="2"/>
      <c r="F64" s="19">
        <f t="shared" si="10"/>
        <v>0</v>
      </c>
      <c r="G64" s="2"/>
      <c r="H64" s="2">
        <v>4301.16</v>
      </c>
      <c r="I64" s="2"/>
      <c r="J64" s="19">
        <f t="shared" si="11"/>
        <v>6.1805699650130365E-2</v>
      </c>
      <c r="K64" s="2"/>
      <c r="L64" s="2">
        <f t="shared" si="12"/>
        <v>-4301.16</v>
      </c>
      <c r="M64" s="2"/>
      <c r="N64" s="19">
        <f t="shared" si="13"/>
        <v>-1</v>
      </c>
      <c r="O64" s="11"/>
      <c r="P64" s="2">
        <v>33239.879999999997</v>
      </c>
      <c r="Q64" s="2"/>
      <c r="R64" s="19">
        <f t="shared" si="14"/>
        <v>4.0800149296680951E-2</v>
      </c>
      <c r="S64" s="2"/>
      <c r="T64" s="2">
        <v>37829.29</v>
      </c>
      <c r="U64" s="2"/>
      <c r="V64" s="19">
        <f t="shared" si="15"/>
        <v>4.2738224231753594E-2</v>
      </c>
      <c r="W64" s="2"/>
      <c r="X64" s="2">
        <f t="shared" si="16"/>
        <v>-4589.4100000000035</v>
      </c>
      <c r="Y64" s="2"/>
      <c r="Z64" s="19">
        <f t="shared" si="17"/>
        <v>-0.12131895681890946</v>
      </c>
    </row>
    <row r="65" spans="1:26" s="24" customFormat="1" hidden="1" outlineLevel="1" x14ac:dyDescent="0.25">
      <c r="A65" s="44"/>
      <c r="B65" s="11" t="str">
        <f>CONCATENATE("          ", "5032", " - ", "PURCHASES @ COST-JUICE")</f>
        <v xml:space="preserve">          5032 - PURCHASES @ COST-JUICE</v>
      </c>
      <c r="C65" s="11"/>
      <c r="D65" s="2"/>
      <c r="E65" s="2"/>
      <c r="F65" s="19">
        <f t="shared" si="10"/>
        <v>0</v>
      </c>
      <c r="G65" s="2"/>
      <c r="H65" s="2">
        <v>1104.8800000000001</v>
      </c>
      <c r="I65" s="2"/>
      <c r="J65" s="19">
        <f t="shared" si="11"/>
        <v>1.587661966293652E-2</v>
      </c>
      <c r="K65" s="2"/>
      <c r="L65" s="2">
        <f t="shared" si="12"/>
        <v>-1104.8800000000001</v>
      </c>
      <c r="M65" s="2"/>
      <c r="N65" s="19">
        <f t="shared" si="13"/>
        <v>-1</v>
      </c>
      <c r="O65" s="11"/>
      <c r="P65" s="2">
        <v>7802.45</v>
      </c>
      <c r="Q65" s="2"/>
      <c r="R65" s="19">
        <f t="shared" si="14"/>
        <v>9.5770840592652052E-3</v>
      </c>
      <c r="S65" s="2"/>
      <c r="T65" s="2">
        <v>9365.76</v>
      </c>
      <c r="U65" s="2"/>
      <c r="V65" s="19">
        <f t="shared" si="15"/>
        <v>1.0581111910395053E-2</v>
      </c>
      <c r="W65" s="2"/>
      <c r="X65" s="2">
        <f t="shared" si="16"/>
        <v>-1563.3100000000004</v>
      </c>
      <c r="Y65" s="2"/>
      <c r="Z65" s="19">
        <f t="shared" si="17"/>
        <v>-0.16691758063413972</v>
      </c>
    </row>
    <row r="66" spans="1:26" s="24" customFormat="1" hidden="1" outlineLevel="1" x14ac:dyDescent="0.25">
      <c r="A66" s="44"/>
      <c r="B66" s="11" t="str">
        <f>CONCATENATE("          ", "5033", " - ", "PURCHASES @ COST-CANDY")</f>
        <v xml:space="preserve">          5033 - PURCHASES @ COST-CANDY</v>
      </c>
      <c r="C66" s="11"/>
      <c r="D66" s="2">
        <v>-25.2</v>
      </c>
      <c r="E66" s="2"/>
      <c r="F66" s="19">
        <f t="shared" si="10"/>
        <v>-7.9752892624756315E-3</v>
      </c>
      <c r="G66" s="2"/>
      <c r="H66" s="2">
        <v>1244.29</v>
      </c>
      <c r="I66" s="2"/>
      <c r="J66" s="19">
        <f t="shared" si="11"/>
        <v>1.7879877525518863E-2</v>
      </c>
      <c r="K66" s="2"/>
      <c r="L66" s="2">
        <f t="shared" si="12"/>
        <v>-1269.49</v>
      </c>
      <c r="M66" s="2"/>
      <c r="N66" s="19">
        <f t="shared" si="13"/>
        <v>-1.0202525134815839</v>
      </c>
      <c r="O66" s="11"/>
      <c r="P66" s="2">
        <v>9998.41</v>
      </c>
      <c r="Q66" s="2"/>
      <c r="R66" s="19">
        <f t="shared" si="14"/>
        <v>1.2272505819197537E-2</v>
      </c>
      <c r="S66" s="2"/>
      <c r="T66" s="2">
        <v>9175.83</v>
      </c>
      <c r="U66" s="2"/>
      <c r="V66" s="19">
        <f t="shared" si="15"/>
        <v>1.0366535561530537E-2</v>
      </c>
      <c r="W66" s="2"/>
      <c r="X66" s="2">
        <f t="shared" si="16"/>
        <v>822.57999999999993</v>
      </c>
      <c r="Y66" s="2"/>
      <c r="Z66" s="19">
        <f t="shared" si="17"/>
        <v>8.9646386212473408E-2</v>
      </c>
    </row>
    <row r="67" spans="1:26" s="24" customFormat="1" hidden="1" outlineLevel="1" x14ac:dyDescent="0.25">
      <c r="A67" s="44"/>
      <c r="B67" s="11" t="str">
        <f>CONCATENATE("          ", "5034", " - ", "PURCHASES @ COST-SODA")</f>
        <v xml:space="preserve">          5034 - PURCHASES @ COST-SODA</v>
      </c>
      <c r="C67" s="11"/>
      <c r="D67" s="2"/>
      <c r="E67" s="2"/>
      <c r="F67" s="19">
        <f t="shared" si="10"/>
        <v>0</v>
      </c>
      <c r="G67" s="2"/>
      <c r="H67" s="2">
        <v>367.08</v>
      </c>
      <c r="I67" s="2"/>
      <c r="J67" s="19">
        <f t="shared" si="11"/>
        <v>5.2747715099112453E-3</v>
      </c>
      <c r="K67" s="2"/>
      <c r="L67" s="2">
        <f t="shared" si="12"/>
        <v>-367.08</v>
      </c>
      <c r="M67" s="2"/>
      <c r="N67" s="19">
        <f t="shared" si="13"/>
        <v>-1</v>
      </c>
      <c r="O67" s="11"/>
      <c r="P67" s="2">
        <v>4033.88</v>
      </c>
      <c r="Q67" s="2"/>
      <c r="R67" s="19">
        <f t="shared" si="14"/>
        <v>4.951368845040818E-3</v>
      </c>
      <c r="S67" s="2"/>
      <c r="T67" s="2">
        <v>3780.72</v>
      </c>
      <c r="U67" s="2"/>
      <c r="V67" s="19">
        <f t="shared" si="15"/>
        <v>4.2713267713318289E-3</v>
      </c>
      <c r="W67" s="2"/>
      <c r="X67" s="2">
        <f t="shared" si="16"/>
        <v>253.16000000000031</v>
      </c>
      <c r="Y67" s="2"/>
      <c r="Z67" s="19">
        <f t="shared" si="17"/>
        <v>6.6960790537252249E-2</v>
      </c>
    </row>
    <row r="68" spans="1:26" s="24" customFormat="1" hidden="1" outlineLevel="1" x14ac:dyDescent="0.25">
      <c r="A68" s="44"/>
      <c r="B68" s="11" t="str">
        <f>CONCATENATE("          ", "5035", " - ", "PURCHASES @ COST-HEALTH &amp; BEAU")</f>
        <v xml:space="preserve">          5035 - PURCHASES @ COST-HEALTH &amp; BEAU</v>
      </c>
      <c r="C68" s="11"/>
      <c r="D68" s="2"/>
      <c r="E68" s="2"/>
      <c r="F68" s="19">
        <f t="shared" si="10"/>
        <v>0</v>
      </c>
      <c r="G68" s="2"/>
      <c r="H68" s="2">
        <v>117.8</v>
      </c>
      <c r="I68" s="2"/>
      <c r="J68" s="19">
        <f t="shared" si="11"/>
        <v>1.6927320580460519E-3</v>
      </c>
      <c r="K68" s="2"/>
      <c r="L68" s="2">
        <f t="shared" si="12"/>
        <v>-117.8</v>
      </c>
      <c r="M68" s="2"/>
      <c r="N68" s="19">
        <f t="shared" si="13"/>
        <v>-1</v>
      </c>
      <c r="O68" s="11"/>
      <c r="P68" s="2">
        <v>1117.6500000000001</v>
      </c>
      <c r="Q68" s="2"/>
      <c r="R68" s="19">
        <f t="shared" si="14"/>
        <v>1.3718547377859207E-3</v>
      </c>
      <c r="S68" s="2"/>
      <c r="T68" s="2">
        <v>1197.8499999999999</v>
      </c>
      <c r="U68" s="2"/>
      <c r="V68" s="19">
        <f t="shared" si="15"/>
        <v>1.3532895250216441E-3</v>
      </c>
      <c r="W68" s="2"/>
      <c r="X68" s="2">
        <f t="shared" si="16"/>
        <v>-80.199999999999818</v>
      </c>
      <c r="Y68" s="2"/>
      <c r="Z68" s="19">
        <f t="shared" si="17"/>
        <v>-6.6953291313603391E-2</v>
      </c>
    </row>
    <row r="69" spans="1:26" s="24" customFormat="1" hidden="1" outlineLevel="1" x14ac:dyDescent="0.25">
      <c r="A69" s="44"/>
      <c r="B69" s="11" t="str">
        <f>CONCATENATE("          ", "5037", " - ", "PURCHASES @ COST-WATER")</f>
        <v xml:space="preserve">          5037 - PURCHASES @ COST-WATER</v>
      </c>
      <c r="C69" s="11"/>
      <c r="D69" s="2"/>
      <c r="E69" s="2"/>
      <c r="F69" s="19">
        <f t="shared" si="10"/>
        <v>0</v>
      </c>
      <c r="G69" s="2"/>
      <c r="H69" s="2">
        <v>443.21</v>
      </c>
      <c r="I69" s="2"/>
      <c r="J69" s="19">
        <f t="shared" si="11"/>
        <v>6.368724749122162E-3</v>
      </c>
      <c r="K69" s="2"/>
      <c r="L69" s="2">
        <f t="shared" si="12"/>
        <v>-443.21</v>
      </c>
      <c r="M69" s="2"/>
      <c r="N69" s="19">
        <f t="shared" si="13"/>
        <v>-1</v>
      </c>
      <c r="O69" s="11"/>
      <c r="P69" s="2">
        <v>5663.81</v>
      </c>
      <c r="Q69" s="2"/>
      <c r="R69" s="19">
        <f t="shared" si="14"/>
        <v>6.9520194894817479E-3</v>
      </c>
      <c r="S69" s="2"/>
      <c r="T69" s="2">
        <v>5781.04</v>
      </c>
      <c r="U69" s="2"/>
      <c r="V69" s="19">
        <f t="shared" si="15"/>
        <v>6.5312191641116388E-3</v>
      </c>
      <c r="W69" s="2"/>
      <c r="X69" s="2">
        <f t="shared" si="16"/>
        <v>-117.22999999999956</v>
      </c>
      <c r="Y69" s="2"/>
      <c r="Z69" s="19">
        <f t="shared" si="17"/>
        <v>-2.0278358219282269E-2</v>
      </c>
    </row>
    <row r="70" spans="1:26" s="24" customFormat="1" hidden="1" outlineLevel="1" x14ac:dyDescent="0.25">
      <c r="A70" s="44"/>
      <c r="B70" s="11" t="str">
        <f>CONCATENATE("          ", "5042", " - ", "PURCHASES @ COST-EVERYDAY GIFT")</f>
        <v xml:space="preserve">          5042 - PURCHASES @ COST-EVERYDAY GIFT</v>
      </c>
      <c r="C70" s="11"/>
      <c r="D70" s="2"/>
      <c r="E70" s="2"/>
      <c r="F70" s="19">
        <f t="shared" si="10"/>
        <v>0</v>
      </c>
      <c r="G70" s="2"/>
      <c r="H70" s="2">
        <v>-126</v>
      </c>
      <c r="I70" s="2"/>
      <c r="J70" s="19">
        <f t="shared" si="11"/>
        <v>-1.8105623031731966E-3</v>
      </c>
      <c r="K70" s="2"/>
      <c r="L70" s="2">
        <f t="shared" si="12"/>
        <v>126</v>
      </c>
      <c r="M70" s="2"/>
      <c r="N70" s="19">
        <f t="shared" si="13"/>
        <v>-1</v>
      </c>
      <c r="O70" s="11"/>
      <c r="P70" s="2"/>
      <c r="Q70" s="2"/>
      <c r="R70" s="19">
        <f t="shared" si="14"/>
        <v>0</v>
      </c>
      <c r="S70" s="2"/>
      <c r="T70" s="2">
        <v>-126</v>
      </c>
      <c r="U70" s="2"/>
      <c r="V70" s="19">
        <f t="shared" si="15"/>
        <v>-1.4235044467398019E-4</v>
      </c>
      <c r="W70" s="2"/>
      <c r="X70" s="2">
        <f t="shared" si="16"/>
        <v>126</v>
      </c>
      <c r="Y70" s="2"/>
      <c r="Z70" s="19">
        <f t="shared" si="17"/>
        <v>-1</v>
      </c>
    </row>
    <row r="71" spans="1:26" s="24" customFormat="1" hidden="1" outlineLevel="1" x14ac:dyDescent="0.25">
      <c r="A71" s="44"/>
      <c r="B71" s="11" t="str">
        <f>CONCATENATE("          ", "5081", " - ", "PURCHASES @ COST-ELECTRONICS")</f>
        <v xml:space="preserve">          5081 - PURCHASES @ COST-ELECTRONICS</v>
      </c>
      <c r="C71" s="11"/>
      <c r="D71" s="2"/>
      <c r="E71" s="2"/>
      <c r="F71" s="19">
        <f t="shared" si="10"/>
        <v>0</v>
      </c>
      <c r="G71" s="2"/>
      <c r="H71" s="2"/>
      <c r="I71" s="2"/>
      <c r="J71" s="19">
        <f t="shared" si="11"/>
        <v>0</v>
      </c>
      <c r="K71" s="2"/>
      <c r="L71" s="2">
        <f t="shared" si="12"/>
        <v>0</v>
      </c>
      <c r="M71" s="2"/>
      <c r="N71" s="19">
        <f t="shared" si="13"/>
        <v>0</v>
      </c>
      <c r="O71" s="11"/>
      <c r="P71" s="2">
        <v>2008.03</v>
      </c>
      <c r="Q71" s="2"/>
      <c r="R71" s="19">
        <f t="shared" si="14"/>
        <v>2.4647478809253901E-3</v>
      </c>
      <c r="S71" s="2"/>
      <c r="T71" s="2">
        <v>2554.86</v>
      </c>
      <c r="U71" s="2"/>
      <c r="V71" s="19">
        <f t="shared" si="15"/>
        <v>2.8863925165060721E-3</v>
      </c>
      <c r="W71" s="2"/>
      <c r="X71" s="2">
        <f t="shared" si="16"/>
        <v>-546.83000000000015</v>
      </c>
      <c r="Y71" s="2"/>
      <c r="Z71" s="19">
        <f t="shared" si="17"/>
        <v>-0.21403521132273398</v>
      </c>
    </row>
    <row r="72" spans="1:26" s="24" customFormat="1" hidden="1" outlineLevel="1" x14ac:dyDescent="0.25">
      <c r="A72" s="44"/>
      <c r="B72" s="11" t="str">
        <f>CONCATENATE("          ", "5082", " - ", "PURCHASES @ COST-COMPUTER HARD")</f>
        <v xml:space="preserve">          5082 - PURCHASES @ COST-COMPUTER HARD</v>
      </c>
      <c r="C72" s="11"/>
      <c r="D72" s="2"/>
      <c r="E72" s="2"/>
      <c r="F72" s="19">
        <f t="shared" si="10"/>
        <v>0</v>
      </c>
      <c r="G72" s="2"/>
      <c r="H72" s="2"/>
      <c r="I72" s="2"/>
      <c r="J72" s="19">
        <f t="shared" si="11"/>
        <v>0</v>
      </c>
      <c r="K72" s="2"/>
      <c r="L72" s="2">
        <f t="shared" si="12"/>
        <v>0</v>
      </c>
      <c r="M72" s="2"/>
      <c r="N72" s="19">
        <f t="shared" si="13"/>
        <v>0</v>
      </c>
      <c r="O72" s="11"/>
      <c r="P72" s="2">
        <v>349.6</v>
      </c>
      <c r="Q72" s="2"/>
      <c r="R72" s="19">
        <f t="shared" si="14"/>
        <v>4.2911503272934987E-4</v>
      </c>
      <c r="S72" s="2"/>
      <c r="T72" s="2">
        <v>1118</v>
      </c>
      <c r="U72" s="2"/>
      <c r="V72" s="19">
        <f t="shared" si="15"/>
        <v>1.2630777551230941E-3</v>
      </c>
      <c r="W72" s="2"/>
      <c r="X72" s="2">
        <f t="shared" si="16"/>
        <v>-768.4</v>
      </c>
      <c r="Y72" s="2"/>
      <c r="Z72" s="19">
        <f t="shared" si="17"/>
        <v>-0.68729874776386402</v>
      </c>
    </row>
    <row r="73" spans="1:26" s="24" customFormat="1" hidden="1" outlineLevel="1" x14ac:dyDescent="0.25">
      <c r="A73" s="44"/>
      <c r="B73" s="11" t="str">
        <f>CONCATENATE("          ", "5083", " - ", "PURCHASES @ COST-COMPUTER EQUI")</f>
        <v xml:space="preserve">          5083 - PURCHASES @ COST-COMPUTER EQUI</v>
      </c>
      <c r="C73" s="11"/>
      <c r="D73" s="2"/>
      <c r="E73" s="2"/>
      <c r="F73" s="19">
        <f t="shared" si="10"/>
        <v>0</v>
      </c>
      <c r="G73" s="2"/>
      <c r="H73" s="2"/>
      <c r="I73" s="2"/>
      <c r="J73" s="19">
        <f t="shared" si="11"/>
        <v>0</v>
      </c>
      <c r="K73" s="2"/>
      <c r="L73" s="2">
        <f t="shared" si="12"/>
        <v>0</v>
      </c>
      <c r="M73" s="2"/>
      <c r="N73" s="19">
        <f t="shared" si="13"/>
        <v>0</v>
      </c>
      <c r="O73" s="11"/>
      <c r="P73" s="2">
        <v>304.70999999999998</v>
      </c>
      <c r="Q73" s="2"/>
      <c r="R73" s="19">
        <f t="shared" si="14"/>
        <v>3.7401499320068705E-4</v>
      </c>
      <c r="S73" s="2"/>
      <c r="T73" s="2">
        <v>710.19</v>
      </c>
      <c r="U73" s="2"/>
      <c r="V73" s="19">
        <f t="shared" si="15"/>
        <v>8.0234811351598419E-4</v>
      </c>
      <c r="W73" s="2"/>
      <c r="X73" s="2">
        <f t="shared" si="16"/>
        <v>-405.48000000000008</v>
      </c>
      <c r="Y73" s="2"/>
      <c r="Z73" s="19">
        <f t="shared" si="17"/>
        <v>-0.57094580323575383</v>
      </c>
    </row>
    <row r="74" spans="1:26" s="24" customFormat="1" hidden="1" outlineLevel="1" x14ac:dyDescent="0.25">
      <c r="A74" s="44"/>
      <c r="B74" s="11" t="str">
        <f>CONCATENATE("          ", "5086", " - ", "PURCHASES @ COST-COMPUTER SUPP")</f>
        <v xml:space="preserve">          5086 - PURCHASES @ COST-COMPUTER SUPP</v>
      </c>
      <c r="C74" s="11"/>
      <c r="D74" s="2"/>
      <c r="E74" s="2"/>
      <c r="F74" s="19">
        <f t="shared" si="10"/>
        <v>0</v>
      </c>
      <c r="G74" s="2"/>
      <c r="H74" s="2"/>
      <c r="I74" s="2"/>
      <c r="J74" s="19">
        <f t="shared" si="11"/>
        <v>0</v>
      </c>
      <c r="K74" s="2"/>
      <c r="L74" s="2">
        <f t="shared" si="12"/>
        <v>0</v>
      </c>
      <c r="M74" s="2"/>
      <c r="N74" s="19">
        <f t="shared" si="13"/>
        <v>0</v>
      </c>
      <c r="O74" s="11"/>
      <c r="P74" s="2">
        <v>426.22</v>
      </c>
      <c r="Q74" s="2"/>
      <c r="R74" s="19">
        <f t="shared" si="14"/>
        <v>5.2316192577203516E-4</v>
      </c>
      <c r="S74" s="2"/>
      <c r="T74" s="2">
        <v>971.76</v>
      </c>
      <c r="U74" s="2"/>
      <c r="V74" s="19">
        <f t="shared" si="15"/>
        <v>1.0978608580665635E-3</v>
      </c>
      <c r="W74" s="2"/>
      <c r="X74" s="2">
        <f t="shared" si="16"/>
        <v>-545.54</v>
      </c>
      <c r="Y74" s="2"/>
      <c r="Z74" s="19">
        <f t="shared" si="17"/>
        <v>-0.56139375977607642</v>
      </c>
    </row>
    <row r="75" spans="1:26" s="24" customFormat="1" hidden="1" outlineLevel="1" x14ac:dyDescent="0.25">
      <c r="A75" s="44"/>
      <c r="B75" s="11" t="str">
        <f>CONCATENATE("          ", "5200", " - ", "PURCHASES OFFSET")</f>
        <v xml:space="preserve">          5200 - PURCHASES OFFSET</v>
      </c>
      <c r="C75" s="11"/>
      <c r="D75" s="2">
        <v>-17635</v>
      </c>
      <c r="E75" s="2"/>
      <c r="F75" s="19">
        <f t="shared" si="10"/>
        <v>-5.5811200850697524</v>
      </c>
      <c r="G75" s="2"/>
      <c r="H75" s="2">
        <v>-28174</v>
      </c>
      <c r="I75" s="2"/>
      <c r="J75" s="19">
        <f t="shared" si="11"/>
        <v>-0.40484747880636218</v>
      </c>
      <c r="K75" s="2"/>
      <c r="L75" s="2">
        <f t="shared" si="12"/>
        <v>10539</v>
      </c>
      <c r="M75" s="2"/>
      <c r="N75" s="19">
        <f t="shared" si="13"/>
        <v>-0.37406828991268548</v>
      </c>
      <c r="O75" s="11"/>
      <c r="P75" s="2">
        <v>-450979</v>
      </c>
      <c r="Q75" s="2"/>
      <c r="R75" s="19">
        <f t="shared" si="14"/>
        <v>-0.55355225499213234</v>
      </c>
      <c r="S75" s="2"/>
      <c r="T75" s="2">
        <v>-469811</v>
      </c>
      <c r="U75" s="2"/>
      <c r="V75" s="19">
        <f t="shared" si="15"/>
        <v>-0.53077622827561355</v>
      </c>
      <c r="W75" s="2"/>
      <c r="X75" s="2">
        <f t="shared" si="16"/>
        <v>18832</v>
      </c>
      <c r="Y75" s="2"/>
      <c r="Z75" s="19">
        <f t="shared" si="17"/>
        <v>-4.0084204073552981E-2</v>
      </c>
    </row>
    <row r="76" spans="1:26" s="24" customFormat="1" hidden="1" outlineLevel="1" x14ac:dyDescent="0.25">
      <c r="A76" s="44"/>
      <c r="B76" s="11" t="str">
        <f>CONCATENATE("          ", "5300", " - ", "COG$ OFFSET")</f>
        <v xml:space="preserve">          5300 - COG$ OFFSET</v>
      </c>
      <c r="C76" s="11"/>
      <c r="D76" s="2">
        <v>1571</v>
      </c>
      <c r="E76" s="2"/>
      <c r="F76" s="19">
        <f t="shared" si="10"/>
        <v>0.4971896599741753</v>
      </c>
      <c r="G76" s="2"/>
      <c r="H76" s="2">
        <v>36675</v>
      </c>
      <c r="I76" s="2"/>
      <c r="J76" s="19">
        <f t="shared" si="11"/>
        <v>0.52700295610219827</v>
      </c>
      <c r="K76" s="2"/>
      <c r="L76" s="2">
        <f t="shared" si="12"/>
        <v>-35104</v>
      </c>
      <c r="M76" s="2"/>
      <c r="N76" s="19">
        <f t="shared" si="13"/>
        <v>-0.95716428084526239</v>
      </c>
      <c r="O76" s="11"/>
      <c r="P76" s="2">
        <v>407932</v>
      </c>
      <c r="Q76" s="2"/>
      <c r="R76" s="19">
        <f t="shared" si="14"/>
        <v>0.50071439797296668</v>
      </c>
      <c r="S76" s="2"/>
      <c r="T76" s="2">
        <v>461633</v>
      </c>
      <c r="U76" s="2"/>
      <c r="V76" s="19">
        <f t="shared" si="15"/>
        <v>0.52153700655701196</v>
      </c>
      <c r="W76" s="2"/>
      <c r="X76" s="2">
        <f t="shared" si="16"/>
        <v>-53701</v>
      </c>
      <c r="Y76" s="2"/>
      <c r="Z76" s="19">
        <f t="shared" si="17"/>
        <v>-0.11632833874528034</v>
      </c>
    </row>
    <row r="77" spans="1:26" s="24" customFormat="1" hidden="1" outlineLevel="1" x14ac:dyDescent="0.25">
      <c r="A77" s="44"/>
      <c r="B77" s="11" t="str">
        <f>CONCATENATE("          ", "5500", " - ", "FREIGHT-IN")</f>
        <v xml:space="preserve">          5500 - FREIGHT-IN</v>
      </c>
      <c r="C77" s="11"/>
      <c r="D77" s="2"/>
      <c r="E77" s="2"/>
      <c r="F77" s="19">
        <f t="shared" si="10"/>
        <v>0</v>
      </c>
      <c r="G77" s="2"/>
      <c r="H77" s="2"/>
      <c r="I77" s="2"/>
      <c r="J77" s="19">
        <f t="shared" si="11"/>
        <v>0</v>
      </c>
      <c r="K77" s="2"/>
      <c r="L77" s="2">
        <f t="shared" si="12"/>
        <v>0</v>
      </c>
      <c r="M77" s="2"/>
      <c r="N77" s="19">
        <f t="shared" si="13"/>
        <v>0</v>
      </c>
      <c r="O77" s="11"/>
      <c r="P77" s="2">
        <v>86</v>
      </c>
      <c r="Q77" s="2"/>
      <c r="R77" s="19">
        <f t="shared" si="14"/>
        <v>1.055603341382268E-4</v>
      </c>
      <c r="S77" s="2"/>
      <c r="T77" s="2"/>
      <c r="U77" s="2"/>
      <c r="V77" s="19">
        <f t="shared" si="15"/>
        <v>0</v>
      </c>
      <c r="W77" s="2"/>
      <c r="X77" s="2">
        <f t="shared" si="16"/>
        <v>86</v>
      </c>
      <c r="Y77" s="2"/>
      <c r="Z77" s="19">
        <f t="shared" si="17"/>
        <v>0</v>
      </c>
    </row>
    <row r="78" spans="1:26" s="24" customFormat="1" hidden="1" outlineLevel="1" x14ac:dyDescent="0.25">
      <c r="A78" s="44"/>
      <c r="B78" s="11" t="str">
        <f>CONCATENATE("          ", "5525", " - ", "FREIGHT-IN-TEST FORMS")</f>
        <v xml:space="preserve">          5525 - FREIGHT-IN-TEST FORMS</v>
      </c>
      <c r="C78" s="11"/>
      <c r="D78" s="2"/>
      <c r="E78" s="2"/>
      <c r="F78" s="19">
        <f t="shared" si="10"/>
        <v>0</v>
      </c>
      <c r="G78" s="2"/>
      <c r="H78" s="2">
        <v>32.04</v>
      </c>
      <c r="I78" s="2"/>
      <c r="J78" s="19">
        <f t="shared" si="11"/>
        <v>4.6040012852118422E-4</v>
      </c>
      <c r="K78" s="2"/>
      <c r="L78" s="2">
        <f t="shared" si="12"/>
        <v>-32.04</v>
      </c>
      <c r="M78" s="2"/>
      <c r="N78" s="19">
        <f t="shared" si="13"/>
        <v>-1</v>
      </c>
      <c r="O78" s="11"/>
      <c r="P78" s="2">
        <v>1237.22</v>
      </c>
      <c r="Q78" s="2"/>
      <c r="R78" s="19">
        <f t="shared" si="14"/>
        <v>1.5186204256104298E-3</v>
      </c>
      <c r="S78" s="2"/>
      <c r="T78" s="2">
        <v>335.25</v>
      </c>
      <c r="U78" s="2"/>
      <c r="V78" s="19">
        <f t="shared" si="15"/>
        <v>3.7875386172184016E-4</v>
      </c>
      <c r="W78" s="2"/>
      <c r="X78" s="2">
        <f t="shared" si="16"/>
        <v>901.97</v>
      </c>
      <c r="Y78" s="2"/>
      <c r="Z78" s="19">
        <f t="shared" si="17"/>
        <v>2.6904399701715138</v>
      </c>
    </row>
    <row r="79" spans="1:26" s="24" customFormat="1" hidden="1" outlineLevel="1" x14ac:dyDescent="0.25">
      <c r="A79" s="44"/>
      <c r="B79" s="11" t="str">
        <f>CONCATENATE("          ", "5526", " - ", "FREIGHT-IN-WRITING INSTRUMENTS")</f>
        <v xml:space="preserve">          5526 - FREIGHT-IN-WRITING INSTRUMENTS</v>
      </c>
      <c r="C79" s="11"/>
      <c r="D79" s="2"/>
      <c r="E79" s="2"/>
      <c r="F79" s="19">
        <f t="shared" si="10"/>
        <v>0</v>
      </c>
      <c r="G79" s="2"/>
      <c r="H79" s="2">
        <v>100.95</v>
      </c>
      <c r="I79" s="2"/>
      <c r="J79" s="19">
        <f t="shared" si="11"/>
        <v>1.4506052738518587E-3</v>
      </c>
      <c r="K79" s="2"/>
      <c r="L79" s="2">
        <f t="shared" si="12"/>
        <v>-100.95</v>
      </c>
      <c r="M79" s="2"/>
      <c r="N79" s="19">
        <f t="shared" si="13"/>
        <v>-1</v>
      </c>
      <c r="O79" s="11"/>
      <c r="P79" s="2">
        <v>260.35000000000002</v>
      </c>
      <c r="Q79" s="2"/>
      <c r="R79" s="19">
        <f t="shared" si="14"/>
        <v>3.1956549991729474E-4</v>
      </c>
      <c r="S79" s="2"/>
      <c r="T79" s="2">
        <v>232.11</v>
      </c>
      <c r="U79" s="2"/>
      <c r="V79" s="19">
        <f t="shared" si="15"/>
        <v>2.6222985486728211E-4</v>
      </c>
      <c r="W79" s="2"/>
      <c r="X79" s="2">
        <f t="shared" si="16"/>
        <v>28.240000000000009</v>
      </c>
      <c r="Y79" s="2"/>
      <c r="Z79" s="19">
        <f t="shared" si="17"/>
        <v>0.12166645125156179</v>
      </c>
    </row>
    <row r="80" spans="1:26" s="24" customFormat="1" hidden="1" outlineLevel="1" x14ac:dyDescent="0.25">
      <c r="A80" s="44"/>
      <c r="B80" s="11" t="str">
        <f>CONCATENATE("          ", "5527", " - ", "FREIGHT-IN-SCHOOL SUPPLIES")</f>
        <v xml:space="preserve">          5527 - FREIGHT-IN-SCHOOL SUPPLIES</v>
      </c>
      <c r="C80" s="11"/>
      <c r="D80" s="2"/>
      <c r="E80" s="2"/>
      <c r="F80" s="19">
        <f t="shared" si="10"/>
        <v>0</v>
      </c>
      <c r="G80" s="2"/>
      <c r="H80" s="2">
        <v>336.32</v>
      </c>
      <c r="I80" s="2"/>
      <c r="J80" s="19">
        <f t="shared" si="11"/>
        <v>4.8327643952635673E-3</v>
      </c>
      <c r="K80" s="2"/>
      <c r="L80" s="2">
        <f t="shared" si="12"/>
        <v>-336.32</v>
      </c>
      <c r="M80" s="2"/>
      <c r="N80" s="19">
        <f t="shared" si="13"/>
        <v>-1</v>
      </c>
      <c r="O80" s="11"/>
      <c r="P80" s="2">
        <v>2058.91</v>
      </c>
      <c r="Q80" s="2"/>
      <c r="R80" s="19">
        <f t="shared" si="14"/>
        <v>2.527200320471355E-3</v>
      </c>
      <c r="S80" s="2"/>
      <c r="T80" s="2">
        <v>1761.28</v>
      </c>
      <c r="U80" s="2"/>
      <c r="V80" s="19">
        <f t="shared" si="15"/>
        <v>1.9898332634554592E-3</v>
      </c>
      <c r="W80" s="2"/>
      <c r="X80" s="2">
        <f t="shared" si="16"/>
        <v>297.62999999999988</v>
      </c>
      <c r="Y80" s="2"/>
      <c r="Z80" s="19">
        <f t="shared" si="17"/>
        <v>0.16898505632267435</v>
      </c>
    </row>
    <row r="81" spans="1:26" s="24" customFormat="1" hidden="1" outlineLevel="1" x14ac:dyDescent="0.25">
      <c r="A81" s="44"/>
      <c r="B81" s="11" t="str">
        <f>CONCATENATE("          ", "5528", " - ", "FREIGHT-IN-ART/TECH")</f>
        <v xml:space="preserve">          5528 - FREIGHT-IN-ART/TECH</v>
      </c>
      <c r="C81" s="11"/>
      <c r="D81" s="2">
        <v>576.6</v>
      </c>
      <c r="E81" s="2"/>
      <c r="F81" s="19">
        <f t="shared" si="10"/>
        <v>0.18248221383902577</v>
      </c>
      <c r="G81" s="2"/>
      <c r="H81" s="2">
        <v>241.6</v>
      </c>
      <c r="I81" s="2"/>
      <c r="J81" s="19">
        <f t="shared" si="11"/>
        <v>3.4716813686241606E-3</v>
      </c>
      <c r="K81" s="2"/>
      <c r="L81" s="2">
        <f t="shared" si="12"/>
        <v>335</v>
      </c>
      <c r="M81" s="2"/>
      <c r="N81" s="19">
        <f t="shared" si="13"/>
        <v>1.38658940397351</v>
      </c>
      <c r="O81" s="11"/>
      <c r="P81" s="2">
        <v>2844.12</v>
      </c>
      <c r="Q81" s="2"/>
      <c r="R81" s="19">
        <f t="shared" si="14"/>
        <v>3.4910029945257391E-3</v>
      </c>
      <c r="S81" s="2"/>
      <c r="T81" s="2">
        <v>7493.84</v>
      </c>
      <c r="U81" s="2"/>
      <c r="V81" s="19">
        <f t="shared" si="15"/>
        <v>8.4662813993306336E-3</v>
      </c>
      <c r="W81" s="2"/>
      <c r="X81" s="2">
        <f t="shared" si="16"/>
        <v>-4649.72</v>
      </c>
      <c r="Y81" s="2"/>
      <c r="Z81" s="19">
        <f t="shared" si="17"/>
        <v>-0.62047228123365328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6</v>
      </c>
      <c r="C83" s="28"/>
      <c r="D83" s="21">
        <f>D12-D57</f>
        <v>1588.0900000000001</v>
      </c>
      <c r="E83" s="14"/>
      <c r="F83" s="20">
        <f>IF(D$12=0,0,D83/D$12)</f>
        <v>0.50259829860495742</v>
      </c>
      <c r="G83" s="14"/>
      <c r="H83" s="21">
        <f>H12-H57</f>
        <v>32917.160000000025</v>
      </c>
      <c r="I83" s="14"/>
      <c r="J83" s="20">
        <f>IF(H$12=0,0,H83/H$12)</f>
        <v>0.4730045160596878</v>
      </c>
      <c r="K83" s="15"/>
      <c r="L83" s="21">
        <f>+D83-H83</f>
        <v>-31329.070000000025</v>
      </c>
      <c r="M83" s="15"/>
      <c r="N83" s="20">
        <f>IF(H83=0,0,L83/H83)</f>
        <v>-0.95175495091314077</v>
      </c>
      <c r="O83" s="29"/>
      <c r="P83" s="21">
        <f>P12-P57</f>
        <v>406685.26000000007</v>
      </c>
      <c r="Q83" s="14"/>
      <c r="R83" s="20">
        <f>IF(P$12=0,0,P83/P$12)</f>
        <v>0.49918409226385635</v>
      </c>
      <c r="S83" s="14"/>
      <c r="T83" s="21">
        <f>T12-T57</f>
        <v>423504.82999999967</v>
      </c>
      <c r="U83" s="14"/>
      <c r="V83" s="20">
        <f>IF(T$12=0,0,T83/T$12)</f>
        <v>0.47846111803236779</v>
      </c>
      <c r="W83" s="15"/>
      <c r="X83" s="21">
        <f>+P83-T83</f>
        <v>-16819.5699999996</v>
      </c>
      <c r="Y83" s="15"/>
      <c r="Z83" s="20">
        <f>IF(T83=0,0,X83/T83)</f>
        <v>-3.971517869111342E-2</v>
      </c>
    </row>
    <row r="84" spans="1:26" x14ac:dyDescent="0.25">
      <c r="A84" s="9"/>
      <c r="B84" s="10"/>
      <c r="C84" s="9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9" t="s">
        <v>9</v>
      </c>
      <c r="C85" s="10"/>
      <c r="D85" s="22">
        <f>SUM(OSRRefD22x_0)</f>
        <v>7372.78</v>
      </c>
      <c r="E85" s="22"/>
      <c r="F85" s="35">
        <f t="shared" ref="F85:F95" si="18">IF(D$12=0,0,D85/D$12)</f>
        <v>2.3333354431982176</v>
      </c>
      <c r="G85" s="22"/>
      <c r="H85" s="22">
        <f>SUM(OSRRefH22x_0)</f>
        <v>19771.080000000002</v>
      </c>
      <c r="I85" s="22"/>
      <c r="J85" s="35">
        <f t="shared" ref="J85:J95" si="19">IF(H$12=0,0,H85/H$12)</f>
        <v>0.2841013661985835</v>
      </c>
      <c r="K85" s="4"/>
      <c r="L85" s="22">
        <f t="shared" ref="L85:L95" si="20">+D85-H85</f>
        <v>-12398.300000000003</v>
      </c>
      <c r="M85" s="4"/>
      <c r="N85" s="35">
        <f t="shared" ref="N85:N95" si="21">IF(H85=0,0,L85/H85)</f>
        <v>-0.62709270307944742</v>
      </c>
      <c r="O85" s="10"/>
      <c r="P85" s="22">
        <f>SUM(OSRRefP22x_0)</f>
        <v>208060.11999999991</v>
      </c>
      <c r="Q85" s="22"/>
      <c r="R85" s="35">
        <f t="shared" ref="R85:R95" si="22">IF(P$12=0,0,P85/P$12)</f>
        <v>0.25538250916325062</v>
      </c>
      <c r="S85" s="22"/>
      <c r="T85" s="22">
        <f>SUM(OSRRefT22x_0)</f>
        <v>210846.05000000002</v>
      </c>
      <c r="U85" s="22"/>
      <c r="V85" s="35">
        <f t="shared" ref="V85:V95" si="23">IF(T$12=0,0,T85/T$12)</f>
        <v>0.23820657916866878</v>
      </c>
      <c r="W85" s="4"/>
      <c r="X85" s="22">
        <f t="shared" ref="X85:X95" si="24">+P85-T85</f>
        <v>-2785.9300000001094</v>
      </c>
      <c r="Y85" s="4"/>
      <c r="Z85" s="35">
        <f t="shared" ref="Z85:Z95" si="25">IF(T85=0,0,X85/T85)</f>
        <v>-1.3213100269130531E-2</v>
      </c>
    </row>
    <row r="86" spans="1:26" s="25" customFormat="1" outlineLevel="1" collapsed="1" x14ac:dyDescent="0.25">
      <c r="A86" s="26"/>
      <c r="B86" s="13" t="str">
        <f>CONCATENATE("     ","*Benefits                                         ")</f>
        <v xml:space="preserve">     *Benefits                                         </v>
      </c>
      <c r="C86" s="13"/>
      <c r="D86" s="1">
        <f>SUM(OSRRefD22_0x_0)</f>
        <v>3216.9900000000002</v>
      </c>
      <c r="E86" s="1"/>
      <c r="F86" s="5">
        <f t="shared" si="18"/>
        <v>1.0181121350988684</v>
      </c>
      <c r="G86" s="1"/>
      <c r="H86" s="1">
        <f>SUM(OSRRefH22_0x_0)</f>
        <v>3097.6600000000003</v>
      </c>
      <c r="I86" s="1"/>
      <c r="J86" s="5">
        <f t="shared" si="19"/>
        <v>4.4511955746408607E-2</v>
      </c>
      <c r="K86" s="1"/>
      <c r="L86" s="1">
        <f t="shared" si="20"/>
        <v>119.32999999999993</v>
      </c>
      <c r="M86" s="1"/>
      <c r="N86" s="5">
        <f t="shared" si="21"/>
        <v>3.8522626756971365E-2</v>
      </c>
      <c r="O86" s="13"/>
      <c r="P86" s="1">
        <f>SUM(OSRRefP22_0x_0)</f>
        <v>30718.089999999997</v>
      </c>
      <c r="Q86" s="1"/>
      <c r="R86" s="5">
        <f t="shared" si="22"/>
        <v>3.7704788889396774E-2</v>
      </c>
      <c r="S86" s="1"/>
      <c r="T86" s="1">
        <f>SUM(OSRRefT22_0x_0)</f>
        <v>34307.620000000003</v>
      </c>
      <c r="U86" s="1"/>
      <c r="V86" s="5">
        <f t="shared" si="23"/>
        <v>3.8759563196078865E-2</v>
      </c>
      <c r="W86" s="1"/>
      <c r="X86" s="1">
        <f t="shared" si="24"/>
        <v>-3589.5300000000061</v>
      </c>
      <c r="Y86" s="1"/>
      <c r="Z86" s="5">
        <f t="shared" si="25"/>
        <v>-0.10462777656975347</v>
      </c>
    </row>
    <row r="87" spans="1:26" s="24" customFormat="1" hidden="1" outlineLevel="2" x14ac:dyDescent="0.25">
      <c r="A87" s="27"/>
      <c r="B87" s="11" t="str">
        <f>CONCATENATE("          ", "6111", " - ", "F.I.C.A.")</f>
        <v xml:space="preserve">          6111 - F.I.C.A.</v>
      </c>
      <c r="C87" s="11"/>
      <c r="D87" s="6">
        <v>477.36</v>
      </c>
      <c r="E87" s="2"/>
      <c r="F87" s="7">
        <f t="shared" si="18"/>
        <v>0.15107476517203841</v>
      </c>
      <c r="G87" s="2"/>
      <c r="H87" s="6">
        <v>416.64</v>
      </c>
      <c r="I87" s="2"/>
      <c r="J87" s="7">
        <f t="shared" si="19"/>
        <v>5.9869260158260358E-3</v>
      </c>
      <c r="K87" s="2"/>
      <c r="L87" s="6">
        <f t="shared" si="20"/>
        <v>60.720000000000027</v>
      </c>
      <c r="M87" s="2"/>
      <c r="N87" s="7">
        <f t="shared" si="21"/>
        <v>0.14573732718894017</v>
      </c>
      <c r="O87" s="11"/>
      <c r="P87" s="6">
        <v>5792.59</v>
      </c>
      <c r="Q87" s="2"/>
      <c r="R87" s="7">
        <f t="shared" si="22"/>
        <v>7.1100899526250136E-3</v>
      </c>
      <c r="S87" s="2"/>
      <c r="T87" s="6">
        <v>5747.8</v>
      </c>
      <c r="U87" s="2"/>
      <c r="V87" s="7">
        <f t="shared" si="23"/>
        <v>6.4936657610881222E-3</v>
      </c>
      <c r="W87" s="2"/>
      <c r="X87" s="6">
        <f t="shared" si="24"/>
        <v>44.789999999999964</v>
      </c>
      <c r="Y87" s="2"/>
      <c r="Z87" s="7">
        <f t="shared" si="25"/>
        <v>7.7925467135251687E-3</v>
      </c>
    </row>
    <row r="88" spans="1:26" s="24" customFormat="1" hidden="1" outlineLevel="2" x14ac:dyDescent="0.25">
      <c r="A88" s="27"/>
      <c r="B88" s="11" t="str">
        <f>CONCATENATE("          ", "6112", " - ", "COMPENSATION INSURANCE")</f>
        <v xml:space="preserve">          6112 - COMPENSATION INSURANCE</v>
      </c>
      <c r="C88" s="11"/>
      <c r="D88" s="6">
        <v>79.040000000000006</v>
      </c>
      <c r="E88" s="2"/>
      <c r="F88" s="7">
        <f t="shared" si="18"/>
        <v>2.5014558067701347E-2</v>
      </c>
      <c r="G88" s="2"/>
      <c r="H88" s="6">
        <v>150.74</v>
      </c>
      <c r="I88" s="2"/>
      <c r="J88" s="7">
        <f t="shared" si="19"/>
        <v>2.1660647744470448E-3</v>
      </c>
      <c r="K88" s="2"/>
      <c r="L88" s="6">
        <f t="shared" si="20"/>
        <v>-71.7</v>
      </c>
      <c r="M88" s="2"/>
      <c r="N88" s="7">
        <f t="shared" si="21"/>
        <v>-0.475653443014462</v>
      </c>
      <c r="O88" s="11"/>
      <c r="P88" s="6">
        <v>2637.43</v>
      </c>
      <c r="Q88" s="2"/>
      <c r="R88" s="7">
        <f t="shared" si="22"/>
        <v>3.2373022333277148E-3</v>
      </c>
      <c r="S88" s="2"/>
      <c r="T88" s="6">
        <v>1573.89</v>
      </c>
      <c r="U88" s="2"/>
      <c r="V88" s="7">
        <f t="shared" si="23"/>
        <v>1.7781265187931008E-3</v>
      </c>
      <c r="W88" s="2"/>
      <c r="X88" s="6">
        <f t="shared" si="24"/>
        <v>1063.5399999999997</v>
      </c>
      <c r="Y88" s="2"/>
      <c r="Z88" s="7">
        <f t="shared" si="25"/>
        <v>0.67573972768109569</v>
      </c>
    </row>
    <row r="89" spans="1:26" s="24" customFormat="1" hidden="1" outlineLevel="2" x14ac:dyDescent="0.25">
      <c r="A89" s="27"/>
      <c r="B89" s="11" t="str">
        <f>CONCATENATE("          ", "6113", " - ", "GROUP INSURANCE")</f>
        <v xml:space="preserve">          6113 - GROUP INSURANCE</v>
      </c>
      <c r="C89" s="11"/>
      <c r="D89" s="6">
        <v>1362.23</v>
      </c>
      <c r="E89" s="2"/>
      <c r="F89" s="7">
        <f t="shared" si="18"/>
        <v>0.43111818619135633</v>
      </c>
      <c r="G89" s="2"/>
      <c r="H89" s="6">
        <v>1412.76</v>
      </c>
      <c r="I89" s="2"/>
      <c r="J89" s="7">
        <f t="shared" si="19"/>
        <v>2.0300714281198135E-2</v>
      </c>
      <c r="K89" s="2"/>
      <c r="L89" s="6">
        <f t="shared" si="20"/>
        <v>-50.529999999999973</v>
      </c>
      <c r="M89" s="2"/>
      <c r="N89" s="7">
        <f t="shared" si="21"/>
        <v>-3.5766867691610728E-2</v>
      </c>
      <c r="O89" s="11"/>
      <c r="P89" s="6">
        <v>18163.82</v>
      </c>
      <c r="Q89" s="2"/>
      <c r="R89" s="7">
        <f t="shared" si="22"/>
        <v>2.2295103586355891E-2</v>
      </c>
      <c r="S89" s="2"/>
      <c r="T89" s="6">
        <v>14103.34</v>
      </c>
      <c r="U89" s="2"/>
      <c r="V89" s="7">
        <f t="shared" si="23"/>
        <v>1.593346603482803E-2</v>
      </c>
      <c r="W89" s="2"/>
      <c r="X89" s="6">
        <f t="shared" si="24"/>
        <v>4060.4799999999996</v>
      </c>
      <c r="Y89" s="2"/>
      <c r="Z89" s="7">
        <f t="shared" si="25"/>
        <v>0.28790910521904739</v>
      </c>
    </row>
    <row r="90" spans="1:26" s="24" customFormat="1" hidden="1" outlineLevel="2" x14ac:dyDescent="0.25">
      <c r="A90" s="27"/>
      <c r="B90" s="11" t="str">
        <f>CONCATENATE("          ", "6114", " - ", "STATE UNEMPLOYMENT INSURANCE")</f>
        <v xml:space="preserve">          6114 - STATE UNEMPLOYMENT INSURANCE</v>
      </c>
      <c r="C90" s="11"/>
      <c r="D90" s="6">
        <v>10.82</v>
      </c>
      <c r="E90" s="2"/>
      <c r="F90" s="7">
        <f t="shared" si="18"/>
        <v>3.424310707142315E-3</v>
      </c>
      <c r="G90" s="2"/>
      <c r="H90" s="6">
        <v>32.93</v>
      </c>
      <c r="I90" s="2"/>
      <c r="J90" s="7">
        <f t="shared" si="19"/>
        <v>4.7318902098010605E-4</v>
      </c>
      <c r="K90" s="2"/>
      <c r="L90" s="6">
        <f t="shared" si="20"/>
        <v>-22.11</v>
      </c>
      <c r="M90" s="2"/>
      <c r="N90" s="7">
        <f t="shared" si="21"/>
        <v>-0.67142423322198597</v>
      </c>
      <c r="O90" s="11"/>
      <c r="P90" s="6">
        <v>402.89</v>
      </c>
      <c r="Q90" s="2"/>
      <c r="R90" s="7">
        <f t="shared" si="22"/>
        <v>4.9452561652267666E-4</v>
      </c>
      <c r="S90" s="2"/>
      <c r="T90" s="6">
        <v>379.89</v>
      </c>
      <c r="U90" s="2"/>
      <c r="V90" s="7">
        <f t="shared" si="23"/>
        <v>4.2918659069205031E-4</v>
      </c>
      <c r="W90" s="2"/>
      <c r="X90" s="6">
        <f t="shared" si="24"/>
        <v>23</v>
      </c>
      <c r="Y90" s="2"/>
      <c r="Z90" s="7">
        <f t="shared" si="25"/>
        <v>6.0543841638369005E-2</v>
      </c>
    </row>
    <row r="91" spans="1:26" s="24" customFormat="1" hidden="1" outlineLevel="2" x14ac:dyDescent="0.25">
      <c r="A91" s="27"/>
      <c r="B91" s="11" t="str">
        <f>CONCATENATE("          ", "6115", " - ", "P.E.R.S.")</f>
        <v xml:space="preserve">          6115 - P.E.R.S.</v>
      </c>
      <c r="C91" s="11"/>
      <c r="D91" s="6">
        <v>425.19</v>
      </c>
      <c r="E91" s="2"/>
      <c r="F91" s="7">
        <f t="shared" si="18"/>
        <v>0.13456401752031802</v>
      </c>
      <c r="G91" s="2"/>
      <c r="H91" s="6">
        <v>371.47</v>
      </c>
      <c r="I91" s="2"/>
      <c r="J91" s="7">
        <f t="shared" si="19"/>
        <v>5.3378537996805345E-3</v>
      </c>
      <c r="K91" s="2"/>
      <c r="L91" s="6">
        <f t="shared" si="20"/>
        <v>53.71999999999997</v>
      </c>
      <c r="M91" s="2"/>
      <c r="N91" s="7">
        <f t="shared" si="21"/>
        <v>0.14461463913640393</v>
      </c>
      <c r="O91" s="11"/>
      <c r="P91" s="6">
        <v>4202.03</v>
      </c>
      <c r="Q91" s="2"/>
      <c r="R91" s="7">
        <f t="shared" si="22"/>
        <v>5.1577638471959663E-3</v>
      </c>
      <c r="S91" s="2"/>
      <c r="T91" s="6">
        <v>4297.25</v>
      </c>
      <c r="U91" s="2"/>
      <c r="V91" s="7">
        <f t="shared" si="23"/>
        <v>4.8548845109147734E-3</v>
      </c>
      <c r="W91" s="2"/>
      <c r="X91" s="6">
        <f t="shared" si="24"/>
        <v>-95.220000000000255</v>
      </c>
      <c r="Y91" s="2"/>
      <c r="Z91" s="7">
        <f t="shared" si="25"/>
        <v>-2.2158357088835942E-2</v>
      </c>
    </row>
    <row r="92" spans="1:26" s="24" customFormat="1" hidden="1" outlineLevel="2" x14ac:dyDescent="0.25">
      <c r="A92" s="27"/>
      <c r="B92" s="11" t="str">
        <f>CONCATENATE("          ", "6117", " - ", "RETIREMENT STAFF HOURLY")</f>
        <v xml:space="preserve">          6117 - RETIREMENT STAFF HOURLY</v>
      </c>
      <c r="C92" s="11"/>
      <c r="D92" s="6">
        <v>46.65</v>
      </c>
      <c r="E92" s="2"/>
      <c r="F92" s="7">
        <f t="shared" si="18"/>
        <v>1.4763779527559055E-2</v>
      </c>
      <c r="G92" s="2"/>
      <c r="H92" s="6"/>
      <c r="I92" s="2"/>
      <c r="J92" s="7">
        <f t="shared" si="19"/>
        <v>0</v>
      </c>
      <c r="K92" s="2"/>
      <c r="L92" s="6">
        <f t="shared" si="20"/>
        <v>46.65</v>
      </c>
      <c r="M92" s="2"/>
      <c r="N92" s="7">
        <f t="shared" si="21"/>
        <v>0</v>
      </c>
      <c r="O92" s="11"/>
      <c r="P92" s="6">
        <v>46.65</v>
      </c>
      <c r="Q92" s="2"/>
      <c r="R92" s="7">
        <f t="shared" si="22"/>
        <v>5.7260344041259068E-5</v>
      </c>
      <c r="S92" s="2"/>
      <c r="T92" s="6"/>
      <c r="U92" s="2"/>
      <c r="V92" s="7">
        <f t="shared" si="23"/>
        <v>0</v>
      </c>
      <c r="W92" s="2"/>
      <c r="X92" s="6">
        <f t="shared" si="24"/>
        <v>46.65</v>
      </c>
      <c r="Y92" s="2"/>
      <c r="Z92" s="7">
        <f t="shared" si="25"/>
        <v>0</v>
      </c>
    </row>
    <row r="93" spans="1:26" s="24" customFormat="1" hidden="1" outlineLevel="2" x14ac:dyDescent="0.25">
      <c r="A93" s="27"/>
      <c r="B93" s="11" t="str">
        <f>CONCATENATE("          ", "6118", " - ", "VACATION")</f>
        <v xml:space="preserve">          6118 - VACATION</v>
      </c>
      <c r="C93" s="11"/>
      <c r="D93" s="6">
        <v>503.88</v>
      </c>
      <c r="E93" s="2"/>
      <c r="F93" s="7">
        <f t="shared" si="18"/>
        <v>0.15946780768159607</v>
      </c>
      <c r="G93" s="2"/>
      <c r="H93" s="6">
        <v>312.86</v>
      </c>
      <c r="I93" s="2"/>
      <c r="J93" s="7">
        <f t="shared" si="19"/>
        <v>4.4956549378632246E-3</v>
      </c>
      <c r="K93" s="2"/>
      <c r="L93" s="6">
        <f t="shared" si="20"/>
        <v>191.01999999999998</v>
      </c>
      <c r="M93" s="2"/>
      <c r="N93" s="7">
        <f t="shared" si="21"/>
        <v>0.61056063414945971</v>
      </c>
      <c r="O93" s="11"/>
      <c r="P93" s="6">
        <v>3764.48</v>
      </c>
      <c r="Q93" s="2"/>
      <c r="R93" s="7">
        <f t="shared" si="22"/>
        <v>4.6206949611240934E-3</v>
      </c>
      <c r="S93" s="2"/>
      <c r="T93" s="6">
        <v>3372.36</v>
      </c>
      <c r="U93" s="2"/>
      <c r="V93" s="7">
        <f t="shared" si="23"/>
        <v>3.8099757587360624E-3</v>
      </c>
      <c r="W93" s="2"/>
      <c r="X93" s="6">
        <f t="shared" si="24"/>
        <v>392.11999999999989</v>
      </c>
      <c r="Y93" s="2"/>
      <c r="Z93" s="7">
        <f t="shared" si="25"/>
        <v>0.11627465632376137</v>
      </c>
    </row>
    <row r="94" spans="1:26" s="24" customFormat="1" hidden="1" outlineLevel="2" x14ac:dyDescent="0.25">
      <c r="A94" s="27"/>
      <c r="B94" s="11" t="str">
        <f>CONCATENATE("          ", "6119", " - ", "SICK LEAVE")</f>
        <v xml:space="preserve">          6119 - SICK LEAVE</v>
      </c>
      <c r="C94" s="11"/>
      <c r="D94" s="6">
        <v>287.82</v>
      </c>
      <c r="E94" s="2"/>
      <c r="F94" s="7">
        <f t="shared" si="18"/>
        <v>9.1089196647846676E-2</v>
      </c>
      <c r="G94" s="2"/>
      <c r="H94" s="6">
        <v>250.42</v>
      </c>
      <c r="I94" s="2"/>
      <c r="J94" s="7">
        <f t="shared" si="19"/>
        <v>3.5984207298462843E-3</v>
      </c>
      <c r="K94" s="2"/>
      <c r="L94" s="6">
        <f t="shared" si="20"/>
        <v>37.400000000000006</v>
      </c>
      <c r="M94" s="2"/>
      <c r="N94" s="7">
        <f t="shared" si="21"/>
        <v>0.14934909352288159</v>
      </c>
      <c r="O94" s="11"/>
      <c r="P94" s="6">
        <v>-5981.9</v>
      </c>
      <c r="Q94" s="2"/>
      <c r="R94" s="7">
        <f t="shared" si="22"/>
        <v>-7.3424577067611489E-3</v>
      </c>
      <c r="S94" s="2"/>
      <c r="T94" s="6">
        <v>3335.41</v>
      </c>
      <c r="U94" s="2"/>
      <c r="V94" s="7">
        <f t="shared" si="23"/>
        <v>3.7682309259527008E-3</v>
      </c>
      <c r="W94" s="2"/>
      <c r="X94" s="6">
        <f t="shared" si="24"/>
        <v>-9317.31</v>
      </c>
      <c r="Y94" s="2"/>
      <c r="Z94" s="7">
        <f t="shared" si="25"/>
        <v>-2.7934526789809948</v>
      </c>
    </row>
    <row r="95" spans="1:26" s="24" customFormat="1" hidden="1" outlineLevel="2" x14ac:dyDescent="0.25">
      <c r="A95" s="27"/>
      <c r="B95" s="11" t="str">
        <f>CONCATENATE("          ", "6156", " - ", "EMPLOYEE MEALS")</f>
        <v xml:space="preserve">          6156 - EMPLOYEE MEALS</v>
      </c>
      <c r="C95" s="11"/>
      <c r="D95" s="6">
        <v>24</v>
      </c>
      <c r="E95" s="2"/>
      <c r="F95" s="7">
        <f t="shared" si="18"/>
        <v>7.5955135833101258E-3</v>
      </c>
      <c r="G95" s="2"/>
      <c r="H95" s="6">
        <v>149.84</v>
      </c>
      <c r="I95" s="2"/>
      <c r="J95" s="7">
        <f t="shared" si="19"/>
        <v>2.1531321865672364E-3</v>
      </c>
      <c r="K95" s="2"/>
      <c r="L95" s="6">
        <f t="shared" si="20"/>
        <v>-125.84</v>
      </c>
      <c r="M95" s="2"/>
      <c r="N95" s="7">
        <f t="shared" si="21"/>
        <v>-0.83982915109450085</v>
      </c>
      <c r="O95" s="11"/>
      <c r="P95" s="6">
        <v>1690.1</v>
      </c>
      <c r="Q95" s="2"/>
      <c r="R95" s="7">
        <f t="shared" si="22"/>
        <v>2.0745060549653151E-3</v>
      </c>
      <c r="S95" s="2"/>
      <c r="T95" s="6">
        <v>1497.68</v>
      </c>
      <c r="U95" s="2"/>
      <c r="V95" s="7">
        <f t="shared" si="23"/>
        <v>1.6920270950740212E-3</v>
      </c>
      <c r="W95" s="2"/>
      <c r="X95" s="6">
        <f t="shared" si="24"/>
        <v>192.41999999999985</v>
      </c>
      <c r="Y95" s="2"/>
      <c r="Z95" s="7">
        <f t="shared" si="25"/>
        <v>0.12847871374392383</v>
      </c>
    </row>
    <row r="96" spans="1:26" s="25" customFormat="1" outlineLevel="1" collapsed="1" x14ac:dyDescent="0.25">
      <c r="A96" s="26"/>
      <c r="B96" s="13" t="str">
        <f>CONCATENATE("     ","*Payroll                                          ")</f>
        <v xml:space="preserve">     *Payroll                                          </v>
      </c>
      <c r="C96" s="13"/>
      <c r="D96" s="1">
        <f>SUM(OSRRefD22_1x_0)</f>
        <v>3328</v>
      </c>
      <c r="E96" s="1"/>
      <c r="F96" s="5">
        <f t="shared" ref="F96:F101" si="26">IF(D$12=0,0,D96/D$12)</f>
        <v>1.053244550219004</v>
      </c>
      <c r="G96" s="1"/>
      <c r="H96" s="1">
        <f>SUM(OSRRefH22_1x_0)</f>
        <v>12068.99</v>
      </c>
      <c r="I96" s="1"/>
      <c r="J96" s="5">
        <f t="shared" ref="J96:J101" si="27">IF(H$12=0,0,H96/H$12)</f>
        <v>0.17342585977281172</v>
      </c>
      <c r="K96" s="1"/>
      <c r="L96" s="1">
        <f t="shared" ref="L96:L101" si="28">+D96-H96</f>
        <v>-8740.99</v>
      </c>
      <c r="M96" s="1"/>
      <c r="N96" s="5">
        <f t="shared" ref="N96:N101" si="29">IF(H96=0,0,L96/H96)</f>
        <v>-0.72425198794596735</v>
      </c>
      <c r="O96" s="13"/>
      <c r="P96" s="1">
        <f>SUM(OSRRefP22_1x_0)</f>
        <v>149073.27000000002</v>
      </c>
      <c r="Q96" s="1"/>
      <c r="R96" s="5">
        <f t="shared" ref="R96:R101" si="30">IF(P$12=0,0,P96/P$12)</f>
        <v>0.1829793510730012</v>
      </c>
      <c r="S96" s="1"/>
      <c r="T96" s="1">
        <f>SUM(OSRRefT22_1x_0)</f>
        <v>131395.79</v>
      </c>
      <c r="U96" s="1"/>
      <c r="V96" s="5">
        <f t="shared" ref="V96:V101" si="31">IF(T$12=0,0,T96/T$12)</f>
        <v>0.14844642170467398</v>
      </c>
      <c r="W96" s="1"/>
      <c r="X96" s="1">
        <f t="shared" ref="X96:X101" si="32">+P96-T96</f>
        <v>17677.48000000001</v>
      </c>
      <c r="Y96" s="1"/>
      <c r="Z96" s="5">
        <f t="shared" ref="Z96:Z101" si="33">IF(T96=0,0,X96/T96)</f>
        <v>0.1345361217433223</v>
      </c>
    </row>
    <row r="97" spans="1:26" s="24" customFormat="1" hidden="1" outlineLevel="2" x14ac:dyDescent="0.25">
      <c r="A97" s="27"/>
      <c r="B97" s="11" t="str">
        <f>CONCATENATE("          ", "6002", " - ", "STAFF SALARIES")</f>
        <v xml:space="preserve">          6002 - STAFF SALARIES</v>
      </c>
      <c r="C97" s="11"/>
      <c r="D97" s="6">
        <v>3328</v>
      </c>
      <c r="E97" s="2"/>
      <c r="F97" s="7">
        <f t="shared" si="26"/>
        <v>1.053244550219004</v>
      </c>
      <c r="G97" s="2"/>
      <c r="H97" s="6">
        <v>4582.28</v>
      </c>
      <c r="I97" s="2"/>
      <c r="J97" s="7">
        <f t="shared" si="27"/>
        <v>6.5845265322099E-2</v>
      </c>
      <c r="K97" s="2"/>
      <c r="L97" s="6">
        <f t="shared" si="28"/>
        <v>-1254.2799999999997</v>
      </c>
      <c r="M97" s="2"/>
      <c r="N97" s="7">
        <f t="shared" si="29"/>
        <v>-0.27372399766055322</v>
      </c>
      <c r="O97" s="11"/>
      <c r="P97" s="6">
        <v>51791.82</v>
      </c>
      <c r="Q97" s="2"/>
      <c r="R97" s="7">
        <f t="shared" si="30"/>
        <v>6.357164912589415E-2</v>
      </c>
      <c r="S97" s="2"/>
      <c r="T97" s="6">
        <v>54182.76</v>
      </c>
      <c r="U97" s="2"/>
      <c r="V97" s="7">
        <f t="shared" si="31"/>
        <v>6.1213809362409111E-2</v>
      </c>
      <c r="W97" s="2"/>
      <c r="X97" s="6">
        <f t="shared" si="32"/>
        <v>-2390.9400000000023</v>
      </c>
      <c r="Y97" s="2"/>
      <c r="Z97" s="7">
        <f t="shared" si="33"/>
        <v>-4.4127320202957586E-2</v>
      </c>
    </row>
    <row r="98" spans="1:26" s="24" customFormat="1" hidden="1" outlineLevel="2" x14ac:dyDescent="0.25">
      <c r="A98" s="27"/>
      <c r="B98" s="11" t="str">
        <f>CONCATENATE("          ", "6004", " - ", "STAFF HOURLY")</f>
        <v xml:space="preserve">          6004 - STAFF HOURLY</v>
      </c>
      <c r="C98" s="11"/>
      <c r="D98" s="6"/>
      <c r="E98" s="2"/>
      <c r="F98" s="7">
        <f t="shared" si="26"/>
        <v>0</v>
      </c>
      <c r="G98" s="2"/>
      <c r="H98" s="6"/>
      <c r="I98" s="2"/>
      <c r="J98" s="7">
        <f t="shared" si="27"/>
        <v>0</v>
      </c>
      <c r="K98" s="2"/>
      <c r="L98" s="6">
        <f t="shared" si="28"/>
        <v>0</v>
      </c>
      <c r="M98" s="2"/>
      <c r="N98" s="7">
        <f t="shared" si="29"/>
        <v>0</v>
      </c>
      <c r="O98" s="11"/>
      <c r="P98" s="6">
        <v>-48</v>
      </c>
      <c r="Q98" s="2"/>
      <c r="R98" s="7">
        <f t="shared" si="30"/>
        <v>-5.8917395798080073E-5</v>
      </c>
      <c r="S98" s="2"/>
      <c r="T98" s="6"/>
      <c r="U98" s="2"/>
      <c r="V98" s="7">
        <f t="shared" si="31"/>
        <v>0</v>
      </c>
      <c r="W98" s="2"/>
      <c r="X98" s="6">
        <f t="shared" si="32"/>
        <v>-48</v>
      </c>
      <c r="Y98" s="2"/>
      <c r="Z98" s="7">
        <f t="shared" si="33"/>
        <v>0</v>
      </c>
    </row>
    <row r="99" spans="1:26" s="24" customFormat="1" hidden="1" outlineLevel="2" x14ac:dyDescent="0.25">
      <c r="A99" s="27"/>
      <c r="B99" s="11" t="str">
        <f>CONCATENATE("          ", "6005", " - ", "TEMPORARY WAGES-HOURLY")</f>
        <v xml:space="preserve">          6005 - TEMPORARY WAGES-HOURLY</v>
      </c>
      <c r="C99" s="11"/>
      <c r="D99" s="6"/>
      <c r="E99" s="2"/>
      <c r="F99" s="7">
        <f t="shared" si="26"/>
        <v>0</v>
      </c>
      <c r="G99" s="2"/>
      <c r="H99" s="6"/>
      <c r="I99" s="2"/>
      <c r="J99" s="7">
        <f t="shared" si="27"/>
        <v>0</v>
      </c>
      <c r="K99" s="2"/>
      <c r="L99" s="6">
        <f t="shared" si="28"/>
        <v>0</v>
      </c>
      <c r="M99" s="2"/>
      <c r="N99" s="7">
        <f t="shared" si="29"/>
        <v>0</v>
      </c>
      <c r="O99" s="11"/>
      <c r="P99" s="6">
        <v>7121.65</v>
      </c>
      <c r="Q99" s="2"/>
      <c r="R99" s="7">
        <f t="shared" si="30"/>
        <v>8.7414389955291025E-3</v>
      </c>
      <c r="S99" s="2"/>
      <c r="T99" s="6"/>
      <c r="U99" s="2"/>
      <c r="V99" s="7">
        <f t="shared" si="31"/>
        <v>0</v>
      </c>
      <c r="W99" s="2"/>
      <c r="X99" s="6">
        <f t="shared" si="32"/>
        <v>7121.65</v>
      </c>
      <c r="Y99" s="2"/>
      <c r="Z99" s="7">
        <f t="shared" si="33"/>
        <v>0</v>
      </c>
    </row>
    <row r="100" spans="1:26" s="24" customFormat="1" hidden="1" outlineLevel="2" x14ac:dyDescent="0.25">
      <c r="A100" s="27"/>
      <c r="B100" s="11" t="str">
        <f>CONCATENATE("          ", "6006", " - ", "TEMPORARY PART TIME")</f>
        <v xml:space="preserve">          6006 - TEMPORARY PART TIME</v>
      </c>
      <c r="C100" s="11"/>
      <c r="D100" s="6"/>
      <c r="E100" s="2"/>
      <c r="F100" s="7">
        <f t="shared" si="26"/>
        <v>0</v>
      </c>
      <c r="G100" s="2"/>
      <c r="H100" s="6"/>
      <c r="I100" s="2"/>
      <c r="J100" s="7">
        <f t="shared" si="27"/>
        <v>0</v>
      </c>
      <c r="K100" s="2"/>
      <c r="L100" s="6">
        <f t="shared" si="28"/>
        <v>0</v>
      </c>
      <c r="M100" s="2"/>
      <c r="N100" s="7">
        <f t="shared" si="29"/>
        <v>0</v>
      </c>
      <c r="O100" s="11"/>
      <c r="P100" s="6">
        <v>25.5</v>
      </c>
      <c r="Q100" s="2"/>
      <c r="R100" s="7">
        <f t="shared" si="30"/>
        <v>3.1299866517730039E-5</v>
      </c>
      <c r="S100" s="2"/>
      <c r="T100" s="6">
        <v>4320.25</v>
      </c>
      <c r="U100" s="2"/>
      <c r="V100" s="7">
        <f t="shared" si="31"/>
        <v>4.8808691158949442E-3</v>
      </c>
      <c r="W100" s="2"/>
      <c r="X100" s="6">
        <f t="shared" si="32"/>
        <v>-4294.75</v>
      </c>
      <c r="Y100" s="2"/>
      <c r="Z100" s="7">
        <f t="shared" si="33"/>
        <v>-0.99409756379839131</v>
      </c>
    </row>
    <row r="101" spans="1:26" s="24" customFormat="1" hidden="1" outlineLevel="2" x14ac:dyDescent="0.25">
      <c r="A101" s="27"/>
      <c r="B101" s="11" t="str">
        <f>CONCATENATE("          ", "6007", " - ", "STUDENT HOURLY")</f>
        <v xml:space="preserve">          6007 - STUDENT HOURLY</v>
      </c>
      <c r="C101" s="11"/>
      <c r="D101" s="6"/>
      <c r="E101" s="2"/>
      <c r="F101" s="7">
        <f t="shared" si="26"/>
        <v>0</v>
      </c>
      <c r="G101" s="2"/>
      <c r="H101" s="6">
        <v>7486.71</v>
      </c>
      <c r="I101" s="2"/>
      <c r="J101" s="7">
        <f t="shared" si="27"/>
        <v>0.10758059445071272</v>
      </c>
      <c r="K101" s="2"/>
      <c r="L101" s="6">
        <f t="shared" si="28"/>
        <v>-7486.71</v>
      </c>
      <c r="M101" s="2"/>
      <c r="N101" s="7">
        <f t="shared" si="29"/>
        <v>-1</v>
      </c>
      <c r="O101" s="11"/>
      <c r="P101" s="6">
        <v>90182.3</v>
      </c>
      <c r="Q101" s="2"/>
      <c r="R101" s="7">
        <f t="shared" si="30"/>
        <v>0.11069388048085826</v>
      </c>
      <c r="S101" s="2"/>
      <c r="T101" s="6">
        <v>72892.78</v>
      </c>
      <c r="U101" s="2"/>
      <c r="V101" s="7">
        <f t="shared" si="31"/>
        <v>8.2351743226369928E-2</v>
      </c>
      <c r="W101" s="2"/>
      <c r="X101" s="6">
        <f t="shared" si="32"/>
        <v>17289.520000000004</v>
      </c>
      <c r="Y101" s="2"/>
      <c r="Z101" s="7">
        <f t="shared" si="33"/>
        <v>0.2371911182424378</v>
      </c>
    </row>
    <row r="102" spans="1:26" s="25" customFormat="1" outlineLevel="1" collapsed="1" x14ac:dyDescent="0.25">
      <c r="A102" s="26"/>
      <c r="B102" s="13" t="str">
        <f>CONCATENATE("     ","Advertising/Promo                                 ")</f>
        <v xml:space="preserve">     Advertising/Promo                                 </v>
      </c>
      <c r="C102" s="13"/>
      <c r="D102" s="1">
        <f>SUM(OSRRefD22_2x_0)</f>
        <v>0</v>
      </c>
      <c r="E102" s="1"/>
      <c r="F102" s="5">
        <f t="shared" ref="F102:F108" si="34">IF(D$12=0,0,D102/D$12)</f>
        <v>0</v>
      </c>
      <c r="G102" s="1"/>
      <c r="H102" s="1">
        <f>SUM(OSRRefH22_2x_0)</f>
        <v>402</v>
      </c>
      <c r="I102" s="1"/>
      <c r="J102" s="5">
        <f t="shared" ref="J102:J108" si="35">IF(H$12=0,0,H102/H$12)</f>
        <v>5.7765559196478172E-3</v>
      </c>
      <c r="K102" s="1"/>
      <c r="L102" s="1">
        <f t="shared" ref="L102:L108" si="36">+D102-H102</f>
        <v>-402</v>
      </c>
      <c r="M102" s="1"/>
      <c r="N102" s="5">
        <f t="shared" ref="N102:N108" si="37">IF(H102=0,0,L102/H102)</f>
        <v>-1</v>
      </c>
      <c r="O102" s="13"/>
      <c r="P102" s="1">
        <f>SUM(OSRRefP22_2x_0)</f>
        <v>2145.38</v>
      </c>
      <c r="Q102" s="1"/>
      <c r="R102" s="5">
        <f t="shared" ref="R102:R108" si="38">IF(P$12=0,0,P102/P$12)</f>
        <v>2.6333375541101049E-3</v>
      </c>
      <c r="S102" s="1"/>
      <c r="T102" s="1">
        <f>SUM(OSRRefT22_2x_0)</f>
        <v>1822.86</v>
      </c>
      <c r="U102" s="1"/>
      <c r="V102" s="5">
        <f t="shared" ref="V102:V108" si="39">IF(T$12=0,0,T102/T$12)</f>
        <v>2.059404218876282E-3</v>
      </c>
      <c r="W102" s="1"/>
      <c r="X102" s="1">
        <f t="shared" ref="X102:X108" si="40">+P102-T102</f>
        <v>322.52000000000021</v>
      </c>
      <c r="Y102" s="1"/>
      <c r="Z102" s="5">
        <f t="shared" ref="Z102:Z108" si="41">IF(T102=0,0,X102/T102)</f>
        <v>0.17693075716182274</v>
      </c>
    </row>
    <row r="103" spans="1:26" s="24" customFormat="1" hidden="1" outlineLevel="2" x14ac:dyDescent="0.25">
      <c r="A103" s="27"/>
      <c r="B103" s="11" t="str">
        <f>CONCATENATE("          ", "6362", " - ", "ADVERTISING EXPENSE")</f>
        <v xml:space="preserve">          6362 - ADVERTISING EXPENSE</v>
      </c>
      <c r="C103" s="11"/>
      <c r="D103" s="6"/>
      <c r="E103" s="2"/>
      <c r="F103" s="7">
        <f t="shared" si="34"/>
        <v>0</v>
      </c>
      <c r="G103" s="2"/>
      <c r="H103" s="6">
        <v>402</v>
      </c>
      <c r="I103" s="2"/>
      <c r="J103" s="7">
        <f t="shared" si="35"/>
        <v>5.7765559196478172E-3</v>
      </c>
      <c r="K103" s="2"/>
      <c r="L103" s="6">
        <f t="shared" si="36"/>
        <v>-402</v>
      </c>
      <c r="M103" s="2"/>
      <c r="N103" s="7">
        <f t="shared" si="37"/>
        <v>-1</v>
      </c>
      <c r="O103" s="11"/>
      <c r="P103" s="6">
        <v>2145.38</v>
      </c>
      <c r="Q103" s="2"/>
      <c r="R103" s="7">
        <f t="shared" si="38"/>
        <v>2.6333375541101049E-3</v>
      </c>
      <c r="S103" s="2"/>
      <c r="T103" s="6">
        <v>1822.86</v>
      </c>
      <c r="U103" s="2"/>
      <c r="V103" s="7">
        <f t="shared" si="39"/>
        <v>2.059404218876282E-3</v>
      </c>
      <c r="W103" s="2"/>
      <c r="X103" s="6">
        <f t="shared" si="40"/>
        <v>322.52000000000021</v>
      </c>
      <c r="Y103" s="2"/>
      <c r="Z103" s="7">
        <f t="shared" si="41"/>
        <v>0.17693075716182274</v>
      </c>
    </row>
    <row r="104" spans="1:26" s="25" customFormat="1" outlineLevel="1" collapsed="1" x14ac:dyDescent="0.25">
      <c r="A104" s="26"/>
      <c r="B104" s="13" t="str">
        <f>CONCATENATE("     ","Bad Debts/Over/Short                              ")</f>
        <v xml:space="preserve">     Bad Debts/Over/Short                              </v>
      </c>
      <c r="C104" s="13"/>
      <c r="D104" s="1">
        <f>SUM(OSRRefD22_3x_0)</f>
        <v>0</v>
      </c>
      <c r="E104" s="1"/>
      <c r="F104" s="5">
        <f t="shared" si="34"/>
        <v>0</v>
      </c>
      <c r="G104" s="1"/>
      <c r="H104" s="1">
        <f>SUM(OSRRefH22_3x_0)</f>
        <v>4.84</v>
      </c>
      <c r="I104" s="1"/>
      <c r="J104" s="5">
        <f t="shared" si="35"/>
        <v>6.9548583709192627E-5</v>
      </c>
      <c r="K104" s="1"/>
      <c r="L104" s="1">
        <f t="shared" si="36"/>
        <v>-4.84</v>
      </c>
      <c r="M104" s="1"/>
      <c r="N104" s="5">
        <f t="shared" si="37"/>
        <v>-1</v>
      </c>
      <c r="O104" s="13"/>
      <c r="P104" s="1">
        <f>SUM(OSRRefP22_3x_0)</f>
        <v>-55.84</v>
      </c>
      <c r="Q104" s="1"/>
      <c r="R104" s="5">
        <f t="shared" si="38"/>
        <v>-6.8540570445099825E-5</v>
      </c>
      <c r="S104" s="1"/>
      <c r="T104" s="1">
        <f>SUM(OSRRefT22_3x_0)</f>
        <v>15.38</v>
      </c>
      <c r="U104" s="1"/>
      <c r="V104" s="5">
        <f t="shared" si="39"/>
        <v>1.7375792373696949E-5</v>
      </c>
      <c r="W104" s="1"/>
      <c r="X104" s="1">
        <f t="shared" si="40"/>
        <v>-71.22</v>
      </c>
      <c r="Y104" s="1"/>
      <c r="Z104" s="5">
        <f t="shared" si="41"/>
        <v>-4.6306892067620282</v>
      </c>
    </row>
    <row r="105" spans="1:26" s="24" customFormat="1" hidden="1" outlineLevel="2" x14ac:dyDescent="0.25">
      <c r="A105" s="27"/>
      <c r="B105" s="11" t="str">
        <f>CONCATENATE("          ", "6272", " - ", "CASH (OVER/SHORT)")</f>
        <v xml:space="preserve">          6272 - CASH (OVER/SHORT)</v>
      </c>
      <c r="C105" s="11"/>
      <c r="D105" s="6"/>
      <c r="E105" s="2"/>
      <c r="F105" s="7">
        <f t="shared" si="34"/>
        <v>0</v>
      </c>
      <c r="G105" s="2"/>
      <c r="H105" s="6">
        <v>4.84</v>
      </c>
      <c r="I105" s="2"/>
      <c r="J105" s="7">
        <f t="shared" si="35"/>
        <v>6.9548583709192627E-5</v>
      </c>
      <c r="K105" s="2"/>
      <c r="L105" s="6">
        <f t="shared" si="36"/>
        <v>-4.84</v>
      </c>
      <c r="M105" s="2"/>
      <c r="N105" s="7">
        <f t="shared" si="37"/>
        <v>-1</v>
      </c>
      <c r="O105" s="11"/>
      <c r="P105" s="6">
        <v>-55.84</v>
      </c>
      <c r="Q105" s="2"/>
      <c r="R105" s="7">
        <f t="shared" si="38"/>
        <v>-6.8540570445099825E-5</v>
      </c>
      <c r="S105" s="2"/>
      <c r="T105" s="6">
        <v>15.38</v>
      </c>
      <c r="U105" s="2"/>
      <c r="V105" s="7">
        <f t="shared" si="39"/>
        <v>1.7375792373696949E-5</v>
      </c>
      <c r="W105" s="2"/>
      <c r="X105" s="6">
        <f t="shared" si="40"/>
        <v>-71.22</v>
      </c>
      <c r="Y105" s="2"/>
      <c r="Z105" s="7">
        <f t="shared" si="41"/>
        <v>-4.6306892067620282</v>
      </c>
    </row>
    <row r="106" spans="1:26" s="25" customFormat="1" outlineLevel="1" collapsed="1" x14ac:dyDescent="0.25">
      <c r="A106" s="26"/>
      <c r="B106" s="13" t="str">
        <f>CONCATENATE("     ","Discounts and Markdowns                           ")</f>
        <v xml:space="preserve">     Discounts and Markdowns                           </v>
      </c>
      <c r="C106" s="13"/>
      <c r="D106" s="1">
        <f>SUM(OSRRefD22_4x_0)</f>
        <v>425.01</v>
      </c>
      <c r="E106" s="1"/>
      <c r="F106" s="5">
        <f t="shared" si="34"/>
        <v>0.13450705116844319</v>
      </c>
      <c r="G106" s="1"/>
      <c r="H106" s="1">
        <f>SUM(OSRRefH22_4x_0)</f>
        <v>2332.65</v>
      </c>
      <c r="I106" s="1"/>
      <c r="J106" s="5">
        <f t="shared" si="35"/>
        <v>3.351911235315045E-2</v>
      </c>
      <c r="K106" s="1"/>
      <c r="L106" s="1">
        <f t="shared" si="36"/>
        <v>-1907.64</v>
      </c>
      <c r="M106" s="1"/>
      <c r="N106" s="5">
        <f t="shared" si="37"/>
        <v>-0.81779949842453858</v>
      </c>
      <c r="O106" s="13"/>
      <c r="P106" s="1">
        <f>SUM(OSRRefP22_4x_0)</f>
        <v>19142.66</v>
      </c>
      <c r="Q106" s="1"/>
      <c r="R106" s="5">
        <f t="shared" si="38"/>
        <v>2.3496576580168238E-2</v>
      </c>
      <c r="S106" s="1"/>
      <c r="T106" s="1">
        <f>SUM(OSRRefT22_4x_0)</f>
        <v>30254.11</v>
      </c>
      <c r="U106" s="1"/>
      <c r="V106" s="5">
        <f t="shared" si="39"/>
        <v>3.4180047712027865E-2</v>
      </c>
      <c r="W106" s="1"/>
      <c r="X106" s="1">
        <f t="shared" si="40"/>
        <v>-11111.45</v>
      </c>
      <c r="Y106" s="1"/>
      <c r="Z106" s="5">
        <f t="shared" si="41"/>
        <v>-0.36727076089827138</v>
      </c>
    </row>
    <row r="107" spans="1:26" s="24" customFormat="1" hidden="1" outlineLevel="2" x14ac:dyDescent="0.25">
      <c r="A107" s="27"/>
      <c r="B107" s="11" t="str">
        <f>CONCATENATE("          ", "6382", " - ", "DISCOUNTS/MARK DOWNS")</f>
        <v xml:space="preserve">          6382 - DISCOUNTS/MARK DOWNS</v>
      </c>
      <c r="C107" s="11"/>
      <c r="D107" s="6">
        <v>425.01</v>
      </c>
      <c r="E107" s="2"/>
      <c r="F107" s="7">
        <f t="shared" si="34"/>
        <v>0.13450705116844319</v>
      </c>
      <c r="G107" s="2"/>
      <c r="H107" s="6">
        <v>2353.5300000000002</v>
      </c>
      <c r="I107" s="2"/>
      <c r="J107" s="7">
        <f t="shared" si="35"/>
        <v>3.3819148391962012E-2</v>
      </c>
      <c r="K107" s="2"/>
      <c r="L107" s="6">
        <f t="shared" si="36"/>
        <v>-1928.5200000000002</v>
      </c>
      <c r="M107" s="2"/>
      <c r="N107" s="7">
        <f t="shared" si="37"/>
        <v>-0.81941594116072458</v>
      </c>
      <c r="O107" s="11"/>
      <c r="P107" s="6">
        <v>19142.66</v>
      </c>
      <c r="Q107" s="2"/>
      <c r="R107" s="7">
        <f t="shared" si="38"/>
        <v>2.3496576580168238E-2</v>
      </c>
      <c r="S107" s="2"/>
      <c r="T107" s="6">
        <v>29709.040000000001</v>
      </c>
      <c r="U107" s="2"/>
      <c r="V107" s="7">
        <f t="shared" si="39"/>
        <v>3.356424646696083E-2</v>
      </c>
      <c r="W107" s="2"/>
      <c r="X107" s="6">
        <f t="shared" si="40"/>
        <v>-10566.380000000001</v>
      </c>
      <c r="Y107" s="2"/>
      <c r="Z107" s="7">
        <f t="shared" si="41"/>
        <v>-0.35566211496568051</v>
      </c>
    </row>
    <row r="108" spans="1:26" s="24" customFormat="1" hidden="1" outlineLevel="2" x14ac:dyDescent="0.25">
      <c r="A108" s="27"/>
      <c r="B108" s="11" t="str">
        <f>CONCATENATE("          ", "9175", " - ", "EARNED DISCOUNTS")</f>
        <v xml:space="preserve">          9175 - EARNED DISCOUNTS</v>
      </c>
      <c r="C108" s="11"/>
      <c r="D108" s="6"/>
      <c r="E108" s="2"/>
      <c r="F108" s="7">
        <f t="shared" si="34"/>
        <v>0</v>
      </c>
      <c r="G108" s="2"/>
      <c r="H108" s="6">
        <v>-20.88</v>
      </c>
      <c r="I108" s="2"/>
      <c r="J108" s="7">
        <f t="shared" si="35"/>
        <v>-3.0003603881155824E-4</v>
      </c>
      <c r="K108" s="2"/>
      <c r="L108" s="6">
        <f t="shared" si="36"/>
        <v>20.88</v>
      </c>
      <c r="M108" s="2"/>
      <c r="N108" s="7">
        <f t="shared" si="37"/>
        <v>-1</v>
      </c>
      <c r="O108" s="11"/>
      <c r="P108" s="6">
        <v>0</v>
      </c>
      <c r="Q108" s="2"/>
      <c r="R108" s="7">
        <f t="shared" si="38"/>
        <v>0</v>
      </c>
      <c r="S108" s="2"/>
      <c r="T108" s="6">
        <v>545.07000000000005</v>
      </c>
      <c r="U108" s="2"/>
      <c r="V108" s="7">
        <f t="shared" si="39"/>
        <v>6.1580124506703483E-4</v>
      </c>
      <c r="W108" s="2"/>
      <c r="X108" s="6">
        <f t="shared" si="40"/>
        <v>-545.07000000000005</v>
      </c>
      <c r="Y108" s="2"/>
      <c r="Z108" s="7">
        <f t="shared" si="41"/>
        <v>-1</v>
      </c>
    </row>
    <row r="109" spans="1:26" s="25" customFormat="1" outlineLevel="1" collapsed="1" x14ac:dyDescent="0.25">
      <c r="A109" s="26"/>
      <c r="B109" s="13" t="str">
        <f>CONCATENATE("     ","Employees' Appreciation                           ")</f>
        <v xml:space="preserve">     Employees' Appreciation                           </v>
      </c>
      <c r="C109" s="13"/>
      <c r="D109" s="1">
        <f>SUM(OSRRefD22_5x_0)</f>
        <v>0</v>
      </c>
      <c r="E109" s="1"/>
      <c r="F109" s="5">
        <f t="shared" ref="F109:F123" si="42">IF(D$12=0,0,D109/D$12)</f>
        <v>0</v>
      </c>
      <c r="G109" s="1"/>
      <c r="H109" s="1">
        <f>SUM(OSRRefH22_5x_0)</f>
        <v>0</v>
      </c>
      <c r="I109" s="1"/>
      <c r="J109" s="5">
        <f t="shared" ref="J109:J123" si="43">IF(H$12=0,0,H109/H$12)</f>
        <v>0</v>
      </c>
      <c r="K109" s="1"/>
      <c r="L109" s="1">
        <f t="shared" ref="L109:L123" si="44">+D109-H109</f>
        <v>0</v>
      </c>
      <c r="M109" s="1"/>
      <c r="N109" s="5">
        <f t="shared" ref="N109:N123" si="45">IF(H109=0,0,L109/H109)</f>
        <v>0</v>
      </c>
      <c r="O109" s="13"/>
      <c r="P109" s="1">
        <f>SUM(OSRRefP22_5x_0)</f>
        <v>0</v>
      </c>
      <c r="Q109" s="1"/>
      <c r="R109" s="5">
        <f t="shared" ref="R109:R123" si="46">IF(P$12=0,0,P109/P$12)</f>
        <v>0</v>
      </c>
      <c r="S109" s="1"/>
      <c r="T109" s="1">
        <f>SUM(OSRRefT22_5x_0)</f>
        <v>77.849999999999994</v>
      </c>
      <c r="U109" s="1"/>
      <c r="V109" s="5">
        <f t="shared" ref="V109:V123" si="47">IF(T$12=0,0,T109/T$12)</f>
        <v>8.7952239030709194E-5</v>
      </c>
      <c r="W109" s="1"/>
      <c r="X109" s="1">
        <f t="shared" ref="X109:X123" si="48">+P109-T109</f>
        <v>-77.849999999999994</v>
      </c>
      <c r="Y109" s="1"/>
      <c r="Z109" s="5">
        <f t="shared" ref="Z109:Z123" si="49">IF(T109=0,0,X109/T109)</f>
        <v>-1</v>
      </c>
    </row>
    <row r="110" spans="1:26" s="24" customFormat="1" hidden="1" outlineLevel="2" x14ac:dyDescent="0.25">
      <c r="A110" s="27"/>
      <c r="B110" s="11" t="str">
        <f>CONCATENATE("          ", "6277", " - ", "EMPLOYEE APPRECIATION")</f>
        <v xml:space="preserve">          6277 - EMPLOYEE APPRECIATION</v>
      </c>
      <c r="C110" s="11"/>
      <c r="D110" s="6"/>
      <c r="E110" s="2"/>
      <c r="F110" s="7">
        <f t="shared" si="42"/>
        <v>0</v>
      </c>
      <c r="G110" s="2"/>
      <c r="H110" s="6"/>
      <c r="I110" s="2"/>
      <c r="J110" s="7">
        <f t="shared" si="43"/>
        <v>0</v>
      </c>
      <c r="K110" s="2"/>
      <c r="L110" s="6">
        <f t="shared" si="44"/>
        <v>0</v>
      </c>
      <c r="M110" s="2"/>
      <c r="N110" s="7">
        <f t="shared" si="45"/>
        <v>0</v>
      </c>
      <c r="O110" s="11"/>
      <c r="P110" s="6"/>
      <c r="Q110" s="2"/>
      <c r="R110" s="7">
        <f t="shared" si="46"/>
        <v>0</v>
      </c>
      <c r="S110" s="2"/>
      <c r="T110" s="6">
        <v>77.849999999999994</v>
      </c>
      <c r="U110" s="2"/>
      <c r="V110" s="7">
        <f t="shared" si="47"/>
        <v>8.7952239030709194E-5</v>
      </c>
      <c r="W110" s="2"/>
      <c r="X110" s="6">
        <f t="shared" si="48"/>
        <v>-77.849999999999994</v>
      </c>
      <c r="Y110" s="2"/>
      <c r="Z110" s="7">
        <f t="shared" si="49"/>
        <v>-1</v>
      </c>
    </row>
    <row r="111" spans="1:26" s="25" customFormat="1" outlineLevel="1" collapsed="1" x14ac:dyDescent="0.25">
      <c r="A111" s="26"/>
      <c r="B111" s="13" t="str">
        <f>CONCATENATE("     ","Freight out/Postage                               ")</f>
        <v xml:space="preserve">     Freight out/Postage                               </v>
      </c>
      <c r="C111" s="13"/>
      <c r="D111" s="1">
        <f>SUM(OSRRefD22_6x_0)</f>
        <v>0</v>
      </c>
      <c r="E111" s="1"/>
      <c r="F111" s="5">
        <f t="shared" si="42"/>
        <v>0</v>
      </c>
      <c r="G111" s="1"/>
      <c r="H111" s="1">
        <f>SUM(OSRRefH22_6x_0)</f>
        <v>0</v>
      </c>
      <c r="I111" s="1"/>
      <c r="J111" s="5">
        <f t="shared" si="43"/>
        <v>0</v>
      </c>
      <c r="K111" s="1"/>
      <c r="L111" s="1">
        <f t="shared" si="44"/>
        <v>0</v>
      </c>
      <c r="M111" s="1"/>
      <c r="N111" s="5">
        <f t="shared" si="45"/>
        <v>0</v>
      </c>
      <c r="O111" s="13"/>
      <c r="P111" s="1">
        <f>SUM(OSRRefP22_6x_0)</f>
        <v>15.81</v>
      </c>
      <c r="Q111" s="1"/>
      <c r="R111" s="5">
        <f t="shared" si="46"/>
        <v>1.9405917240992623E-5</v>
      </c>
      <c r="S111" s="1"/>
      <c r="T111" s="1">
        <f>SUM(OSRRefT22_6x_0)</f>
        <v>28.02</v>
      </c>
      <c r="U111" s="1"/>
      <c r="V111" s="5">
        <f t="shared" si="47"/>
        <v>3.1656027458451789E-5</v>
      </c>
      <c r="W111" s="1"/>
      <c r="X111" s="1">
        <f t="shared" si="48"/>
        <v>-12.209999999999999</v>
      </c>
      <c r="Y111" s="1"/>
      <c r="Z111" s="5">
        <f t="shared" si="49"/>
        <v>-0.43576017130620981</v>
      </c>
    </row>
    <row r="112" spans="1:26" s="24" customFormat="1" hidden="1" outlineLevel="2" x14ac:dyDescent="0.25">
      <c r="A112" s="27"/>
      <c r="B112" s="11" t="str">
        <f>CONCATENATE("          ", "6305", " - ", "FREIGHT OUT")</f>
        <v xml:space="preserve">          6305 - FREIGHT OUT</v>
      </c>
      <c r="C112" s="11"/>
      <c r="D112" s="6"/>
      <c r="E112" s="2"/>
      <c r="F112" s="7">
        <f t="shared" si="42"/>
        <v>0</v>
      </c>
      <c r="G112" s="2"/>
      <c r="H112" s="6"/>
      <c r="I112" s="2"/>
      <c r="J112" s="7">
        <f t="shared" si="43"/>
        <v>0</v>
      </c>
      <c r="K112" s="2"/>
      <c r="L112" s="6">
        <f t="shared" si="44"/>
        <v>0</v>
      </c>
      <c r="M112" s="2"/>
      <c r="N112" s="7">
        <f t="shared" si="45"/>
        <v>0</v>
      </c>
      <c r="O112" s="11"/>
      <c r="P112" s="6">
        <v>15.81</v>
      </c>
      <c r="Q112" s="2"/>
      <c r="R112" s="7">
        <f t="shared" si="46"/>
        <v>1.9405917240992623E-5</v>
      </c>
      <c r="S112" s="2"/>
      <c r="T112" s="6">
        <v>28.02</v>
      </c>
      <c r="U112" s="2"/>
      <c r="V112" s="7">
        <f t="shared" si="47"/>
        <v>3.1656027458451789E-5</v>
      </c>
      <c r="W112" s="2"/>
      <c r="X112" s="6">
        <f t="shared" si="48"/>
        <v>-12.209999999999999</v>
      </c>
      <c r="Y112" s="2"/>
      <c r="Z112" s="7">
        <f t="shared" si="49"/>
        <v>-0.43576017130620981</v>
      </c>
    </row>
    <row r="113" spans="1:26" s="25" customFormat="1" outlineLevel="1" collapsed="1" x14ac:dyDescent="0.25">
      <c r="A113" s="26"/>
      <c r="B113" s="13" t="str">
        <f>CONCATENATE("     ","General                                           ")</f>
        <v xml:space="preserve">     General                                           </v>
      </c>
      <c r="C113" s="13"/>
      <c r="D113" s="1">
        <f>SUM(OSRRefD22_7x_0)</f>
        <v>0</v>
      </c>
      <c r="E113" s="1"/>
      <c r="F113" s="5">
        <f t="shared" si="42"/>
        <v>0</v>
      </c>
      <c r="G113" s="1"/>
      <c r="H113" s="1">
        <f>SUM(OSRRefH22_7x_0)</f>
        <v>0</v>
      </c>
      <c r="I113" s="1"/>
      <c r="J113" s="5">
        <f t="shared" si="43"/>
        <v>0</v>
      </c>
      <c r="K113" s="1"/>
      <c r="L113" s="1">
        <f t="shared" si="44"/>
        <v>0</v>
      </c>
      <c r="M113" s="1"/>
      <c r="N113" s="5">
        <f t="shared" si="45"/>
        <v>0</v>
      </c>
      <c r="O113" s="13"/>
      <c r="P113" s="1">
        <f>SUM(OSRRefP22_7x_0)</f>
        <v>954.05</v>
      </c>
      <c r="Q113" s="1"/>
      <c r="R113" s="5">
        <f t="shared" si="46"/>
        <v>1.1710446137741311E-3</v>
      </c>
      <c r="S113" s="1"/>
      <c r="T113" s="1">
        <f>SUM(OSRRefT22_7x_0)</f>
        <v>829.2</v>
      </c>
      <c r="U113" s="1"/>
      <c r="V113" s="5">
        <f t="shared" si="47"/>
        <v>9.368014978068602E-4</v>
      </c>
      <c r="W113" s="1"/>
      <c r="X113" s="1">
        <f t="shared" si="48"/>
        <v>124.84999999999991</v>
      </c>
      <c r="Y113" s="1"/>
      <c r="Z113" s="5">
        <f t="shared" si="49"/>
        <v>0.15056681138446684</v>
      </c>
    </row>
    <row r="114" spans="1:26" s="24" customFormat="1" hidden="1" outlineLevel="2" x14ac:dyDescent="0.25">
      <c r="A114" s="27"/>
      <c r="B114" s="11" t="str">
        <f>CONCATENATE("          ", "6279", " - ", "GENERAL EXPENSE")</f>
        <v xml:space="preserve">          6279 - GENERAL EXPENSE</v>
      </c>
      <c r="C114" s="11"/>
      <c r="D114" s="6"/>
      <c r="E114" s="2"/>
      <c r="F114" s="7">
        <f t="shared" si="42"/>
        <v>0</v>
      </c>
      <c r="G114" s="2"/>
      <c r="H114" s="6"/>
      <c r="I114" s="2"/>
      <c r="J114" s="7">
        <f t="shared" si="43"/>
        <v>0</v>
      </c>
      <c r="K114" s="2"/>
      <c r="L114" s="6">
        <f t="shared" si="44"/>
        <v>0</v>
      </c>
      <c r="M114" s="2"/>
      <c r="N114" s="7">
        <f t="shared" si="45"/>
        <v>0</v>
      </c>
      <c r="O114" s="11"/>
      <c r="P114" s="6">
        <v>954.05</v>
      </c>
      <c r="Q114" s="2"/>
      <c r="R114" s="7">
        <f t="shared" si="46"/>
        <v>1.1710446137741311E-3</v>
      </c>
      <c r="S114" s="2"/>
      <c r="T114" s="6">
        <v>829.2</v>
      </c>
      <c r="U114" s="2"/>
      <c r="V114" s="7">
        <f t="shared" si="47"/>
        <v>9.368014978068602E-4</v>
      </c>
      <c r="W114" s="2"/>
      <c r="X114" s="6">
        <f t="shared" si="48"/>
        <v>124.84999999999991</v>
      </c>
      <c r="Y114" s="2"/>
      <c r="Z114" s="7">
        <f t="shared" si="49"/>
        <v>0.15056681138446684</v>
      </c>
    </row>
    <row r="115" spans="1:26" s="25" customFormat="1" outlineLevel="1" collapsed="1" x14ac:dyDescent="0.25">
      <c r="A115" s="26"/>
      <c r="B115" s="13" t="str">
        <f>CONCATENATE("     ","Inventory Adjustment                              ")</f>
        <v xml:space="preserve">     Inventory Adjustment                              </v>
      </c>
      <c r="C115" s="13"/>
      <c r="D115" s="1">
        <f>SUM(OSRRefD22_8x_0)</f>
        <v>0</v>
      </c>
      <c r="E115" s="1"/>
      <c r="F115" s="5">
        <f t="shared" si="42"/>
        <v>0</v>
      </c>
      <c r="G115" s="1"/>
      <c r="H115" s="1">
        <f>SUM(OSRRefH22_8x_0)</f>
        <v>400</v>
      </c>
      <c r="I115" s="1"/>
      <c r="J115" s="5">
        <f t="shared" si="43"/>
        <v>5.7478168354704647E-3</v>
      </c>
      <c r="K115" s="1"/>
      <c r="L115" s="1">
        <f t="shared" si="44"/>
        <v>-400</v>
      </c>
      <c r="M115" s="1"/>
      <c r="N115" s="5">
        <f t="shared" si="45"/>
        <v>-1</v>
      </c>
      <c r="O115" s="13"/>
      <c r="P115" s="1">
        <f>SUM(OSRRefP22_8x_0)</f>
        <v>0</v>
      </c>
      <c r="Q115" s="1"/>
      <c r="R115" s="5">
        <f t="shared" si="46"/>
        <v>0</v>
      </c>
      <c r="S115" s="1"/>
      <c r="T115" s="1">
        <f>SUM(OSRRefT22_8x_0)</f>
        <v>3600</v>
      </c>
      <c r="U115" s="1"/>
      <c r="V115" s="5">
        <f t="shared" si="47"/>
        <v>4.0671555621137204E-3</v>
      </c>
      <c r="W115" s="1"/>
      <c r="X115" s="1">
        <f t="shared" si="48"/>
        <v>-3600</v>
      </c>
      <c r="Y115" s="1"/>
      <c r="Z115" s="5">
        <f t="shared" si="49"/>
        <v>-1</v>
      </c>
    </row>
    <row r="116" spans="1:26" s="24" customFormat="1" hidden="1" outlineLevel="2" x14ac:dyDescent="0.25">
      <c r="A116" s="27"/>
      <c r="B116" s="11" t="str">
        <f>CONCATENATE("          ", "6408", " - ", "INVENTORY ADJUSTMENT")</f>
        <v xml:space="preserve">          6408 - INVENTORY ADJUSTMENT</v>
      </c>
      <c r="C116" s="11"/>
      <c r="D116" s="6"/>
      <c r="E116" s="2"/>
      <c r="F116" s="7">
        <f t="shared" si="42"/>
        <v>0</v>
      </c>
      <c r="G116" s="2"/>
      <c r="H116" s="6">
        <v>400</v>
      </c>
      <c r="I116" s="2"/>
      <c r="J116" s="7">
        <f t="shared" si="43"/>
        <v>5.7478168354704647E-3</v>
      </c>
      <c r="K116" s="2"/>
      <c r="L116" s="6">
        <f t="shared" si="44"/>
        <v>-400</v>
      </c>
      <c r="M116" s="2"/>
      <c r="N116" s="7">
        <f t="shared" si="45"/>
        <v>-1</v>
      </c>
      <c r="O116" s="11"/>
      <c r="P116" s="6"/>
      <c r="Q116" s="2"/>
      <c r="R116" s="7">
        <f t="shared" si="46"/>
        <v>0</v>
      </c>
      <c r="S116" s="2"/>
      <c r="T116" s="6">
        <v>3600</v>
      </c>
      <c r="U116" s="2"/>
      <c r="V116" s="7">
        <f t="shared" si="47"/>
        <v>4.0671555621137204E-3</v>
      </c>
      <c r="W116" s="2"/>
      <c r="X116" s="6">
        <f t="shared" si="48"/>
        <v>-3600</v>
      </c>
      <c r="Y116" s="2"/>
      <c r="Z116" s="7">
        <f t="shared" si="49"/>
        <v>-1</v>
      </c>
    </row>
    <row r="117" spans="1:26" s="25" customFormat="1" outlineLevel="1" collapsed="1" x14ac:dyDescent="0.25">
      <c r="A117" s="26"/>
      <c r="B117" s="13" t="str">
        <f>CONCATENATE("     ","Professional Services                             ")</f>
        <v xml:space="preserve">     Professional Services                             </v>
      </c>
      <c r="C117" s="13"/>
      <c r="D117" s="1">
        <f>SUM(OSRRefD22_9x_0)</f>
        <v>0</v>
      </c>
      <c r="E117" s="1"/>
      <c r="F117" s="5">
        <f t="shared" si="42"/>
        <v>0</v>
      </c>
      <c r="G117" s="1"/>
      <c r="H117" s="1">
        <f>SUM(OSRRefH22_9x_0)</f>
        <v>0</v>
      </c>
      <c r="I117" s="1"/>
      <c r="J117" s="5">
        <f t="shared" si="43"/>
        <v>0</v>
      </c>
      <c r="K117" s="1"/>
      <c r="L117" s="1">
        <f t="shared" si="44"/>
        <v>0</v>
      </c>
      <c r="M117" s="1"/>
      <c r="N117" s="5">
        <f t="shared" si="45"/>
        <v>0</v>
      </c>
      <c r="O117" s="13"/>
      <c r="P117" s="1">
        <f>SUM(OSRRefP22_9x_0)</f>
        <v>791.15</v>
      </c>
      <c r="Q117" s="1"/>
      <c r="R117" s="5">
        <f t="shared" si="46"/>
        <v>9.7109370178439678E-4</v>
      </c>
      <c r="S117" s="1"/>
      <c r="T117" s="1">
        <f>SUM(OSRRefT22_9x_0)</f>
        <v>750</v>
      </c>
      <c r="U117" s="1"/>
      <c r="V117" s="5">
        <f t="shared" si="47"/>
        <v>8.4732407544035838E-4</v>
      </c>
      <c r="W117" s="1"/>
      <c r="X117" s="1">
        <f t="shared" si="48"/>
        <v>41.149999999999977</v>
      </c>
      <c r="Y117" s="1"/>
      <c r="Z117" s="5">
        <f t="shared" si="49"/>
        <v>5.4866666666666633E-2</v>
      </c>
    </row>
    <row r="118" spans="1:26" s="24" customFormat="1" hidden="1" outlineLevel="2" x14ac:dyDescent="0.25">
      <c r="A118" s="27"/>
      <c r="B118" s="11" t="str">
        <f>CONCATENATE("          ", "6336", " - ", "PROFESSIONAL SERVICES")</f>
        <v xml:space="preserve">          6336 - PROFESSIONAL SERVICES</v>
      </c>
      <c r="C118" s="11"/>
      <c r="D118" s="6"/>
      <c r="E118" s="2"/>
      <c r="F118" s="7">
        <f t="shared" si="42"/>
        <v>0</v>
      </c>
      <c r="G118" s="2"/>
      <c r="H118" s="6"/>
      <c r="I118" s="2"/>
      <c r="J118" s="7">
        <f t="shared" si="43"/>
        <v>0</v>
      </c>
      <c r="K118" s="2"/>
      <c r="L118" s="6">
        <f t="shared" si="44"/>
        <v>0</v>
      </c>
      <c r="M118" s="2"/>
      <c r="N118" s="7">
        <f t="shared" si="45"/>
        <v>0</v>
      </c>
      <c r="O118" s="11"/>
      <c r="P118" s="6">
        <v>791.15</v>
      </c>
      <c r="Q118" s="2"/>
      <c r="R118" s="7">
        <f t="shared" si="46"/>
        <v>9.7109370178439678E-4</v>
      </c>
      <c r="S118" s="2"/>
      <c r="T118" s="6">
        <v>750</v>
      </c>
      <c r="U118" s="2"/>
      <c r="V118" s="7">
        <f t="shared" si="47"/>
        <v>8.4732407544035838E-4</v>
      </c>
      <c r="W118" s="2"/>
      <c r="X118" s="6">
        <f t="shared" si="48"/>
        <v>41.149999999999977</v>
      </c>
      <c r="Y118" s="2"/>
      <c r="Z118" s="7">
        <f t="shared" si="49"/>
        <v>5.4866666666666633E-2</v>
      </c>
    </row>
    <row r="119" spans="1:26" s="25" customFormat="1" outlineLevel="1" collapsed="1" x14ac:dyDescent="0.25">
      <c r="A119" s="26"/>
      <c r="B119" s="13" t="str">
        <f>CONCATENATE("     ","Rent                                              ")</f>
        <v xml:space="preserve">     Rent                                              </v>
      </c>
      <c r="C119" s="13"/>
      <c r="D119" s="1">
        <f>SUM(OSRRefD22_10x_0)</f>
        <v>0</v>
      </c>
      <c r="E119" s="1"/>
      <c r="F119" s="5">
        <f t="shared" si="42"/>
        <v>0</v>
      </c>
      <c r="G119" s="1"/>
      <c r="H119" s="1">
        <f>SUM(OSRRefH22_10x_0)</f>
        <v>0</v>
      </c>
      <c r="I119" s="1"/>
      <c r="J119" s="5">
        <f t="shared" si="43"/>
        <v>0</v>
      </c>
      <c r="K119" s="1"/>
      <c r="L119" s="1">
        <f t="shared" si="44"/>
        <v>0</v>
      </c>
      <c r="M119" s="1"/>
      <c r="N119" s="5">
        <f t="shared" si="45"/>
        <v>0</v>
      </c>
      <c r="O119" s="13"/>
      <c r="P119" s="1">
        <f>SUM(OSRRefP22_10x_0)</f>
        <v>0</v>
      </c>
      <c r="Q119" s="1"/>
      <c r="R119" s="5">
        <f t="shared" si="46"/>
        <v>0</v>
      </c>
      <c r="S119" s="1"/>
      <c r="T119" s="1">
        <f>SUM(OSRRefT22_10x_0)</f>
        <v>0</v>
      </c>
      <c r="U119" s="1"/>
      <c r="V119" s="5">
        <f t="shared" si="47"/>
        <v>0</v>
      </c>
      <c r="W119" s="1"/>
      <c r="X119" s="1">
        <f t="shared" si="48"/>
        <v>0</v>
      </c>
      <c r="Y119" s="1"/>
      <c r="Z119" s="5">
        <f t="shared" si="49"/>
        <v>0</v>
      </c>
    </row>
    <row r="120" spans="1:26" s="24" customFormat="1" hidden="1" outlineLevel="2" x14ac:dyDescent="0.25">
      <c r="A120" s="27"/>
      <c r="B120" s="11" t="str">
        <f>CONCATENATE("          ", "6273", " - ", "RENT")</f>
        <v xml:space="preserve">          6273 - RENT</v>
      </c>
      <c r="C120" s="11"/>
      <c r="D120" s="6"/>
      <c r="E120" s="2"/>
      <c r="F120" s="7">
        <f t="shared" si="42"/>
        <v>0</v>
      </c>
      <c r="G120" s="2"/>
      <c r="H120" s="6"/>
      <c r="I120" s="2"/>
      <c r="J120" s="7">
        <f t="shared" si="43"/>
        <v>0</v>
      </c>
      <c r="K120" s="2"/>
      <c r="L120" s="6">
        <f t="shared" si="44"/>
        <v>0</v>
      </c>
      <c r="M120" s="2"/>
      <c r="N120" s="7">
        <f t="shared" si="45"/>
        <v>0</v>
      </c>
      <c r="O120" s="11"/>
      <c r="P120" s="6"/>
      <c r="Q120" s="2"/>
      <c r="R120" s="7">
        <f t="shared" si="46"/>
        <v>0</v>
      </c>
      <c r="S120" s="2"/>
      <c r="T120" s="6">
        <v>0</v>
      </c>
      <c r="U120" s="2"/>
      <c r="V120" s="7">
        <f t="shared" si="47"/>
        <v>0</v>
      </c>
      <c r="W120" s="2"/>
      <c r="X120" s="6">
        <f t="shared" si="48"/>
        <v>0</v>
      </c>
      <c r="Y120" s="2"/>
      <c r="Z120" s="7">
        <f t="shared" si="49"/>
        <v>0</v>
      </c>
    </row>
    <row r="121" spans="1:26" s="25" customFormat="1" outlineLevel="1" collapsed="1" x14ac:dyDescent="0.25">
      <c r="A121" s="26"/>
      <c r="B121" s="13" t="str">
        <f>CONCATENATE("     ","Repair and Maintenance                            ")</f>
        <v xml:space="preserve">     Repair and Maintenance                            </v>
      </c>
      <c r="C121" s="13"/>
      <c r="D121" s="1">
        <f>SUM(OSRRefD22_11x_0)</f>
        <v>0</v>
      </c>
      <c r="E121" s="1"/>
      <c r="F121" s="5">
        <f t="shared" si="42"/>
        <v>0</v>
      </c>
      <c r="G121" s="1"/>
      <c r="H121" s="1">
        <f>SUM(OSRRefH22_11x_0)</f>
        <v>1027.5</v>
      </c>
      <c r="I121" s="1"/>
      <c r="J121" s="5">
        <f t="shared" si="43"/>
        <v>1.4764704496114757E-2</v>
      </c>
      <c r="K121" s="1"/>
      <c r="L121" s="1">
        <f t="shared" si="44"/>
        <v>-1027.5</v>
      </c>
      <c r="M121" s="1"/>
      <c r="N121" s="5">
        <f t="shared" si="45"/>
        <v>-1</v>
      </c>
      <c r="O121" s="13"/>
      <c r="P121" s="1">
        <f>SUM(OSRRefP22_11x_0)</f>
        <v>190.64000000000001</v>
      </c>
      <c r="Q121" s="1"/>
      <c r="R121" s="5">
        <f t="shared" si="46"/>
        <v>2.3400025697804138E-4</v>
      </c>
      <c r="S121" s="1"/>
      <c r="T121" s="1">
        <f>SUM(OSRRefT22_11x_0)</f>
        <v>1736.73</v>
      </c>
      <c r="U121" s="1"/>
      <c r="V121" s="5">
        <f t="shared" si="47"/>
        <v>1.9620975220527113E-3</v>
      </c>
      <c r="W121" s="1"/>
      <c r="X121" s="1">
        <f t="shared" si="48"/>
        <v>-1546.09</v>
      </c>
      <c r="Y121" s="1"/>
      <c r="Z121" s="5">
        <f t="shared" si="49"/>
        <v>-0.8902304906346985</v>
      </c>
    </row>
    <row r="122" spans="1:26" s="24" customFormat="1" hidden="1" outlineLevel="2" x14ac:dyDescent="0.25">
      <c r="A122" s="27"/>
      <c r="B122" s="11" t="str">
        <f>CONCATENATE("          ", "6373", " - ", "MAINTENANCE CONTRACTS")</f>
        <v xml:space="preserve">          6373 - MAINTENANCE CONTRACTS</v>
      </c>
      <c r="C122" s="11"/>
      <c r="D122" s="6"/>
      <c r="E122" s="2"/>
      <c r="F122" s="7">
        <f t="shared" si="42"/>
        <v>0</v>
      </c>
      <c r="G122" s="2"/>
      <c r="H122" s="6"/>
      <c r="I122" s="2"/>
      <c r="J122" s="7">
        <f t="shared" si="43"/>
        <v>0</v>
      </c>
      <c r="K122" s="2"/>
      <c r="L122" s="6">
        <f t="shared" si="44"/>
        <v>0</v>
      </c>
      <c r="M122" s="2"/>
      <c r="N122" s="7">
        <f t="shared" si="45"/>
        <v>0</v>
      </c>
      <c r="O122" s="11"/>
      <c r="P122" s="6">
        <v>180.84</v>
      </c>
      <c r="Q122" s="2"/>
      <c r="R122" s="7">
        <f t="shared" si="46"/>
        <v>2.2197128866926667E-4</v>
      </c>
      <c r="S122" s="2"/>
      <c r="T122" s="6">
        <v>157.86000000000001</v>
      </c>
      <c r="U122" s="2"/>
      <c r="V122" s="7">
        <f t="shared" si="47"/>
        <v>1.7834477139868664E-4</v>
      </c>
      <c r="W122" s="2"/>
      <c r="X122" s="6">
        <f t="shared" si="48"/>
        <v>22.97999999999999</v>
      </c>
      <c r="Y122" s="2"/>
      <c r="Z122" s="7">
        <f t="shared" si="49"/>
        <v>0.14557202584568599</v>
      </c>
    </row>
    <row r="123" spans="1:26" s="24" customFormat="1" hidden="1" outlineLevel="2" x14ac:dyDescent="0.25">
      <c r="A123" s="27"/>
      <c r="B123" s="11" t="str">
        <f>CONCATENATE("          ", "6375", " - ", "OUTSIDE REPAIRS &amp; MAINTENANCE")</f>
        <v xml:space="preserve">          6375 - OUTSIDE REPAIRS &amp; MAINTENANCE</v>
      </c>
      <c r="C123" s="11"/>
      <c r="D123" s="6"/>
      <c r="E123" s="2"/>
      <c r="F123" s="7">
        <f t="shared" si="42"/>
        <v>0</v>
      </c>
      <c r="G123" s="2"/>
      <c r="H123" s="6">
        <v>1027.5</v>
      </c>
      <c r="I123" s="2"/>
      <c r="J123" s="7">
        <f t="shared" si="43"/>
        <v>1.4764704496114757E-2</v>
      </c>
      <c r="K123" s="2"/>
      <c r="L123" s="6">
        <f t="shared" si="44"/>
        <v>-1027.5</v>
      </c>
      <c r="M123" s="2"/>
      <c r="N123" s="7">
        <f t="shared" si="45"/>
        <v>-1</v>
      </c>
      <c r="O123" s="11"/>
      <c r="P123" s="6">
        <v>9.8000000000000007</v>
      </c>
      <c r="Q123" s="2"/>
      <c r="R123" s="7">
        <f t="shared" si="46"/>
        <v>1.2028968308774682E-5</v>
      </c>
      <c r="S123" s="2"/>
      <c r="T123" s="6">
        <v>1578.87</v>
      </c>
      <c r="U123" s="2"/>
      <c r="V123" s="7">
        <f t="shared" si="47"/>
        <v>1.7837527506540246E-3</v>
      </c>
      <c r="W123" s="2"/>
      <c r="X123" s="6">
        <f t="shared" si="48"/>
        <v>-1569.07</v>
      </c>
      <c r="Y123" s="2"/>
      <c r="Z123" s="7">
        <f t="shared" si="49"/>
        <v>-0.99379302919176371</v>
      </c>
    </row>
    <row r="124" spans="1:26" s="25" customFormat="1" outlineLevel="1" collapsed="1" x14ac:dyDescent="0.25">
      <c r="A124" s="26"/>
      <c r="B124" s="13" t="str">
        <f>CONCATENATE("     ","Services                                          ")</f>
        <v xml:space="preserve">     Services                                          </v>
      </c>
      <c r="C124" s="13"/>
      <c r="D124" s="1">
        <f>SUM(OSRRefD22_12x_0)</f>
        <v>196.55</v>
      </c>
      <c r="E124" s="1"/>
      <c r="F124" s="5">
        <f t="shared" ref="F124:F126" si="50">IF(D$12=0,0,D124/D$12)</f>
        <v>6.2204091449983553E-2</v>
      </c>
      <c r="G124" s="1"/>
      <c r="H124" s="1">
        <f>SUM(OSRRefH22_12x_0)</f>
        <v>273.8</v>
      </c>
      <c r="I124" s="1"/>
      <c r="J124" s="5">
        <f t="shared" ref="J124:J126" si="51">IF(H$12=0,0,H124/H$12)</f>
        <v>3.9343806238795334E-3</v>
      </c>
      <c r="K124" s="1"/>
      <c r="L124" s="1">
        <f t="shared" ref="L124:L126" si="52">+D124-H124</f>
        <v>-77.25</v>
      </c>
      <c r="M124" s="1"/>
      <c r="N124" s="5">
        <f t="shared" ref="N124:N126" si="53">IF(H124=0,0,L124/H124)</f>
        <v>-0.28214024835646456</v>
      </c>
      <c r="O124" s="13"/>
      <c r="P124" s="1">
        <f>SUM(OSRRefP22_12x_0)</f>
        <v>2015.16</v>
      </c>
      <c r="Q124" s="1"/>
      <c r="R124" s="5">
        <f t="shared" ref="R124:R126" si="54">IF(P$12=0,0,P124/P$12)</f>
        <v>2.4734995690928966E-3</v>
      </c>
      <c r="S124" s="1"/>
      <c r="T124" s="1">
        <f>SUM(OSRRefT22_12x_0)</f>
        <v>2109.83</v>
      </c>
      <c r="U124" s="1"/>
      <c r="V124" s="5">
        <f t="shared" ref="V124:V126" si="55">IF(T$12=0,0,T124/T$12)</f>
        <v>2.3836130054484417E-3</v>
      </c>
      <c r="W124" s="1"/>
      <c r="X124" s="1">
        <f t="shared" ref="X124:X126" si="56">+P124-T124</f>
        <v>-94.669999999999845</v>
      </c>
      <c r="Y124" s="1"/>
      <c r="Z124" s="5">
        <f t="shared" ref="Z124:Z126" si="57">IF(T124=0,0,X124/T124)</f>
        <v>-4.4870913770303694E-2</v>
      </c>
    </row>
    <row r="125" spans="1:26" s="24" customFormat="1" hidden="1" outlineLevel="2" x14ac:dyDescent="0.25">
      <c r="A125" s="27"/>
      <c r="B125" s="11" t="str">
        <f>CONCATENATE("          ", "6282", " - ", "JANITORIAL/EXTERMINATOR EXPENS")</f>
        <v xml:space="preserve">          6282 - JANITORIAL/EXTERMINATOR EXPENS</v>
      </c>
      <c r="C125" s="11"/>
      <c r="D125" s="6">
        <v>88</v>
      </c>
      <c r="E125" s="2"/>
      <c r="F125" s="7">
        <f t="shared" si="50"/>
        <v>2.7850216472137125E-2</v>
      </c>
      <c r="G125" s="2"/>
      <c r="H125" s="6">
        <v>41.5</v>
      </c>
      <c r="I125" s="2"/>
      <c r="J125" s="7">
        <f t="shared" si="51"/>
        <v>5.9633599668006078E-4</v>
      </c>
      <c r="K125" s="2"/>
      <c r="L125" s="6">
        <f t="shared" si="52"/>
        <v>46.5</v>
      </c>
      <c r="M125" s="2"/>
      <c r="N125" s="7">
        <f t="shared" si="53"/>
        <v>1.1204819277108433</v>
      </c>
      <c r="O125" s="11"/>
      <c r="P125" s="6">
        <v>461.02</v>
      </c>
      <c r="Q125" s="2"/>
      <c r="R125" s="7">
        <f t="shared" si="54"/>
        <v>5.6587703772564314E-4</v>
      </c>
      <c r="S125" s="2"/>
      <c r="T125" s="6">
        <v>366.79</v>
      </c>
      <c r="U125" s="2"/>
      <c r="V125" s="7">
        <f t="shared" si="55"/>
        <v>4.1438666350769208E-4</v>
      </c>
      <c r="W125" s="2"/>
      <c r="X125" s="6">
        <f t="shared" si="56"/>
        <v>94.229999999999961</v>
      </c>
      <c r="Y125" s="2"/>
      <c r="Z125" s="7">
        <f t="shared" si="57"/>
        <v>0.25690449576051677</v>
      </c>
    </row>
    <row r="126" spans="1:26" s="24" customFormat="1" hidden="1" outlineLevel="2" x14ac:dyDescent="0.25">
      <c r="A126" s="27"/>
      <c r="B126" s="11" t="str">
        <f>CONCATENATE("          ", "6285", " - ", "JANITORIAL SERVICES")</f>
        <v xml:space="preserve">          6285 - JANITORIAL SERVICES</v>
      </c>
      <c r="C126" s="11"/>
      <c r="D126" s="6">
        <v>108.55</v>
      </c>
      <c r="E126" s="2"/>
      <c r="F126" s="7">
        <f t="shared" si="50"/>
        <v>3.4353874977846421E-2</v>
      </c>
      <c r="G126" s="2"/>
      <c r="H126" s="6">
        <v>232.3</v>
      </c>
      <c r="I126" s="2"/>
      <c r="J126" s="7">
        <f t="shared" si="51"/>
        <v>3.3380446271994726E-3</v>
      </c>
      <c r="K126" s="2"/>
      <c r="L126" s="6">
        <f t="shared" si="52"/>
        <v>-123.75000000000001</v>
      </c>
      <c r="M126" s="2"/>
      <c r="N126" s="7">
        <f t="shared" si="53"/>
        <v>-0.53271631510977191</v>
      </c>
      <c r="O126" s="11"/>
      <c r="P126" s="6">
        <v>1554.14</v>
      </c>
      <c r="Q126" s="2"/>
      <c r="R126" s="7">
        <f t="shared" si="54"/>
        <v>1.9076225313672535E-3</v>
      </c>
      <c r="S126" s="2"/>
      <c r="T126" s="6">
        <v>1743.04</v>
      </c>
      <c r="U126" s="2"/>
      <c r="V126" s="7">
        <f t="shared" si="55"/>
        <v>1.9692263419407497E-3</v>
      </c>
      <c r="W126" s="2"/>
      <c r="X126" s="6">
        <f t="shared" si="56"/>
        <v>-188.89999999999986</v>
      </c>
      <c r="Y126" s="2"/>
      <c r="Z126" s="7">
        <f t="shared" si="57"/>
        <v>-0.1083738755278134</v>
      </c>
    </row>
    <row r="127" spans="1:26" s="25" customFormat="1" outlineLevel="1" collapsed="1" x14ac:dyDescent="0.25">
      <c r="A127" s="26"/>
      <c r="B127" s="13" t="str">
        <f>CONCATENATE("     ","Subscriptions &amp; Dues                              ")</f>
        <v xml:space="preserve">     Subscriptions &amp; Dues                              </v>
      </c>
      <c r="C127" s="13"/>
      <c r="D127" s="1">
        <f>SUM(OSRRefD22_13x_0)</f>
        <v>0</v>
      </c>
      <c r="E127" s="1"/>
      <c r="F127" s="5">
        <f t="shared" ref="F127:F132" si="58">IF(D$12=0,0,D127/D$12)</f>
        <v>0</v>
      </c>
      <c r="G127" s="1"/>
      <c r="H127" s="1">
        <f>SUM(OSRRefH22_13x_0)</f>
        <v>0</v>
      </c>
      <c r="I127" s="1"/>
      <c r="J127" s="5">
        <f t="shared" ref="J127:J132" si="59">IF(H$12=0,0,H127/H$12)</f>
        <v>0</v>
      </c>
      <c r="K127" s="1"/>
      <c r="L127" s="1">
        <f t="shared" ref="L127:L132" si="60">+D127-H127</f>
        <v>0</v>
      </c>
      <c r="M127" s="1"/>
      <c r="N127" s="5">
        <f t="shared" ref="N127:N132" si="61">IF(H127=0,0,L127/H127)</f>
        <v>0</v>
      </c>
      <c r="O127" s="13"/>
      <c r="P127" s="1">
        <f>SUM(OSRRefP22_13x_0)</f>
        <v>120</v>
      </c>
      <c r="Q127" s="1"/>
      <c r="R127" s="5">
        <f t="shared" ref="R127:R132" si="62">IF(P$12=0,0,P127/P$12)</f>
        <v>1.4729348949520018E-4</v>
      </c>
      <c r="S127" s="1"/>
      <c r="T127" s="1">
        <f>SUM(OSRRefT22_13x_0)</f>
        <v>172.34</v>
      </c>
      <c r="U127" s="1"/>
      <c r="V127" s="5">
        <f t="shared" ref="V127:V132" si="63">IF(T$12=0,0,T127/T$12)</f>
        <v>1.9470377488185514E-4</v>
      </c>
      <c r="W127" s="1"/>
      <c r="X127" s="1">
        <f t="shared" ref="X127:X132" si="64">+P127-T127</f>
        <v>-52.34</v>
      </c>
      <c r="Y127" s="1"/>
      <c r="Z127" s="5">
        <f t="shared" ref="Z127:Z132" si="65">IF(T127=0,0,X127/T127)</f>
        <v>-0.30370198444934432</v>
      </c>
    </row>
    <row r="128" spans="1:26" s="24" customFormat="1" hidden="1" outlineLevel="2" x14ac:dyDescent="0.25">
      <c r="A128" s="27"/>
      <c r="B128" s="11" t="str">
        <f>CONCATENATE("          ", "6258", " - ", "MEMBERSHIP DUES")</f>
        <v xml:space="preserve">          6258 - MEMBERSHIP DUES</v>
      </c>
      <c r="C128" s="11"/>
      <c r="D128" s="6"/>
      <c r="E128" s="2"/>
      <c r="F128" s="7">
        <f t="shared" si="58"/>
        <v>0</v>
      </c>
      <c r="G128" s="2"/>
      <c r="H128" s="6"/>
      <c r="I128" s="2"/>
      <c r="J128" s="7">
        <f t="shared" si="59"/>
        <v>0</v>
      </c>
      <c r="K128" s="2"/>
      <c r="L128" s="6">
        <f t="shared" si="60"/>
        <v>0</v>
      </c>
      <c r="M128" s="2"/>
      <c r="N128" s="7">
        <f t="shared" si="61"/>
        <v>0</v>
      </c>
      <c r="O128" s="11"/>
      <c r="P128" s="6">
        <v>120</v>
      </c>
      <c r="Q128" s="2"/>
      <c r="R128" s="7">
        <f t="shared" si="62"/>
        <v>1.4729348949520018E-4</v>
      </c>
      <c r="S128" s="2"/>
      <c r="T128" s="6">
        <v>172.34</v>
      </c>
      <c r="U128" s="2"/>
      <c r="V128" s="7">
        <f t="shared" si="63"/>
        <v>1.9470377488185514E-4</v>
      </c>
      <c r="W128" s="2"/>
      <c r="X128" s="6">
        <f t="shared" si="64"/>
        <v>-52.34</v>
      </c>
      <c r="Y128" s="2"/>
      <c r="Z128" s="7">
        <f t="shared" si="65"/>
        <v>-0.30370198444934432</v>
      </c>
    </row>
    <row r="129" spans="1:26" s="25" customFormat="1" outlineLevel="1" collapsed="1" x14ac:dyDescent="0.25">
      <c r="A129" s="26"/>
      <c r="B129" s="13" t="str">
        <f>CONCATENATE("     ","Supplies                                          ")</f>
        <v xml:space="preserve">     Supplies                                          </v>
      </c>
      <c r="C129" s="13"/>
      <c r="D129" s="1">
        <f>SUM(OSRRefD22_14x_0)</f>
        <v>103.23</v>
      </c>
      <c r="E129" s="1"/>
      <c r="F129" s="5">
        <f t="shared" si="58"/>
        <v>3.2670202800212676E-2</v>
      </c>
      <c r="G129" s="1"/>
      <c r="H129" s="1">
        <f>SUM(OSRRefH22_14x_0)</f>
        <v>60.49</v>
      </c>
      <c r="I129" s="1"/>
      <c r="J129" s="5">
        <f t="shared" si="59"/>
        <v>8.6921360094402108E-4</v>
      </c>
      <c r="K129" s="1"/>
      <c r="L129" s="1">
        <f t="shared" si="60"/>
        <v>42.74</v>
      </c>
      <c r="M129" s="1"/>
      <c r="N129" s="5">
        <f t="shared" si="61"/>
        <v>0.70656306827574811</v>
      </c>
      <c r="O129" s="13"/>
      <c r="P129" s="1">
        <f>SUM(OSRRefP22_14x_0)</f>
        <v>1967.59</v>
      </c>
      <c r="Q129" s="1"/>
      <c r="R129" s="5">
        <f t="shared" si="62"/>
        <v>2.4151099749655076E-3</v>
      </c>
      <c r="S129" s="1"/>
      <c r="T129" s="1">
        <f>SUM(OSRRefT22_14x_0)</f>
        <v>1504.0900000000001</v>
      </c>
      <c r="U129" s="1"/>
      <c r="V129" s="5">
        <f t="shared" si="63"/>
        <v>1.6992688915054516E-3</v>
      </c>
      <c r="W129" s="1"/>
      <c r="X129" s="1">
        <f t="shared" si="64"/>
        <v>463.49999999999977</v>
      </c>
      <c r="Y129" s="1"/>
      <c r="Z129" s="5">
        <f t="shared" si="65"/>
        <v>0.30815975107872517</v>
      </c>
    </row>
    <row r="130" spans="1:26" s="24" customFormat="1" hidden="1" outlineLevel="2" x14ac:dyDescent="0.25">
      <c r="A130" s="27"/>
      <c r="B130" s="11" t="str">
        <f>CONCATENATE("          ", "6241", " - ", "OFFICE EXPENSE")</f>
        <v xml:space="preserve">          6241 - OFFICE EXPENSE</v>
      </c>
      <c r="C130" s="11"/>
      <c r="D130" s="6"/>
      <c r="E130" s="2"/>
      <c r="F130" s="7">
        <f t="shared" si="58"/>
        <v>0</v>
      </c>
      <c r="G130" s="2"/>
      <c r="H130" s="6">
        <v>60.49</v>
      </c>
      <c r="I130" s="2"/>
      <c r="J130" s="7">
        <f t="shared" si="59"/>
        <v>8.6921360094402108E-4</v>
      </c>
      <c r="K130" s="2"/>
      <c r="L130" s="6">
        <f t="shared" si="60"/>
        <v>-60.49</v>
      </c>
      <c r="M130" s="2"/>
      <c r="N130" s="7">
        <f t="shared" si="61"/>
        <v>-1</v>
      </c>
      <c r="O130" s="11"/>
      <c r="P130" s="6">
        <v>1673.46</v>
      </c>
      <c r="Q130" s="2"/>
      <c r="R130" s="7">
        <f t="shared" si="62"/>
        <v>2.0540813577553142E-3</v>
      </c>
      <c r="S130" s="2"/>
      <c r="T130" s="6">
        <v>1502.16</v>
      </c>
      <c r="U130" s="2"/>
      <c r="V130" s="7">
        <f t="shared" si="63"/>
        <v>1.6970884442179849E-3</v>
      </c>
      <c r="W130" s="2"/>
      <c r="X130" s="6">
        <f t="shared" si="64"/>
        <v>171.29999999999995</v>
      </c>
      <c r="Y130" s="2"/>
      <c r="Z130" s="7">
        <f t="shared" si="65"/>
        <v>0.11403578846461092</v>
      </c>
    </row>
    <row r="131" spans="1:26" s="24" customFormat="1" hidden="1" outlineLevel="2" x14ac:dyDescent="0.25">
      <c r="A131" s="27"/>
      <c r="B131" s="11" t="str">
        <f>CONCATENATE("          ", "6245", " - ", "PRINTING")</f>
        <v xml:space="preserve">          6245 - PRINTING</v>
      </c>
      <c r="C131" s="11"/>
      <c r="D131" s="6"/>
      <c r="E131" s="2"/>
      <c r="F131" s="7">
        <f t="shared" si="58"/>
        <v>0</v>
      </c>
      <c r="G131" s="2"/>
      <c r="H131" s="6"/>
      <c r="I131" s="2"/>
      <c r="J131" s="7">
        <f t="shared" si="59"/>
        <v>0</v>
      </c>
      <c r="K131" s="2"/>
      <c r="L131" s="6">
        <f t="shared" si="60"/>
        <v>0</v>
      </c>
      <c r="M131" s="2"/>
      <c r="N131" s="7">
        <f t="shared" si="61"/>
        <v>0</v>
      </c>
      <c r="O131" s="11"/>
      <c r="P131" s="6">
        <v>22.05</v>
      </c>
      <c r="Q131" s="2"/>
      <c r="R131" s="7">
        <f t="shared" si="62"/>
        <v>2.7065178694743033E-5</v>
      </c>
      <c r="S131" s="2"/>
      <c r="T131" s="6">
        <v>3.53</v>
      </c>
      <c r="U131" s="2"/>
      <c r="V131" s="7">
        <f t="shared" si="63"/>
        <v>3.988071981739286E-6</v>
      </c>
      <c r="W131" s="2"/>
      <c r="X131" s="6">
        <f t="shared" si="64"/>
        <v>18.52</v>
      </c>
      <c r="Y131" s="2"/>
      <c r="Z131" s="7">
        <f t="shared" si="65"/>
        <v>5.2464589235127477</v>
      </c>
    </row>
    <row r="132" spans="1:26" s="24" customFormat="1" hidden="1" outlineLevel="2" x14ac:dyDescent="0.25">
      <c r="A132" s="27"/>
      <c r="B132" s="11" t="str">
        <f>CONCATENATE("          ", "6247", " - ", "STORE SUPPLIES")</f>
        <v xml:space="preserve">          6247 - STORE SUPPLIES</v>
      </c>
      <c r="C132" s="11"/>
      <c r="D132" s="6">
        <v>103.23</v>
      </c>
      <c r="E132" s="2"/>
      <c r="F132" s="7">
        <f t="shared" si="58"/>
        <v>3.2670202800212676E-2</v>
      </c>
      <c r="G132" s="2"/>
      <c r="H132" s="6"/>
      <c r="I132" s="2"/>
      <c r="J132" s="7">
        <f t="shared" si="59"/>
        <v>0</v>
      </c>
      <c r="K132" s="2"/>
      <c r="L132" s="6">
        <f t="shared" si="60"/>
        <v>103.23</v>
      </c>
      <c r="M132" s="2"/>
      <c r="N132" s="7">
        <f t="shared" si="61"/>
        <v>0</v>
      </c>
      <c r="O132" s="11"/>
      <c r="P132" s="6">
        <v>272.08</v>
      </c>
      <c r="Q132" s="2"/>
      <c r="R132" s="7">
        <f t="shared" si="62"/>
        <v>3.3396343851545051E-4</v>
      </c>
      <c r="S132" s="2"/>
      <c r="T132" s="6">
        <v>-1.6</v>
      </c>
      <c r="U132" s="2"/>
      <c r="V132" s="7">
        <f t="shared" si="63"/>
        <v>-1.8076246942727646E-6</v>
      </c>
      <c r="W132" s="2"/>
      <c r="X132" s="6">
        <f t="shared" si="64"/>
        <v>273.68</v>
      </c>
      <c r="Y132" s="2"/>
      <c r="Z132" s="7">
        <f t="shared" si="65"/>
        <v>-171.04999999999998</v>
      </c>
    </row>
    <row r="133" spans="1:26" s="25" customFormat="1" outlineLevel="1" collapsed="1" x14ac:dyDescent="0.25">
      <c r="A133" s="26"/>
      <c r="B133" s="13" t="str">
        <f>CONCATENATE("     ","Telephone/Data Lines                              ")</f>
        <v xml:space="preserve">     Telephone/Data Lines                              </v>
      </c>
      <c r="C133" s="13"/>
      <c r="D133" s="1">
        <f>SUM(OSRRefD22_15x_0)</f>
        <v>103</v>
      </c>
      <c r="E133" s="1"/>
      <c r="F133" s="5">
        <f t="shared" ref="F133:F138" si="66">IF(D$12=0,0,D133/D$12)</f>
        <v>3.2597412461705957E-2</v>
      </c>
      <c r="G133" s="1"/>
      <c r="H133" s="1">
        <f>SUM(OSRRefH22_15x_0)</f>
        <v>103.15</v>
      </c>
      <c r="I133" s="1"/>
      <c r="J133" s="5">
        <f t="shared" ref="J133:J138" si="67">IF(H$12=0,0,H133/H$12)</f>
        <v>1.4822182664469463E-3</v>
      </c>
      <c r="K133" s="1"/>
      <c r="L133" s="1">
        <f t="shared" ref="L133:L138" si="68">+D133-H133</f>
        <v>-0.15000000000000568</v>
      </c>
      <c r="M133" s="1"/>
      <c r="N133" s="5">
        <f t="shared" ref="N133:N138" si="69">IF(H133=0,0,L133/H133)</f>
        <v>-1.4541929229278301E-3</v>
      </c>
      <c r="O133" s="13"/>
      <c r="P133" s="1">
        <f>SUM(OSRRefP22_15x_0)</f>
        <v>990.37</v>
      </c>
      <c r="Q133" s="1"/>
      <c r="R133" s="5">
        <f t="shared" ref="R133:R138" si="70">IF(P$12=0,0,P133/P$12)</f>
        <v>1.2156254432613451E-3</v>
      </c>
      <c r="S133" s="1"/>
      <c r="T133" s="1">
        <f>SUM(OSRRefT22_15x_0)</f>
        <v>1317.38</v>
      </c>
      <c r="U133" s="1"/>
      <c r="V133" s="5">
        <f t="shared" ref="V133:V138" si="71">IF(T$12=0,0,T133/T$12)</f>
        <v>1.4883303873381591E-3</v>
      </c>
      <c r="W133" s="1"/>
      <c r="X133" s="1">
        <f t="shared" ref="X133:X138" si="72">+P133-T133</f>
        <v>-327.0100000000001</v>
      </c>
      <c r="Y133" s="1"/>
      <c r="Z133" s="5">
        <f t="shared" ref="Z133:Z138" si="73">IF(T133=0,0,X133/T133)</f>
        <v>-0.24822754254656976</v>
      </c>
    </row>
    <row r="134" spans="1:26" s="24" customFormat="1" hidden="1" outlineLevel="2" x14ac:dyDescent="0.25">
      <c r="A134" s="27"/>
      <c r="B134" s="11" t="str">
        <f>CONCATENATE("          ", "6309", " - ", "TELEPHONE")</f>
        <v xml:space="preserve">          6309 - TELEPHONE</v>
      </c>
      <c r="C134" s="11"/>
      <c r="D134" s="6">
        <v>103</v>
      </c>
      <c r="E134" s="2"/>
      <c r="F134" s="7">
        <f t="shared" si="66"/>
        <v>3.2597412461705957E-2</v>
      </c>
      <c r="G134" s="2"/>
      <c r="H134" s="6">
        <v>103.15</v>
      </c>
      <c r="I134" s="2"/>
      <c r="J134" s="7">
        <f t="shared" si="67"/>
        <v>1.4822182664469463E-3</v>
      </c>
      <c r="K134" s="2"/>
      <c r="L134" s="6">
        <f t="shared" si="68"/>
        <v>-0.15000000000000568</v>
      </c>
      <c r="M134" s="2"/>
      <c r="N134" s="7">
        <f t="shared" si="69"/>
        <v>-1.4541929229278301E-3</v>
      </c>
      <c r="O134" s="11"/>
      <c r="P134" s="6">
        <v>990.37</v>
      </c>
      <c r="Q134" s="2"/>
      <c r="R134" s="7">
        <f t="shared" si="70"/>
        <v>1.2156254432613451E-3</v>
      </c>
      <c r="S134" s="2"/>
      <c r="T134" s="6">
        <v>1317.38</v>
      </c>
      <c r="U134" s="2"/>
      <c r="V134" s="7">
        <f t="shared" si="71"/>
        <v>1.4883303873381591E-3</v>
      </c>
      <c r="W134" s="2"/>
      <c r="X134" s="6">
        <f t="shared" si="72"/>
        <v>-327.0100000000001</v>
      </c>
      <c r="Y134" s="2"/>
      <c r="Z134" s="7">
        <f t="shared" si="73"/>
        <v>-0.24822754254656976</v>
      </c>
    </row>
    <row r="135" spans="1:26" s="25" customFormat="1" outlineLevel="1" collapsed="1" x14ac:dyDescent="0.25">
      <c r="A135" s="26"/>
      <c r="B135" s="13" t="str">
        <f>CONCATENATE("     ","Training                                          ")</f>
        <v xml:space="preserve">     Training                                          </v>
      </c>
      <c r="C135" s="13"/>
      <c r="D135" s="1">
        <f>SUM(OSRRefD22_16x_0)</f>
        <v>0</v>
      </c>
      <c r="E135" s="1"/>
      <c r="F135" s="5">
        <f t="shared" si="66"/>
        <v>0</v>
      </c>
      <c r="G135" s="1"/>
      <c r="H135" s="1">
        <f>SUM(OSRRefH22_16x_0)</f>
        <v>0</v>
      </c>
      <c r="I135" s="1"/>
      <c r="J135" s="5">
        <f t="shared" si="67"/>
        <v>0</v>
      </c>
      <c r="K135" s="1"/>
      <c r="L135" s="1">
        <f t="shared" si="68"/>
        <v>0</v>
      </c>
      <c r="M135" s="1"/>
      <c r="N135" s="5">
        <f t="shared" si="69"/>
        <v>0</v>
      </c>
      <c r="O135" s="13"/>
      <c r="P135" s="1">
        <f>SUM(OSRRefP22_16x_0)</f>
        <v>314.8</v>
      </c>
      <c r="Q135" s="1"/>
      <c r="R135" s="5">
        <f t="shared" si="70"/>
        <v>3.8639992077574184E-4</v>
      </c>
      <c r="S135" s="1"/>
      <c r="T135" s="1">
        <f>SUM(OSRRefT22_16x_0)</f>
        <v>0</v>
      </c>
      <c r="U135" s="1"/>
      <c r="V135" s="5">
        <f t="shared" si="71"/>
        <v>0</v>
      </c>
      <c r="W135" s="1"/>
      <c r="X135" s="1">
        <f t="shared" si="72"/>
        <v>314.8</v>
      </c>
      <c r="Y135" s="1"/>
      <c r="Z135" s="5">
        <f t="shared" si="73"/>
        <v>0</v>
      </c>
    </row>
    <row r="136" spans="1:26" s="24" customFormat="1" hidden="1" outlineLevel="2" x14ac:dyDescent="0.25">
      <c r="A136" s="27"/>
      <c r="B136" s="11" t="str">
        <f>CONCATENATE("          ", "6376", " - ", "TRAINING")</f>
        <v xml:space="preserve">          6376 - TRAINING</v>
      </c>
      <c r="C136" s="11"/>
      <c r="D136" s="6"/>
      <c r="E136" s="2"/>
      <c r="F136" s="7">
        <f t="shared" si="66"/>
        <v>0</v>
      </c>
      <c r="G136" s="2"/>
      <c r="H136" s="6"/>
      <c r="I136" s="2"/>
      <c r="J136" s="7">
        <f t="shared" si="67"/>
        <v>0</v>
      </c>
      <c r="K136" s="2"/>
      <c r="L136" s="6">
        <f t="shared" si="68"/>
        <v>0</v>
      </c>
      <c r="M136" s="2"/>
      <c r="N136" s="7">
        <f t="shared" si="69"/>
        <v>0</v>
      </c>
      <c r="O136" s="11"/>
      <c r="P136" s="6">
        <v>314.8</v>
      </c>
      <c r="Q136" s="2"/>
      <c r="R136" s="7">
        <f t="shared" si="70"/>
        <v>3.8639992077574184E-4</v>
      </c>
      <c r="S136" s="2"/>
      <c r="T136" s="6"/>
      <c r="U136" s="2"/>
      <c r="V136" s="7">
        <f t="shared" si="71"/>
        <v>0</v>
      </c>
      <c r="W136" s="2"/>
      <c r="X136" s="6">
        <f t="shared" si="72"/>
        <v>314.8</v>
      </c>
      <c r="Y136" s="2"/>
      <c r="Z136" s="7">
        <f t="shared" si="73"/>
        <v>0</v>
      </c>
    </row>
    <row r="137" spans="1:26" s="25" customFormat="1" outlineLevel="1" collapsed="1" x14ac:dyDescent="0.25">
      <c r="A137" s="26"/>
      <c r="B137" s="13" t="str">
        <f>CONCATENATE("     ","Travel                                            ")</f>
        <v xml:space="preserve">     Travel                                            </v>
      </c>
      <c r="C137" s="13"/>
      <c r="D137" s="1">
        <f>SUM(OSRRefD22_17x_0)</f>
        <v>0</v>
      </c>
      <c r="E137" s="1"/>
      <c r="F137" s="5">
        <f t="shared" si="66"/>
        <v>0</v>
      </c>
      <c r="G137" s="1"/>
      <c r="H137" s="1">
        <f>SUM(OSRRefH22_17x_0)</f>
        <v>0</v>
      </c>
      <c r="I137" s="1"/>
      <c r="J137" s="5">
        <f t="shared" si="67"/>
        <v>0</v>
      </c>
      <c r="K137" s="1"/>
      <c r="L137" s="1">
        <f t="shared" si="68"/>
        <v>0</v>
      </c>
      <c r="M137" s="1"/>
      <c r="N137" s="5">
        <f t="shared" si="69"/>
        <v>0</v>
      </c>
      <c r="O137" s="13"/>
      <c r="P137" s="1">
        <f>SUM(OSRRefP22_17x_0)</f>
        <v>-323.01</v>
      </c>
      <c r="Q137" s="1"/>
      <c r="R137" s="5">
        <f t="shared" si="70"/>
        <v>-3.9647725034870504E-4</v>
      </c>
      <c r="S137" s="1"/>
      <c r="T137" s="1">
        <f>SUM(OSRRefT22_17x_0)</f>
        <v>924.85</v>
      </c>
      <c r="U137" s="1"/>
      <c r="V137" s="5">
        <f t="shared" si="71"/>
        <v>1.0448635615613539E-3</v>
      </c>
      <c r="W137" s="1"/>
      <c r="X137" s="1">
        <f t="shared" si="72"/>
        <v>-1247.8600000000001</v>
      </c>
      <c r="Y137" s="1"/>
      <c r="Z137" s="5">
        <f t="shared" si="73"/>
        <v>-1.3492566362112777</v>
      </c>
    </row>
    <row r="138" spans="1:26" s="24" customFormat="1" hidden="1" outlineLevel="2" x14ac:dyDescent="0.25">
      <c r="A138" s="27"/>
      <c r="B138" s="11" t="str">
        <f>CONCATENATE("          ", "6292", " - ", "TRAVEL/CONFERENCE")</f>
        <v xml:space="preserve">          6292 - TRAVEL/CONFERENCE</v>
      </c>
      <c r="C138" s="11"/>
      <c r="D138" s="6"/>
      <c r="E138" s="2"/>
      <c r="F138" s="7">
        <f t="shared" si="66"/>
        <v>0</v>
      </c>
      <c r="G138" s="2"/>
      <c r="H138" s="6"/>
      <c r="I138" s="2"/>
      <c r="J138" s="7">
        <f t="shared" si="67"/>
        <v>0</v>
      </c>
      <c r="K138" s="2"/>
      <c r="L138" s="6">
        <f t="shared" si="68"/>
        <v>0</v>
      </c>
      <c r="M138" s="2"/>
      <c r="N138" s="7">
        <f t="shared" si="69"/>
        <v>0</v>
      </c>
      <c r="O138" s="11"/>
      <c r="P138" s="6">
        <v>-323.01</v>
      </c>
      <c r="Q138" s="2"/>
      <c r="R138" s="7">
        <f t="shared" si="70"/>
        <v>-3.9647725034870504E-4</v>
      </c>
      <c r="S138" s="2"/>
      <c r="T138" s="6">
        <v>924.85</v>
      </c>
      <c r="U138" s="2"/>
      <c r="V138" s="7">
        <f t="shared" si="71"/>
        <v>1.0448635615613539E-3</v>
      </c>
      <c r="W138" s="2"/>
      <c r="X138" s="6">
        <f t="shared" si="72"/>
        <v>-1247.8600000000001</v>
      </c>
      <c r="Y138" s="2"/>
      <c r="Z138" s="7">
        <f t="shared" si="73"/>
        <v>-1.3492566362112777</v>
      </c>
    </row>
    <row r="139" spans="1:26" s="53" customFormat="1" x14ac:dyDescent="0.25">
      <c r="A139" s="37"/>
      <c r="B139" s="37"/>
      <c r="C139" s="37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7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3" customFormat="1" collapsed="1" x14ac:dyDescent="0.25">
      <c r="A140" s="10"/>
      <c r="B140" s="29" t="s">
        <v>0</v>
      </c>
      <c r="C140" s="10"/>
      <c r="D140" s="4">
        <f>SUM(OSRRefD25x_0)</f>
        <v>0</v>
      </c>
      <c r="E140" s="4"/>
      <c r="F140" s="12">
        <f t="shared" ref="F140:F141" si="74">IF(D$12=0,0,D140/D$12)</f>
        <v>0</v>
      </c>
      <c r="G140" s="4"/>
      <c r="H140" s="4">
        <f>SUM(OSRRefH25x_0)</f>
        <v>0</v>
      </c>
      <c r="I140" s="4"/>
      <c r="J140" s="12">
        <f t="shared" ref="J140:J141" si="75">IF(H$12=0,0,H140/H$12)</f>
        <v>0</v>
      </c>
      <c r="K140" s="4"/>
      <c r="L140" s="4">
        <f t="shared" ref="L140:L141" si="76">+D140-H140</f>
        <v>0</v>
      </c>
      <c r="M140" s="4"/>
      <c r="N140" s="12">
        <f t="shared" ref="N140:N141" si="77">IF(H140=0,0,L140/H140)</f>
        <v>0</v>
      </c>
      <c r="O140" s="10"/>
      <c r="P140" s="4">
        <f>SUM(OSRRefP25x_0)</f>
        <v>68.760000000000005</v>
      </c>
      <c r="Q140" s="4"/>
      <c r="R140" s="12">
        <f t="shared" ref="R140:R141" si="78">IF(P$12=0,0,P140/P$12)</f>
        <v>8.4399169480749709E-5</v>
      </c>
      <c r="S140" s="4"/>
      <c r="T140" s="4">
        <f>SUM(OSRRefT25x_0)</f>
        <v>0</v>
      </c>
      <c r="U140" s="4"/>
      <c r="V140" s="12">
        <f t="shared" ref="V140:V141" si="79">IF(T$12=0,0,T140/T$12)</f>
        <v>0</v>
      </c>
      <c r="W140" s="4"/>
      <c r="X140" s="4">
        <f t="shared" ref="X140:X141" si="80">+P140-T140</f>
        <v>68.760000000000005</v>
      </c>
      <c r="Y140" s="4"/>
      <c r="Z140" s="12">
        <f t="shared" ref="Z140:Z141" si="81">IF(T140=0,0,X140/T140)</f>
        <v>0</v>
      </c>
    </row>
    <row r="141" spans="1:26" s="24" customFormat="1" hidden="1" outlineLevel="1" x14ac:dyDescent="0.25">
      <c r="A141" s="44"/>
      <c r="B141" s="11" t="str">
        <f>CONCATENATE("          ", "9150", " - ", "MISC. INCOME")</f>
        <v xml:space="preserve">          9150 - MISC. INCOME</v>
      </c>
      <c r="C141" s="11"/>
      <c r="D141" s="2">
        <f>0</f>
        <v>0</v>
      </c>
      <c r="E141" s="2"/>
      <c r="F141" s="19">
        <f t="shared" si="74"/>
        <v>0</v>
      </c>
      <c r="G141" s="2"/>
      <c r="H141" s="2">
        <f>0</f>
        <v>0</v>
      </c>
      <c r="I141" s="2"/>
      <c r="J141" s="19">
        <f t="shared" si="75"/>
        <v>0</v>
      </c>
      <c r="K141" s="2"/>
      <c r="L141" s="2">
        <f t="shared" si="76"/>
        <v>0</v>
      </c>
      <c r="M141" s="2"/>
      <c r="N141" s="19">
        <f t="shared" si="77"/>
        <v>0</v>
      </c>
      <c r="O141" s="11"/>
      <c r="P141" s="2">
        <f>--68.76</f>
        <v>68.760000000000005</v>
      </c>
      <c r="Q141" s="2"/>
      <c r="R141" s="19">
        <f t="shared" si="78"/>
        <v>8.4399169480749709E-5</v>
      </c>
      <c r="S141" s="2"/>
      <c r="T141" s="2">
        <f>0</f>
        <v>0</v>
      </c>
      <c r="U141" s="2"/>
      <c r="V141" s="19">
        <f t="shared" si="79"/>
        <v>0</v>
      </c>
      <c r="W141" s="2"/>
      <c r="X141" s="2">
        <f t="shared" si="80"/>
        <v>68.760000000000005</v>
      </c>
      <c r="Y141" s="2"/>
      <c r="Z141" s="19">
        <f t="shared" si="81"/>
        <v>0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10"/>
      <c r="B143" s="28" t="s">
        <v>3</v>
      </c>
      <c r="C143" s="28"/>
      <c r="D143" s="21">
        <f>+D83-D85+D140</f>
        <v>-5784.69</v>
      </c>
      <c r="E143" s="14"/>
      <c r="F143" s="20">
        <f>IF(D$12=0,0,D143/D$12)</f>
        <v>-1.8307371445932603</v>
      </c>
      <c r="G143" s="14"/>
      <c r="H143" s="21">
        <f>+H83-H85+H140</f>
        <v>13146.080000000024</v>
      </c>
      <c r="I143" s="14"/>
      <c r="J143" s="20">
        <f>IF(H$12=0,0,H143/H$12)</f>
        <v>0.18890314986110426</v>
      </c>
      <c r="K143" s="15"/>
      <c r="L143" s="21">
        <f>+D143-H143</f>
        <v>-18930.770000000022</v>
      </c>
      <c r="M143" s="15"/>
      <c r="N143" s="20">
        <f>IF(H143=0,0,L143/H143)</f>
        <v>-1.4400315531321877</v>
      </c>
      <c r="O143" s="29"/>
      <c r="P143" s="21">
        <f>+P83-P85+P140</f>
        <v>198693.90000000017</v>
      </c>
      <c r="Q143" s="14"/>
      <c r="R143" s="20">
        <f>IF(P$12=0,0,P143/P$12)</f>
        <v>0.24388598227008651</v>
      </c>
      <c r="S143" s="14"/>
      <c r="T143" s="21">
        <f>+T83-T85+T140</f>
        <v>212658.77999999965</v>
      </c>
      <c r="U143" s="14"/>
      <c r="V143" s="20">
        <f>IF(T$12=0,0,T143/T$12)</f>
        <v>0.24025453886369902</v>
      </c>
      <c r="W143" s="15"/>
      <c r="X143" s="21">
        <f>+P143-T143</f>
        <v>-13964.879999999481</v>
      </c>
      <c r="Y143" s="15"/>
      <c r="Z143" s="20">
        <f>IF(T143=0,0,X143/T143)</f>
        <v>-6.566801521197245E-2</v>
      </c>
    </row>
    <row r="144" spans="1:26" x14ac:dyDescent="0.25">
      <c r="A144" s="9"/>
      <c r="B144" s="10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51"/>
      <c r="B145" s="10" t="s">
        <v>13</v>
      </c>
      <c r="C145" s="10"/>
      <c r="D145" s="4">
        <v>5544.85</v>
      </c>
      <c r="E145" s="4"/>
      <c r="F145" s="12">
        <f>IF(D$12=0,0,D145/D$12)</f>
        <v>1.7548326455173813</v>
      </c>
      <c r="G145" s="4"/>
      <c r="H145" s="4">
        <v>8038.87</v>
      </c>
      <c r="I145" s="4"/>
      <c r="J145" s="12">
        <f>IF(H$12=0,0,H145/H$12)</f>
        <v>0.11551488081039614</v>
      </c>
      <c r="K145" s="4"/>
      <c r="L145" s="4">
        <f>+D145-H145</f>
        <v>-2494.0199999999995</v>
      </c>
      <c r="M145" s="4"/>
      <c r="N145" s="12">
        <f>IF(H145=0,0,L145/H145)</f>
        <v>-0.31024509663671629</v>
      </c>
      <c r="O145" s="10"/>
      <c r="P145" s="4">
        <v>92503.35</v>
      </c>
      <c r="Q145" s="4"/>
      <c r="R145" s="12">
        <f>IF(P$12=0,0,P145/P$12)</f>
        <v>0.11354284342913189</v>
      </c>
      <c r="S145" s="4"/>
      <c r="T145" s="4">
        <v>92017.82</v>
      </c>
      <c r="U145" s="4"/>
      <c r="V145" s="12">
        <f>IF(T$12=0,0,T145/T$12)</f>
        <v>0.10395855234071642</v>
      </c>
      <c r="W145" s="4"/>
      <c r="X145" s="4">
        <f>+P145-T145</f>
        <v>485.52999999999884</v>
      </c>
      <c r="Y145" s="4"/>
      <c r="Z145" s="12">
        <f>IF(T145=0,0,X145/T145)</f>
        <v>5.2764779691585693E-3</v>
      </c>
    </row>
    <row r="146" spans="1:26" x14ac:dyDescent="0.25">
      <c r="A146" s="9"/>
      <c r="B146" s="10"/>
      <c r="C146" s="10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O146" s="10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ht="15.75" thickBot="1" x14ac:dyDescent="0.3">
      <c r="A147" s="10"/>
      <c r="B147" s="28" t="s">
        <v>4</v>
      </c>
      <c r="C147" s="28"/>
      <c r="D147" s="30">
        <f>+D143-D145</f>
        <v>-11329.54</v>
      </c>
      <c r="E147" s="14"/>
      <c r="F147" s="36">
        <f>IF(D$12=0,0,D147/D$12)</f>
        <v>-3.5855697901106418</v>
      </c>
      <c r="G147" s="14"/>
      <c r="H147" s="30">
        <f>+H143-H145</f>
        <v>5107.2100000000237</v>
      </c>
      <c r="I147" s="14"/>
      <c r="J147" s="36">
        <f>IF(H$12=0,0,H147/H$12)</f>
        <v>7.3388269050708124E-2</v>
      </c>
      <c r="K147" s="15"/>
      <c r="L147" s="30">
        <f>D147-H147</f>
        <v>-16436.750000000025</v>
      </c>
      <c r="M147" s="15"/>
      <c r="N147" s="36">
        <f>IF(H147=0,0,L147/H147)</f>
        <v>-3.2183423043109545</v>
      </c>
      <c r="O147" s="29"/>
      <c r="P147" s="30">
        <f>+P143-P145</f>
        <v>106190.55000000016</v>
      </c>
      <c r="Q147" s="14"/>
      <c r="R147" s="36">
        <f>IF(P$12=0,0,P147/P$12)</f>
        <v>0.13034313884095461</v>
      </c>
      <c r="S147" s="14"/>
      <c r="T147" s="30">
        <f>+T143-T145</f>
        <v>120640.95999999964</v>
      </c>
      <c r="U147" s="14"/>
      <c r="V147" s="36">
        <f>IF(T$12=0,0,T147/T$12)</f>
        <v>0.13629598652298261</v>
      </c>
      <c r="W147" s="15"/>
      <c r="X147" s="30">
        <f>P147-T147</f>
        <v>-14450.40999999948</v>
      </c>
      <c r="Y147" s="15"/>
      <c r="Z147" s="36">
        <f>IF(T147=0,0,X147/T147)</f>
        <v>-0.11978029684113524</v>
      </c>
    </row>
    <row r="148" spans="1:26" ht="15.75" thickTop="1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ht="15.75" thickBot="1" x14ac:dyDescent="0.3">
      <c r="A150" s="10"/>
      <c r="B150" s="28" t="s">
        <v>5</v>
      </c>
      <c r="C150" s="28"/>
      <c r="D150" s="31">
        <f>SUM(D147:D149)</f>
        <v>-11329.54</v>
      </c>
      <c r="E150" s="14"/>
      <c r="F150" s="32">
        <f>IF(D$12=0,0,D150/D$12)</f>
        <v>-3.5855697901106418</v>
      </c>
      <c r="G150" s="14"/>
      <c r="H150" s="31">
        <f>SUM(H147:H149)</f>
        <v>5107.2100000000237</v>
      </c>
      <c r="I150" s="14"/>
      <c r="J150" s="32">
        <f>IF(H$12=0,0,H150/H$12)</f>
        <v>7.3388269050708124E-2</v>
      </c>
      <c r="K150" s="15"/>
      <c r="L150" s="31">
        <f>+D150-H150</f>
        <v>-16436.750000000025</v>
      </c>
      <c r="M150" s="15"/>
      <c r="N150" s="32">
        <f>IF(H150=0,0,L150/H150)</f>
        <v>-3.2183423043109545</v>
      </c>
      <c r="O150" s="29"/>
      <c r="P150" s="31">
        <f>SUM(P147:P149)</f>
        <v>106190.55000000016</v>
      </c>
      <c r="Q150" s="14"/>
      <c r="R150" s="32">
        <f>IF(P$12=0,0,P150/P$12)</f>
        <v>0.13034313884095461</v>
      </c>
      <c r="S150" s="14"/>
      <c r="T150" s="31">
        <f>SUM(T147:T149)</f>
        <v>120640.95999999964</v>
      </c>
      <c r="U150" s="14"/>
      <c r="V150" s="32">
        <f>IF(T$12=0,0,T150/T$12)</f>
        <v>0.13629598652298261</v>
      </c>
      <c r="W150" s="15"/>
      <c r="X150" s="31">
        <f>+P150-T150</f>
        <v>-14450.40999999948</v>
      </c>
      <c r="Y150" s="15"/>
      <c r="Z150" s="32">
        <f>IF(T150=0,0,X150/T150)</f>
        <v>-0.11978029684113524</v>
      </c>
    </row>
    <row r="151" spans="1:26" ht="15.75" thickTop="1" x14ac:dyDescent="0.25">
      <c r="A151" s="9"/>
      <c r="C151" s="9"/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  <row r="152" spans="1:26" x14ac:dyDescent="0.25">
      <c r="A152" s="9"/>
      <c r="B152" s="54">
        <v>43965.470467824074</v>
      </c>
      <c r="D152" s="17"/>
      <c r="E152" s="17"/>
      <c r="G152" s="17"/>
      <c r="H152" s="17"/>
      <c r="I152" s="17"/>
      <c r="J152" s="43"/>
      <c r="K152" s="17"/>
      <c r="L152" s="17"/>
      <c r="M152" s="17"/>
      <c r="P152" s="17"/>
      <c r="Q152" s="17"/>
      <c r="R152" s="43"/>
      <c r="S152" s="17"/>
      <c r="T152" s="17"/>
      <c r="U152" s="17"/>
      <c r="V152" s="43"/>
      <c r="W152" s="17"/>
      <c r="X152" s="17"/>
    </row>
    <row r="153" spans="1:26" x14ac:dyDescent="0.25">
      <c r="A153" s="9"/>
      <c r="B153" s="59" t="s">
        <v>313</v>
      </c>
      <c r="D153" s="17"/>
      <c r="E153" s="17"/>
      <c r="G153" s="17"/>
      <c r="H153" s="17"/>
      <c r="I153" s="17"/>
      <c r="J153" s="43"/>
      <c r="K153" s="17"/>
      <c r="L153" s="17"/>
      <c r="M153" s="17"/>
      <c r="P153" s="17"/>
      <c r="Q153" s="17"/>
      <c r="R153" s="43"/>
      <c r="S153" s="17"/>
      <c r="T153" s="17"/>
      <c r="U153" s="17"/>
      <c r="V153" s="43"/>
      <c r="W153" s="17"/>
      <c r="X153" s="17"/>
    </row>
    <row r="154" spans="1:26" x14ac:dyDescent="0.25">
      <c r="A154" s="9"/>
      <c r="B154" s="61"/>
      <c r="D154" s="17"/>
      <c r="E154" s="17"/>
      <c r="G154" s="17"/>
      <c r="H154" s="17"/>
      <c r="I154" s="17"/>
      <c r="J154" s="43"/>
      <c r="K154" s="17"/>
      <c r="L154" s="17"/>
      <c r="M154" s="17"/>
      <c r="P154" s="17"/>
      <c r="Q154" s="17"/>
      <c r="R154" s="43"/>
      <c r="S154" s="17"/>
      <c r="T154" s="17"/>
      <c r="U154" s="17"/>
      <c r="V154" s="43"/>
      <c r="W154" s="17"/>
      <c r="X154" s="17"/>
    </row>
    <row r="155" spans="1:26" x14ac:dyDescent="0.25">
      <c r="D155" s="17"/>
      <c r="E155" s="17"/>
      <c r="G155" s="17"/>
      <c r="H155" s="17"/>
      <c r="I155" s="17"/>
      <c r="J155" s="43"/>
      <c r="K155" s="17"/>
      <c r="L155" s="17"/>
      <c r="M155" s="17"/>
      <c r="P155" s="17"/>
      <c r="Q155" s="17"/>
      <c r="R155" s="43"/>
      <c r="S155" s="17"/>
      <c r="T155" s="17"/>
      <c r="U155" s="17"/>
      <c r="V155" s="43"/>
      <c r="W155" s="17"/>
      <c r="X155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","307", " - ", "Art Store")</f>
        <v>Department 307 - Art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45088.720000000008</v>
      </c>
      <c r="I12" s="4"/>
      <c r="J12" s="12"/>
      <c r="K12" s="4"/>
      <c r="L12" s="4">
        <f t="shared" ref="L12:L51" si="0">+D12-H12</f>
        <v>-45088.720000000008</v>
      </c>
      <c r="M12" s="4"/>
      <c r="N12" s="12">
        <f t="shared" ref="N12:N51" si="1">IF(H12=0,0,L12/H12)</f>
        <v>-1</v>
      </c>
      <c r="O12" s="10"/>
      <c r="P12" s="4">
        <f>SUM(OSRRefP13x_0)</f>
        <v>410549.44000000024</v>
      </c>
      <c r="Q12" s="4"/>
      <c r="R12" s="12"/>
      <c r="S12" s="4"/>
      <c r="T12" s="4">
        <f>SUM(OSRRefT13x_0)</f>
        <v>462467.45999999985</v>
      </c>
      <c r="U12" s="4"/>
      <c r="V12" s="12"/>
      <c r="W12" s="4"/>
      <c r="X12" s="4">
        <f t="shared" ref="X12:X51" si="2">+P12-T12</f>
        <v>-51918.019999999611</v>
      </c>
      <c r="Y12" s="4"/>
      <c r="Z12" s="12">
        <f t="shared" ref="Z12:Z51" si="3">IF(T12=0,0,X12/T12)</f>
        <v>-0.11226307684436788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 t="shared" ref="D13:D51" si="4">0</f>
        <v>0</v>
      </c>
      <c r="E13" s="2"/>
      <c r="F13" s="19"/>
      <c r="G13" s="2"/>
      <c r="H13" s="2">
        <f>--39.95</f>
        <v>39.950000000000003</v>
      </c>
      <c r="I13" s="2"/>
      <c r="J13" s="19"/>
      <c r="K13" s="2"/>
      <c r="L13" s="2">
        <f t="shared" si="0"/>
        <v>-39.950000000000003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--109.2</f>
        <v>109.2</v>
      </c>
      <c r="U13" s="2"/>
      <c r="V13" s="19"/>
      <c r="W13" s="2"/>
      <c r="X13" s="2">
        <f t="shared" si="2"/>
        <v>-109.2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 t="shared" ref="H14:H15" si="5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--71.37</f>
        <v>71.37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71.37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--46.39</f>
        <v>46.39</v>
      </c>
      <c r="U15" s="2"/>
      <c r="V15" s="19"/>
      <c r="W15" s="2"/>
      <c r="X15" s="2">
        <f t="shared" si="2"/>
        <v>-46.39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--263.49</f>
        <v>263.49</v>
      </c>
      <c r="I16" s="2"/>
      <c r="J16" s="19"/>
      <c r="K16" s="2"/>
      <c r="L16" s="2">
        <f t="shared" si="0"/>
        <v>-263.49</v>
      </c>
      <c r="M16" s="2"/>
      <c r="N16" s="19">
        <f t="shared" si="1"/>
        <v>-1</v>
      </c>
      <c r="O16" s="11"/>
      <c r="P16" s="2">
        <f>--2262.94</f>
        <v>2262.94</v>
      </c>
      <c r="Q16" s="2"/>
      <c r="R16" s="19"/>
      <c r="S16" s="2"/>
      <c r="T16" s="2">
        <f>--2600.02</f>
        <v>2600.02</v>
      </c>
      <c r="U16" s="2"/>
      <c r="V16" s="19"/>
      <c r="W16" s="2"/>
      <c r="X16" s="2">
        <f t="shared" si="2"/>
        <v>-337.07999999999993</v>
      </c>
      <c r="Y16" s="2"/>
      <c r="Z16" s="19">
        <f t="shared" si="3"/>
        <v>-0.12964515657571862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 t="shared" si="4"/>
        <v>0</v>
      </c>
      <c r="E17" s="2"/>
      <c r="F17" s="19"/>
      <c r="G17" s="2"/>
      <c r="H17" s="2">
        <f>--473.35</f>
        <v>473.35</v>
      </c>
      <c r="I17" s="2"/>
      <c r="J17" s="19"/>
      <c r="K17" s="2"/>
      <c r="L17" s="2">
        <f t="shared" si="0"/>
        <v>-473.35</v>
      </c>
      <c r="M17" s="2"/>
      <c r="N17" s="19">
        <f t="shared" si="1"/>
        <v>-1</v>
      </c>
      <c r="O17" s="11"/>
      <c r="P17" s="2">
        <f>--6663.38</f>
        <v>6663.38</v>
      </c>
      <c r="Q17" s="2"/>
      <c r="R17" s="19"/>
      <c r="S17" s="2"/>
      <c r="T17" s="2">
        <f>--5913.43</f>
        <v>5913.43</v>
      </c>
      <c r="U17" s="2"/>
      <c r="V17" s="19"/>
      <c r="W17" s="2"/>
      <c r="X17" s="2">
        <f t="shared" si="2"/>
        <v>749.94999999999982</v>
      </c>
      <c r="Y17" s="2"/>
      <c r="Z17" s="19">
        <f t="shared" si="3"/>
        <v>0.12682148938940679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 t="shared" si="4"/>
        <v>0</v>
      </c>
      <c r="E18" s="2"/>
      <c r="F18" s="19"/>
      <c r="G18" s="2"/>
      <c r="H18" s="2">
        <f>--378.01</f>
        <v>378.01</v>
      </c>
      <c r="I18" s="2"/>
      <c r="J18" s="19"/>
      <c r="K18" s="2"/>
      <c r="L18" s="2">
        <f t="shared" si="0"/>
        <v>-378.01</v>
      </c>
      <c r="M18" s="2"/>
      <c r="N18" s="19">
        <f t="shared" si="1"/>
        <v>-1</v>
      </c>
      <c r="O18" s="11"/>
      <c r="P18" s="2">
        <f>--9231.13</f>
        <v>9231.1299999999992</v>
      </c>
      <c r="Q18" s="2"/>
      <c r="R18" s="19"/>
      <c r="S18" s="2"/>
      <c r="T18" s="2">
        <f>--6179.63</f>
        <v>6179.63</v>
      </c>
      <c r="U18" s="2"/>
      <c r="V18" s="19"/>
      <c r="W18" s="2"/>
      <c r="X18" s="2">
        <f t="shared" si="2"/>
        <v>3051.4999999999991</v>
      </c>
      <c r="Y18" s="2"/>
      <c r="Z18" s="19">
        <f t="shared" si="3"/>
        <v>0.4937997906023498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 t="shared" si="4"/>
        <v>0</v>
      </c>
      <c r="E19" s="2"/>
      <c r="F19" s="19"/>
      <c r="G19" s="2"/>
      <c r="H19" s="2">
        <f>--27406.72</f>
        <v>27406.720000000001</v>
      </c>
      <c r="I19" s="2"/>
      <c r="J19" s="19"/>
      <c r="K19" s="2"/>
      <c r="L19" s="2">
        <f t="shared" si="0"/>
        <v>-27406.720000000001</v>
      </c>
      <c r="M19" s="2"/>
      <c r="N19" s="19">
        <f t="shared" si="1"/>
        <v>-1</v>
      </c>
      <c r="O19" s="11"/>
      <c r="P19" s="2">
        <f>--280493.72</f>
        <v>280493.71999999997</v>
      </c>
      <c r="Q19" s="2"/>
      <c r="R19" s="19"/>
      <c r="S19" s="2"/>
      <c r="T19" s="2">
        <f>--319743.35</f>
        <v>319743.34999999998</v>
      </c>
      <c r="U19" s="2"/>
      <c r="V19" s="19"/>
      <c r="W19" s="2"/>
      <c r="X19" s="2">
        <f t="shared" si="2"/>
        <v>-39249.630000000005</v>
      </c>
      <c r="Y19" s="2"/>
      <c r="Z19" s="19">
        <f t="shared" si="3"/>
        <v>-0.12275354592988411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si="4"/>
        <v>0</v>
      </c>
      <c r="E20" s="2"/>
      <c r="F20" s="19"/>
      <c r="G20" s="2"/>
      <c r="H20" s="2">
        <f>--91.57</f>
        <v>91.57</v>
      </c>
      <c r="I20" s="2"/>
      <c r="J20" s="19"/>
      <c r="K20" s="2"/>
      <c r="L20" s="2">
        <f t="shared" si="0"/>
        <v>-91.57</v>
      </c>
      <c r="M20" s="2"/>
      <c r="N20" s="19">
        <f t="shared" si="1"/>
        <v>-1</v>
      </c>
      <c r="O20" s="11"/>
      <c r="P20" s="2">
        <f>--486.34</f>
        <v>486.34</v>
      </c>
      <c r="Q20" s="2"/>
      <c r="R20" s="19"/>
      <c r="S20" s="2"/>
      <c r="T20" s="2">
        <f>--658.7</f>
        <v>658.7</v>
      </c>
      <c r="U20" s="2"/>
      <c r="V20" s="19"/>
      <c r="W20" s="2"/>
      <c r="X20" s="2">
        <f t="shared" si="2"/>
        <v>-172.36000000000007</v>
      </c>
      <c r="Y20" s="2"/>
      <c r="Z20" s="19">
        <f t="shared" si="3"/>
        <v>-0.26166691969029915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4"/>
        <v>0</v>
      </c>
      <c r="E21" s="2"/>
      <c r="F21" s="19"/>
      <c r="G21" s="2"/>
      <c r="H21" s="2">
        <f>--94.97</f>
        <v>94.97</v>
      </c>
      <c r="I21" s="2"/>
      <c r="J21" s="19"/>
      <c r="K21" s="2"/>
      <c r="L21" s="2">
        <f t="shared" si="0"/>
        <v>-94.97</v>
      </c>
      <c r="M21" s="2"/>
      <c r="N21" s="19">
        <f t="shared" si="1"/>
        <v>-1</v>
      </c>
      <c r="O21" s="11"/>
      <c r="P21" s="2">
        <f>--1905.06</f>
        <v>1905.06</v>
      </c>
      <c r="Q21" s="2"/>
      <c r="R21" s="19"/>
      <c r="S21" s="2"/>
      <c r="T21" s="2">
        <f>--469.45</f>
        <v>469.45</v>
      </c>
      <c r="U21" s="2"/>
      <c r="V21" s="19"/>
      <c r="W21" s="2"/>
      <c r="X21" s="2">
        <f t="shared" si="2"/>
        <v>1435.61</v>
      </c>
      <c r="Y21" s="2"/>
      <c r="Z21" s="19">
        <f t="shared" si="3"/>
        <v>3.0580679518585576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4"/>
        <v>0</v>
      </c>
      <c r="E22" s="2"/>
      <c r="F22" s="19"/>
      <c r="G22" s="2"/>
      <c r="H22" s="2">
        <f>--38.96</f>
        <v>38.96</v>
      </c>
      <c r="I22" s="2"/>
      <c r="J22" s="19"/>
      <c r="K22" s="2"/>
      <c r="L22" s="2">
        <f t="shared" si="0"/>
        <v>-38.96</v>
      </c>
      <c r="M22" s="2"/>
      <c r="N22" s="19">
        <f t="shared" si="1"/>
        <v>-1</v>
      </c>
      <c r="O22" s="11"/>
      <c r="P22" s="2">
        <f>--205.53</f>
        <v>205.53</v>
      </c>
      <c r="Q22" s="2"/>
      <c r="R22" s="19"/>
      <c r="S22" s="2"/>
      <c r="T22" s="2">
        <f>--244.06</f>
        <v>244.06</v>
      </c>
      <c r="U22" s="2"/>
      <c r="V22" s="19"/>
      <c r="W22" s="2"/>
      <c r="X22" s="2">
        <f t="shared" si="2"/>
        <v>-38.53</v>
      </c>
      <c r="Y22" s="2"/>
      <c r="Z22" s="19">
        <f t="shared" si="3"/>
        <v>-0.15787101532410064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4"/>
        <v>0</v>
      </c>
      <c r="E23" s="2"/>
      <c r="F23" s="19"/>
      <c r="G23" s="2"/>
      <c r="H23" s="2">
        <f>--1251.48</f>
        <v>1251.48</v>
      </c>
      <c r="I23" s="2"/>
      <c r="J23" s="19"/>
      <c r="K23" s="2"/>
      <c r="L23" s="2">
        <f t="shared" si="0"/>
        <v>-1251.48</v>
      </c>
      <c r="M23" s="2"/>
      <c r="N23" s="19">
        <f t="shared" si="1"/>
        <v>-1</v>
      </c>
      <c r="O23" s="11"/>
      <c r="P23" s="2">
        <f>--7803.51</f>
        <v>7803.51</v>
      </c>
      <c r="Q23" s="2"/>
      <c r="R23" s="19"/>
      <c r="S23" s="2"/>
      <c r="T23" s="2">
        <f>--8204.69</f>
        <v>8204.69</v>
      </c>
      <c r="U23" s="2"/>
      <c r="V23" s="19"/>
      <c r="W23" s="2"/>
      <c r="X23" s="2">
        <f t="shared" si="2"/>
        <v>-401.18000000000029</v>
      </c>
      <c r="Y23" s="2"/>
      <c r="Z23" s="19">
        <f t="shared" si="3"/>
        <v>-4.8896423874637586E-2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4"/>
        <v>0</v>
      </c>
      <c r="E24" s="2"/>
      <c r="F24" s="19"/>
      <c r="G24" s="2"/>
      <c r="H24" s="2">
        <f>--211.44</f>
        <v>211.44</v>
      </c>
      <c r="I24" s="2"/>
      <c r="J24" s="19"/>
      <c r="K24" s="2"/>
      <c r="L24" s="2">
        <f t="shared" si="0"/>
        <v>-211.44</v>
      </c>
      <c r="M24" s="2"/>
      <c r="N24" s="19">
        <f t="shared" si="1"/>
        <v>-1</v>
      </c>
      <c r="O24" s="11"/>
      <c r="P24" s="2">
        <f>--1961.69</f>
        <v>1961.69</v>
      </c>
      <c r="Q24" s="2"/>
      <c r="R24" s="19"/>
      <c r="S24" s="2"/>
      <c r="T24" s="2">
        <f>--2151.41</f>
        <v>2151.41</v>
      </c>
      <c r="U24" s="2"/>
      <c r="V24" s="19"/>
      <c r="W24" s="2"/>
      <c r="X24" s="2">
        <f t="shared" si="2"/>
        <v>-189.7199999999998</v>
      </c>
      <c r="Y24" s="2"/>
      <c r="Z24" s="19">
        <f t="shared" si="3"/>
        <v>-8.8184028148981283E-2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4"/>
        <v>0</v>
      </c>
      <c r="E25" s="2"/>
      <c r="F25" s="19"/>
      <c r="G25" s="2"/>
      <c r="H25" s="2">
        <f>--128.18</f>
        <v>128.18</v>
      </c>
      <c r="I25" s="2"/>
      <c r="J25" s="19"/>
      <c r="K25" s="2"/>
      <c r="L25" s="2">
        <f t="shared" si="0"/>
        <v>-128.18</v>
      </c>
      <c r="M25" s="2"/>
      <c r="N25" s="19">
        <f t="shared" si="1"/>
        <v>-1</v>
      </c>
      <c r="O25" s="11"/>
      <c r="P25" s="2">
        <f>--513.51</f>
        <v>513.51</v>
      </c>
      <c r="Q25" s="2"/>
      <c r="R25" s="19"/>
      <c r="S25" s="2"/>
      <c r="T25" s="2">
        <f>--805.99</f>
        <v>805.99</v>
      </c>
      <c r="U25" s="2"/>
      <c r="V25" s="19"/>
      <c r="W25" s="2"/>
      <c r="X25" s="2">
        <f t="shared" si="2"/>
        <v>-292.48</v>
      </c>
      <c r="Y25" s="2"/>
      <c r="Z25" s="19">
        <f t="shared" si="3"/>
        <v>-0.36288291418007668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 t="shared" si="4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 t="shared" si="4"/>
        <v>0</v>
      </c>
      <c r="E27" s="2"/>
      <c r="F27" s="19"/>
      <c r="G27" s="2"/>
      <c r="H27" s="2">
        <f>--33.9</f>
        <v>33.9</v>
      </c>
      <c r="I27" s="2"/>
      <c r="J27" s="19"/>
      <c r="K27" s="2"/>
      <c r="L27" s="2">
        <f t="shared" si="0"/>
        <v>-33.9</v>
      </c>
      <c r="M27" s="2"/>
      <c r="N27" s="19">
        <f t="shared" si="1"/>
        <v>-1</v>
      </c>
      <c r="O27" s="11"/>
      <c r="P27" s="2">
        <f>--583.7</f>
        <v>583.70000000000005</v>
      </c>
      <c r="Q27" s="2"/>
      <c r="R27" s="19"/>
      <c r="S27" s="2"/>
      <c r="T27" s="2">
        <f>--736.93</f>
        <v>736.93</v>
      </c>
      <c r="U27" s="2"/>
      <c r="V27" s="19"/>
      <c r="W27" s="2"/>
      <c r="X27" s="2">
        <f t="shared" si="2"/>
        <v>-153.2299999999999</v>
      </c>
      <c r="Y27" s="2"/>
      <c r="Z27" s="19">
        <f t="shared" si="3"/>
        <v>-0.20793019689794134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 t="shared" si="4"/>
        <v>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 t="shared" si="4"/>
        <v>0</v>
      </c>
      <c r="E29" s="2"/>
      <c r="F29" s="19"/>
      <c r="G29" s="2"/>
      <c r="H29" s="2">
        <f>--287.73</f>
        <v>287.73</v>
      </c>
      <c r="I29" s="2"/>
      <c r="J29" s="19"/>
      <c r="K29" s="2"/>
      <c r="L29" s="2">
        <f t="shared" si="0"/>
        <v>-287.73</v>
      </c>
      <c r="M29" s="2"/>
      <c r="N29" s="19">
        <f t="shared" si="1"/>
        <v>-1</v>
      </c>
      <c r="O29" s="11"/>
      <c r="P29" s="2">
        <f>--3174.93</f>
        <v>3174.93</v>
      </c>
      <c r="Q29" s="2"/>
      <c r="R29" s="19"/>
      <c r="S29" s="2"/>
      <c r="T29" s="2">
        <f>--4214.69</f>
        <v>4214.6899999999996</v>
      </c>
      <c r="U29" s="2"/>
      <c r="V29" s="19"/>
      <c r="W29" s="2"/>
      <c r="X29" s="2">
        <f t="shared" si="2"/>
        <v>-1039.7599999999998</v>
      </c>
      <c r="Y29" s="2"/>
      <c r="Z29" s="19">
        <f t="shared" si="3"/>
        <v>-0.24669904548139954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 t="shared" si="4"/>
        <v>0</v>
      </c>
      <c r="E30" s="2"/>
      <c r="F30" s="19"/>
      <c r="G30" s="2"/>
      <c r="H30" s="2">
        <f>--164</f>
        <v>164</v>
      </c>
      <c r="I30" s="2"/>
      <c r="J30" s="19"/>
      <c r="K30" s="2"/>
      <c r="L30" s="2">
        <f t="shared" si="0"/>
        <v>-164</v>
      </c>
      <c r="M30" s="2"/>
      <c r="N30" s="19">
        <f t="shared" si="1"/>
        <v>-1</v>
      </c>
      <c r="O30" s="11"/>
      <c r="P30" s="2">
        <f>--363.94</f>
        <v>363.94</v>
      </c>
      <c r="Q30" s="2"/>
      <c r="R30" s="19"/>
      <c r="S30" s="2"/>
      <c r="T30" s="2">
        <f>--1505</f>
        <v>1505</v>
      </c>
      <c r="U30" s="2"/>
      <c r="V30" s="19"/>
      <c r="W30" s="2"/>
      <c r="X30" s="2">
        <f t="shared" si="2"/>
        <v>-1141.06</v>
      </c>
      <c r="Y30" s="2"/>
      <c r="Z30" s="19">
        <f t="shared" si="3"/>
        <v>-0.75817940199335543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 t="shared" si="4"/>
        <v>0</v>
      </c>
      <c r="E31" s="2"/>
      <c r="F31" s="19"/>
      <c r="G31" s="2"/>
      <c r="H31" s="2">
        <f>--119.9</f>
        <v>119.9</v>
      </c>
      <c r="I31" s="2"/>
      <c r="J31" s="19"/>
      <c r="K31" s="2"/>
      <c r="L31" s="2">
        <f t="shared" si="0"/>
        <v>-119.9</v>
      </c>
      <c r="M31" s="2"/>
      <c r="N31" s="19">
        <f t="shared" si="1"/>
        <v>-1</v>
      </c>
      <c r="O31" s="11"/>
      <c r="P31" s="2">
        <f>--914.33</f>
        <v>914.33</v>
      </c>
      <c r="Q31" s="2"/>
      <c r="R31" s="19"/>
      <c r="S31" s="2"/>
      <c r="T31" s="2">
        <f>--1283.94</f>
        <v>1283.94</v>
      </c>
      <c r="U31" s="2"/>
      <c r="V31" s="19"/>
      <c r="W31" s="2"/>
      <c r="X31" s="2">
        <f t="shared" si="2"/>
        <v>-369.61</v>
      </c>
      <c r="Y31" s="2"/>
      <c r="Z31" s="19">
        <f t="shared" si="3"/>
        <v>-0.28787170740065737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 t="shared" si="4"/>
        <v>0</v>
      </c>
      <c r="E32" s="2"/>
      <c r="F32" s="19"/>
      <c r="G32" s="2"/>
      <c r="H32" s="2">
        <f>--202.9</f>
        <v>202.9</v>
      </c>
      <c r="I32" s="2"/>
      <c r="J32" s="19"/>
      <c r="K32" s="2"/>
      <c r="L32" s="2">
        <f t="shared" si="0"/>
        <v>-202.9</v>
      </c>
      <c r="M32" s="2"/>
      <c r="N32" s="19">
        <f t="shared" si="1"/>
        <v>-1</v>
      </c>
      <c r="O32" s="11"/>
      <c r="P32" s="2">
        <f>--813.74</f>
        <v>813.74</v>
      </c>
      <c r="Q32" s="2"/>
      <c r="R32" s="19"/>
      <c r="S32" s="2"/>
      <c r="T32" s="2">
        <f>--2085.13</f>
        <v>2085.13</v>
      </c>
      <c r="U32" s="2"/>
      <c r="V32" s="19"/>
      <c r="W32" s="2"/>
      <c r="X32" s="2">
        <f t="shared" si="2"/>
        <v>-1271.3900000000001</v>
      </c>
      <c r="Y32" s="2"/>
      <c r="Z32" s="19">
        <f t="shared" si="3"/>
        <v>-0.60974135905195359</v>
      </c>
    </row>
    <row r="33" spans="1:26" s="24" customFormat="1" hidden="1" outlineLevel="1" x14ac:dyDescent="0.2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 t="shared" si="4"/>
        <v>0</v>
      </c>
      <c r="E33" s="2"/>
      <c r="F33" s="19"/>
      <c r="G33" s="2"/>
      <c r="H33" s="2">
        <f t="shared" ref="H33:H35" si="6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--2.49</f>
        <v>2.4900000000000002</v>
      </c>
      <c r="Q33" s="2"/>
      <c r="R33" s="19"/>
      <c r="S33" s="2"/>
      <c r="T33" s="2">
        <f>--8.56</f>
        <v>8.56</v>
      </c>
      <c r="U33" s="2"/>
      <c r="V33" s="19"/>
      <c r="W33" s="2"/>
      <c r="X33" s="2">
        <f t="shared" si="2"/>
        <v>-6.07</v>
      </c>
      <c r="Y33" s="2"/>
      <c r="Z33" s="19">
        <f t="shared" si="3"/>
        <v>-0.70911214953271029</v>
      </c>
    </row>
    <row r="34" spans="1:26" s="24" customFormat="1" hidden="1" outlineLevel="1" x14ac:dyDescent="0.2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 t="shared" si="4"/>
        <v>0</v>
      </c>
      <c r="E34" s="2"/>
      <c r="F34" s="19"/>
      <c r="G34" s="2"/>
      <c r="H34" s="2">
        <f t="shared" si="6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--16.45</f>
        <v>16.45</v>
      </c>
      <c r="Q34" s="2"/>
      <c r="R34" s="19"/>
      <c r="S34" s="2"/>
      <c r="T34" s="2">
        <f>--25.6</f>
        <v>25.6</v>
      </c>
      <c r="U34" s="2"/>
      <c r="V34" s="19"/>
      <c r="W34" s="2"/>
      <c r="X34" s="2">
        <f t="shared" si="2"/>
        <v>-9.1500000000000021</v>
      </c>
      <c r="Y34" s="2"/>
      <c r="Z34" s="19">
        <f t="shared" si="3"/>
        <v>-0.35742187500000006</v>
      </c>
    </row>
    <row r="35" spans="1:26" s="24" customFormat="1" hidden="1" outlineLevel="1" x14ac:dyDescent="0.2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 t="shared" si="4"/>
        <v>0</v>
      </c>
      <c r="E35" s="2"/>
      <c r="F35" s="19"/>
      <c r="G35" s="2"/>
      <c r="H35" s="2">
        <f t="shared" si="6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--242.09</f>
        <v>242.09</v>
      </c>
      <c r="Q35" s="2"/>
      <c r="R35" s="19"/>
      <c r="S35" s="2"/>
      <c r="T35" s="2">
        <f>--311.86</f>
        <v>311.86</v>
      </c>
      <c r="U35" s="2"/>
      <c r="V35" s="19"/>
      <c r="W35" s="2"/>
      <c r="X35" s="2">
        <f t="shared" si="2"/>
        <v>-69.77000000000001</v>
      </c>
      <c r="Y35" s="2"/>
      <c r="Z35" s="19">
        <f t="shared" si="3"/>
        <v>-0.2237221830308472</v>
      </c>
    </row>
    <row r="36" spans="1:26" s="24" customFormat="1" hidden="1" outlineLevel="1" x14ac:dyDescent="0.2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 t="shared" si="4"/>
        <v>0</v>
      </c>
      <c r="E36" s="2"/>
      <c r="F36" s="19"/>
      <c r="G36" s="2"/>
      <c r="H36" s="2">
        <f>--8871.52</f>
        <v>8871.52</v>
      </c>
      <c r="I36" s="2"/>
      <c r="J36" s="19"/>
      <c r="K36" s="2"/>
      <c r="L36" s="2">
        <f t="shared" si="0"/>
        <v>-8871.52</v>
      </c>
      <c r="M36" s="2"/>
      <c r="N36" s="19">
        <f t="shared" si="1"/>
        <v>-1</v>
      </c>
      <c r="O36" s="11"/>
      <c r="P36" s="2">
        <f>--56310.14</f>
        <v>56310.14</v>
      </c>
      <c r="Q36" s="2"/>
      <c r="R36" s="19"/>
      <c r="S36" s="2"/>
      <c r="T36" s="2">
        <f>--69398.54</f>
        <v>69398.539999999994</v>
      </c>
      <c r="U36" s="2"/>
      <c r="V36" s="19"/>
      <c r="W36" s="2"/>
      <c r="X36" s="2">
        <f t="shared" si="2"/>
        <v>-13088.399999999994</v>
      </c>
      <c r="Y36" s="2"/>
      <c r="Z36" s="19">
        <f t="shared" si="3"/>
        <v>-0.18859762755815893</v>
      </c>
    </row>
    <row r="37" spans="1:26" s="24" customFormat="1" hidden="1" outlineLevel="1" x14ac:dyDescent="0.2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 t="shared" si="4"/>
        <v>0</v>
      </c>
      <c r="E37" s="2"/>
      <c r="F37" s="19"/>
      <c r="G37" s="2"/>
      <c r="H37" s="2">
        <f>--2173.93</f>
        <v>2173.9299999999998</v>
      </c>
      <c r="I37" s="2"/>
      <c r="J37" s="19"/>
      <c r="K37" s="2"/>
      <c r="L37" s="2">
        <f t="shared" si="0"/>
        <v>-2173.9299999999998</v>
      </c>
      <c r="M37" s="2"/>
      <c r="N37" s="19">
        <f t="shared" si="1"/>
        <v>-1</v>
      </c>
      <c r="O37" s="11"/>
      <c r="P37" s="2">
        <f>--16199.63</f>
        <v>16199.63</v>
      </c>
      <c r="Q37" s="2"/>
      <c r="R37" s="19"/>
      <c r="S37" s="2"/>
      <c r="T37" s="2">
        <f>--17387.86</f>
        <v>17387.86</v>
      </c>
      <c r="U37" s="2"/>
      <c r="V37" s="19"/>
      <c r="W37" s="2"/>
      <c r="X37" s="2">
        <f t="shared" si="2"/>
        <v>-1188.2300000000014</v>
      </c>
      <c r="Y37" s="2"/>
      <c r="Z37" s="19">
        <f t="shared" si="3"/>
        <v>-6.8336759095138866E-2</v>
      </c>
    </row>
    <row r="38" spans="1:26" s="24" customFormat="1" hidden="1" outlineLevel="1" x14ac:dyDescent="0.2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 t="shared" si="4"/>
        <v>0</v>
      </c>
      <c r="E38" s="2"/>
      <c r="F38" s="19"/>
      <c r="G38" s="2"/>
      <c r="H38" s="2">
        <f>--2233.29</f>
        <v>2233.29</v>
      </c>
      <c r="I38" s="2"/>
      <c r="J38" s="19"/>
      <c r="K38" s="2"/>
      <c r="L38" s="2">
        <f t="shared" si="0"/>
        <v>-2233.29</v>
      </c>
      <c r="M38" s="2"/>
      <c r="N38" s="19">
        <f t="shared" si="1"/>
        <v>-1</v>
      </c>
      <c r="O38" s="11"/>
      <c r="P38" s="2">
        <f>--15823.84</f>
        <v>15823.84</v>
      </c>
      <c r="Q38" s="2"/>
      <c r="R38" s="19"/>
      <c r="S38" s="2"/>
      <c r="T38" s="2">
        <f>--16838.32</f>
        <v>16838.32</v>
      </c>
      <c r="U38" s="2"/>
      <c r="V38" s="19"/>
      <c r="W38" s="2"/>
      <c r="X38" s="2">
        <f t="shared" si="2"/>
        <v>-1014.4799999999996</v>
      </c>
      <c r="Y38" s="2"/>
      <c r="Z38" s="19">
        <f t="shared" si="3"/>
        <v>-6.0248290803358029E-2</v>
      </c>
    </row>
    <row r="39" spans="1:26" s="24" customFormat="1" hidden="1" outlineLevel="1" x14ac:dyDescent="0.25">
      <c r="A39" s="44"/>
      <c r="B39" s="11" t="str">
        <f>CONCATENATE("          ", "4134", " - ", "NON-TAXABLE SALES-SODA")</f>
        <v xml:space="preserve">          4134 - NON-TAXABLE SALES-SODA</v>
      </c>
      <c r="C39" s="11"/>
      <c r="D39" s="2">
        <f t="shared" si="4"/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--1.89</f>
        <v>1.89</v>
      </c>
      <c r="Q39" s="2"/>
      <c r="R39" s="19"/>
      <c r="S39" s="2"/>
      <c r="T39" s="2">
        <f>--111.36</f>
        <v>111.36</v>
      </c>
      <c r="U39" s="2"/>
      <c r="V39" s="19"/>
      <c r="W39" s="2"/>
      <c r="X39" s="2">
        <f t="shared" si="2"/>
        <v>-109.47</v>
      </c>
      <c r="Y39" s="2"/>
      <c r="Z39" s="19">
        <f t="shared" si="3"/>
        <v>-0.98302801724137934</v>
      </c>
    </row>
    <row r="40" spans="1:26" s="24" customFormat="1" hidden="1" outlineLevel="1" x14ac:dyDescent="0.25">
      <c r="A40" s="44"/>
      <c r="B40" s="11" t="str">
        <f>CONCATENATE("          ", "4135", " - ", "NON-TAXABLE SALES")</f>
        <v xml:space="preserve">          4135 - NON-TAXABLE SALES</v>
      </c>
      <c r="C40" s="11"/>
      <c r="D40" s="2">
        <f t="shared" si="4"/>
        <v>0</v>
      </c>
      <c r="E40" s="2"/>
      <c r="F40" s="19"/>
      <c r="G40" s="2"/>
      <c r="H40" s="2">
        <f>--21.54</f>
        <v>21.54</v>
      </c>
      <c r="I40" s="2"/>
      <c r="J40" s="19"/>
      <c r="K40" s="2"/>
      <c r="L40" s="2">
        <f t="shared" si="0"/>
        <v>-21.54</v>
      </c>
      <c r="M40" s="2"/>
      <c r="N40" s="19">
        <f t="shared" si="1"/>
        <v>-1</v>
      </c>
      <c r="O40" s="11"/>
      <c r="P40" s="2">
        <f>--111.24</f>
        <v>111.24</v>
      </c>
      <c r="Q40" s="2"/>
      <c r="R40" s="19"/>
      <c r="S40" s="2"/>
      <c r="T40" s="2">
        <f>--173.7</f>
        <v>173.7</v>
      </c>
      <c r="U40" s="2"/>
      <c r="V40" s="19"/>
      <c r="W40" s="2"/>
      <c r="X40" s="2">
        <f t="shared" si="2"/>
        <v>-62.459999999999994</v>
      </c>
      <c r="Y40" s="2"/>
      <c r="Z40" s="19">
        <f t="shared" si="3"/>
        <v>-0.35958549222797925</v>
      </c>
    </row>
    <row r="41" spans="1:26" s="24" customFormat="1" hidden="1" outlineLevel="1" x14ac:dyDescent="0.25">
      <c r="A41" s="44"/>
      <c r="B41" s="11" t="str">
        <f>CONCATENATE("          ", "4137", " - ", "NON-TAXABLE SALES-WATER")</f>
        <v xml:space="preserve">          4137 - NON-TAXABLE SALES-WATER</v>
      </c>
      <c r="C41" s="11"/>
      <c r="D41" s="2">
        <f t="shared" si="4"/>
        <v>0</v>
      </c>
      <c r="E41" s="2"/>
      <c r="F41" s="19"/>
      <c r="G41" s="2"/>
      <c r="H41" s="2">
        <f>--1252.81</f>
        <v>1252.81</v>
      </c>
      <c r="I41" s="2"/>
      <c r="J41" s="19"/>
      <c r="K41" s="2"/>
      <c r="L41" s="2">
        <f t="shared" si="0"/>
        <v>-1252.81</v>
      </c>
      <c r="M41" s="2"/>
      <c r="N41" s="19">
        <f t="shared" si="1"/>
        <v>-1</v>
      </c>
      <c r="O41" s="11"/>
      <c r="P41" s="2">
        <f>--8396.06</f>
        <v>8396.06</v>
      </c>
      <c r="Q41" s="2"/>
      <c r="R41" s="19"/>
      <c r="S41" s="2"/>
      <c r="T41" s="2">
        <f>--9588.24</f>
        <v>9588.24</v>
      </c>
      <c r="U41" s="2"/>
      <c r="V41" s="19"/>
      <c r="W41" s="2"/>
      <c r="X41" s="2">
        <f t="shared" si="2"/>
        <v>-1192.1800000000003</v>
      </c>
      <c r="Y41" s="2"/>
      <c r="Z41" s="19">
        <f t="shared" si="3"/>
        <v>-0.12433773038639002</v>
      </c>
    </row>
    <row r="42" spans="1:26" s="24" customFormat="1" hidden="1" outlineLevel="1" x14ac:dyDescent="0.25">
      <c r="A42" s="44"/>
      <c r="B42" s="11" t="str">
        <f>CONCATENATE("          ", "4186", " - ", "NON-TAXABLE SALES-COMPUTER SUP")</f>
        <v xml:space="preserve">          4186 - NON-TAXABLE SALES-COMPUTER SUP</v>
      </c>
      <c r="C42" s="11"/>
      <c r="D42" s="2">
        <f t="shared" si="4"/>
        <v>0</v>
      </c>
      <c r="E42" s="2"/>
      <c r="F42" s="19"/>
      <c r="G42" s="2"/>
      <c r="H42" s="2">
        <f>-29</f>
        <v>-29</v>
      </c>
      <c r="I42" s="2"/>
      <c r="J42" s="19"/>
      <c r="K42" s="2"/>
      <c r="L42" s="2">
        <f t="shared" si="0"/>
        <v>29</v>
      </c>
      <c r="M42" s="2"/>
      <c r="N42" s="19">
        <f t="shared" si="1"/>
        <v>-1</v>
      </c>
      <c r="O42" s="11"/>
      <c r="P42" s="2">
        <f>-30.97</f>
        <v>-30.97</v>
      </c>
      <c r="Q42" s="2"/>
      <c r="R42" s="19"/>
      <c r="S42" s="2"/>
      <c r="T42" s="2">
        <f>-174.68</f>
        <v>-174.68</v>
      </c>
      <c r="U42" s="2"/>
      <c r="V42" s="19"/>
      <c r="W42" s="2"/>
      <c r="X42" s="2">
        <f t="shared" si="2"/>
        <v>143.71</v>
      </c>
      <c r="Y42" s="2"/>
      <c r="Z42" s="19">
        <f t="shared" si="3"/>
        <v>-0.82270437371193039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 t="shared" si="4"/>
        <v>0</v>
      </c>
      <c r="E43" s="2"/>
      <c r="F43" s="19"/>
      <c r="G43" s="2"/>
      <c r="H43" s="2">
        <f t="shared" ref="H43:H45" si="7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-35.13</f>
        <v>-35.130000000000003</v>
      </c>
      <c r="Q43" s="2"/>
      <c r="R43" s="19"/>
      <c r="S43" s="2"/>
      <c r="T43" s="2">
        <f>0</f>
        <v>0</v>
      </c>
      <c r="U43" s="2"/>
      <c r="V43" s="19"/>
      <c r="W43" s="2"/>
      <c r="X43" s="2">
        <f t="shared" si="2"/>
        <v>-35.130000000000003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 t="shared" si="4"/>
        <v>0</v>
      </c>
      <c r="E44" s="2"/>
      <c r="F44" s="19"/>
      <c r="G44" s="2"/>
      <c r="H44" s="2">
        <f t="shared" si="7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-11.05</f>
        <v>-11.05</v>
      </c>
      <c r="Q44" s="2"/>
      <c r="R44" s="19"/>
      <c r="S44" s="2"/>
      <c r="T44" s="2">
        <f>-73.21</f>
        <v>-73.209999999999994</v>
      </c>
      <c r="U44" s="2"/>
      <c r="V44" s="19"/>
      <c r="W44" s="2"/>
      <c r="X44" s="2">
        <f t="shared" si="2"/>
        <v>62.16</v>
      </c>
      <c r="Y44" s="2"/>
      <c r="Z44" s="19">
        <f t="shared" si="3"/>
        <v>-0.84906433547329607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 t="shared" si="4"/>
        <v>0</v>
      </c>
      <c r="E45" s="2"/>
      <c r="F45" s="19"/>
      <c r="G45" s="2"/>
      <c r="H45" s="2">
        <f t="shared" si="7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-42.06</f>
        <v>-42.06</v>
      </c>
      <c r="Q45" s="2"/>
      <c r="R45" s="19"/>
      <c r="S45" s="2"/>
      <c r="T45" s="2">
        <f>-66.17</f>
        <v>-66.17</v>
      </c>
      <c r="U45" s="2"/>
      <c r="V45" s="19"/>
      <c r="W45" s="2"/>
      <c r="X45" s="2">
        <f t="shared" si="2"/>
        <v>24.11</v>
      </c>
      <c r="Y45" s="2"/>
      <c r="Z45" s="19">
        <f t="shared" si="3"/>
        <v>-0.36436451564152939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 t="shared" si="4"/>
        <v>0</v>
      </c>
      <c r="E46" s="2"/>
      <c r="F46" s="19"/>
      <c r="G46" s="2"/>
      <c r="H46" s="2">
        <f>-611.93</f>
        <v>-611.92999999999995</v>
      </c>
      <c r="I46" s="2"/>
      <c r="J46" s="19"/>
      <c r="K46" s="2"/>
      <c r="L46" s="2">
        <f t="shared" si="0"/>
        <v>611.92999999999995</v>
      </c>
      <c r="M46" s="2"/>
      <c r="N46" s="19">
        <f t="shared" si="1"/>
        <v>-1</v>
      </c>
      <c r="O46" s="11"/>
      <c r="P46" s="2">
        <f>-4479.12</f>
        <v>-4479.12</v>
      </c>
      <c r="Q46" s="2"/>
      <c r="R46" s="19"/>
      <c r="S46" s="2"/>
      <c r="T46" s="2">
        <f>-7940.72</f>
        <v>-7940.72</v>
      </c>
      <c r="U46" s="2"/>
      <c r="V46" s="19"/>
      <c r="W46" s="2"/>
      <c r="X46" s="2">
        <f t="shared" si="2"/>
        <v>3461.6000000000004</v>
      </c>
      <c r="Y46" s="2"/>
      <c r="Z46" s="19">
        <f t="shared" si="3"/>
        <v>-0.43593024310138129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 t="shared" si="4"/>
        <v>0</v>
      </c>
      <c r="E47" s="2"/>
      <c r="F47" s="19"/>
      <c r="G47" s="2"/>
      <c r="H47" s="2">
        <f t="shared" ref="H47:H48" si="8"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-8.25</f>
        <v>-8.25</v>
      </c>
      <c r="Q47" s="2"/>
      <c r="R47" s="19"/>
      <c r="S47" s="2"/>
      <c r="T47" s="2">
        <f>-3.58</f>
        <v>-3.58</v>
      </c>
      <c r="U47" s="2"/>
      <c r="V47" s="19"/>
      <c r="W47" s="2"/>
      <c r="X47" s="2">
        <f t="shared" si="2"/>
        <v>-4.67</v>
      </c>
      <c r="Y47" s="2"/>
      <c r="Z47" s="19">
        <f t="shared" si="3"/>
        <v>1.3044692737430168</v>
      </c>
    </row>
    <row r="48" spans="1:26" s="24" customFormat="1" hidden="1" outlineLevel="1" x14ac:dyDescent="0.25">
      <c r="A48" s="44"/>
      <c r="B48" s="11" t="str">
        <f>CONCATENATE("          ", "4234", " - ", "SALES RETURN TAXABLE-SODA")</f>
        <v xml:space="preserve">          4234 - SALES RETURN TAXABLE-SODA</v>
      </c>
      <c r="C48" s="11"/>
      <c r="D48" s="2">
        <f t="shared" si="4"/>
        <v>0</v>
      </c>
      <c r="E48" s="2"/>
      <c r="F48" s="19"/>
      <c r="G48" s="2"/>
      <c r="H48" s="2">
        <f t="shared" si="8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0</f>
        <v>0</v>
      </c>
      <c r="Q48" s="2"/>
      <c r="R48" s="19"/>
      <c r="S48" s="2"/>
      <c r="T48" s="2">
        <f>-5.28</f>
        <v>-5.28</v>
      </c>
      <c r="U48" s="2"/>
      <c r="V48" s="19"/>
      <c r="W48" s="2"/>
      <c r="X48" s="2">
        <f t="shared" si="2"/>
        <v>5.28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"4281", " - ", "SALES RETURN TAXABLE-ELECTRONI")</f>
        <v xml:space="preserve">          4281 - SALES RETURN TAXABLE-ELECTRONI</v>
      </c>
      <c r="C49" s="11"/>
      <c r="D49" s="2">
        <f t="shared" si="4"/>
        <v>0</v>
      </c>
      <c r="E49" s="2"/>
      <c r="F49" s="19"/>
      <c r="G49" s="2"/>
      <c r="H49" s="2">
        <f>-9.99</f>
        <v>-9.99</v>
      </c>
      <c r="I49" s="2"/>
      <c r="J49" s="19"/>
      <c r="K49" s="2"/>
      <c r="L49" s="2">
        <f t="shared" si="0"/>
        <v>9.99</v>
      </c>
      <c r="M49" s="2"/>
      <c r="N49" s="19">
        <f t="shared" si="1"/>
        <v>-1</v>
      </c>
      <c r="O49" s="11"/>
      <c r="P49" s="2">
        <f>-54.97</f>
        <v>-54.97</v>
      </c>
      <c r="Q49" s="2"/>
      <c r="R49" s="19"/>
      <c r="S49" s="2"/>
      <c r="T49" s="2">
        <f>-64.95</f>
        <v>-64.95</v>
      </c>
      <c r="U49" s="2"/>
      <c r="V49" s="19"/>
      <c r="W49" s="2"/>
      <c r="X49" s="2">
        <f t="shared" si="2"/>
        <v>9.980000000000004</v>
      </c>
      <c r="Y49" s="2"/>
      <c r="Z49" s="19">
        <f t="shared" si="3"/>
        <v>-0.1536566589684373</v>
      </c>
    </row>
    <row r="50" spans="1:26" s="24" customFormat="1" hidden="1" outlineLevel="1" x14ac:dyDescent="0.25">
      <c r="A50" s="44"/>
      <c r="B50" s="11" t="str">
        <f>CONCATENATE("          ", "4331", " - ", "SALES RETURN NON TAXABLE-FOOD")</f>
        <v xml:space="preserve">          4331 - SALES RETURN NON TAXABLE-FOOD</v>
      </c>
      <c r="C50" s="11"/>
      <c r="D50" s="2">
        <f t="shared" si="4"/>
        <v>0</v>
      </c>
      <c r="E50" s="2"/>
      <c r="F50" s="19"/>
      <c r="G50" s="2"/>
      <c r="H50" s="2">
        <f t="shared" ref="H50:H51" si="9"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-12.57</f>
        <v>-12.57</v>
      </c>
      <c r="Q50" s="2"/>
      <c r="R50" s="19"/>
      <c r="S50" s="2"/>
      <c r="T50" s="2">
        <f t="shared" ref="T50:T51" si="10">0</f>
        <v>0</v>
      </c>
      <c r="U50" s="2"/>
      <c r="V50" s="19"/>
      <c r="W50" s="2"/>
      <c r="X50" s="2">
        <f t="shared" si="2"/>
        <v>-12.57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"4332", " - ", "SALES RETURN NON TAXABLE-JUICE")</f>
        <v xml:space="preserve">          4332 - SALES RETURN NON TAXABLE-JUICE</v>
      </c>
      <c r="C51" s="11"/>
      <c r="D51" s="2">
        <f t="shared" si="4"/>
        <v>0</v>
      </c>
      <c r="E51" s="2"/>
      <c r="F51" s="19"/>
      <c r="G51" s="2"/>
      <c r="H51" s="2">
        <f t="shared" si="9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-2.79</f>
        <v>-2.79</v>
      </c>
      <c r="Q51" s="2"/>
      <c r="R51" s="19"/>
      <c r="S51" s="2"/>
      <c r="T51" s="2">
        <f t="shared" si="10"/>
        <v>0</v>
      </c>
      <c r="U51" s="2"/>
      <c r="V51" s="19"/>
      <c r="W51" s="2"/>
      <c r="X51" s="2">
        <f t="shared" si="2"/>
        <v>-2.79</v>
      </c>
      <c r="Y51" s="2"/>
      <c r="Z51" s="19">
        <f t="shared" si="3"/>
        <v>0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9" t="s">
        <v>8</v>
      </c>
      <c r="C53" s="10"/>
      <c r="D53" s="4">
        <f>SUM(OSRRefD16x_0)</f>
        <v>0.38000000000079126</v>
      </c>
      <c r="E53" s="4"/>
      <c r="F53" s="12">
        <f t="shared" ref="F53:F74" si="11">IF(D$12=0,0,D53/D$12)</f>
        <v>0</v>
      </c>
      <c r="G53" s="4"/>
      <c r="H53" s="4">
        <f>SUM(OSRRefH16x_0)</f>
        <v>24034.600000000002</v>
      </c>
      <c r="I53" s="4"/>
      <c r="J53" s="12">
        <f t="shared" ref="J53:J74" si="12">IF(H$12=0,0,H53/H$12)</f>
        <v>0.53305128200578766</v>
      </c>
      <c r="K53" s="4"/>
      <c r="L53" s="4">
        <f t="shared" ref="L53:L74" si="13">+D53-H53</f>
        <v>-24034.22</v>
      </c>
      <c r="M53" s="4"/>
      <c r="N53" s="12">
        <f t="shared" ref="N53:N74" si="14">IF(H53=0,0,L53/H53)</f>
        <v>-0.99998418946019485</v>
      </c>
      <c r="O53" s="10"/>
      <c r="P53" s="4">
        <f>SUM(OSRRefP16x_0)</f>
        <v>215794.19</v>
      </c>
      <c r="Q53" s="4"/>
      <c r="R53" s="12">
        <f t="shared" ref="R53:R74" si="15">IF(P$12=0,0,P53/P$12)</f>
        <v>0.52562290670765466</v>
      </c>
      <c r="S53" s="4"/>
      <c r="T53" s="4">
        <f>SUM(OSRRefT16x_0)</f>
        <v>248960.82000000004</v>
      </c>
      <c r="U53" s="4"/>
      <c r="V53" s="12">
        <f t="shared" ref="V53:V74" si="16">IF(T$12=0,0,T53/T$12)</f>
        <v>0.5383315401260883</v>
      </c>
      <c r="W53" s="4"/>
      <c r="X53" s="4">
        <f t="shared" ref="X53:X74" si="17">+P53-T53</f>
        <v>-33166.630000000034</v>
      </c>
      <c r="Y53" s="4"/>
      <c r="Z53" s="12">
        <f t="shared" ref="Z53:Z74" si="18">IF(T53=0,0,X53/T53)</f>
        <v>-0.13322027939978678</v>
      </c>
    </row>
    <row r="54" spans="1:26" s="24" customFormat="1" hidden="1" outlineLevel="1" x14ac:dyDescent="0.25">
      <c r="A54" s="44"/>
      <c r="B54" s="11" t="str">
        <f>CONCATENATE("          ", "5014", " - ", "PURCHASES @ COST-REMAINDERS")</f>
        <v xml:space="preserve">          5014 - PURCHASES @ COST-REMAINDERS</v>
      </c>
      <c r="C54" s="11"/>
      <c r="D54" s="2"/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0</v>
      </c>
      <c r="M54" s="2"/>
      <c r="N54" s="19">
        <f t="shared" si="14"/>
        <v>0</v>
      </c>
      <c r="O54" s="11"/>
      <c r="P54" s="2">
        <v>14.46</v>
      </c>
      <c r="Q54" s="2"/>
      <c r="R54" s="19">
        <f t="shared" si="15"/>
        <v>3.522109298212657E-5</v>
      </c>
      <c r="S54" s="2"/>
      <c r="T54" s="2"/>
      <c r="U54" s="2"/>
      <c r="V54" s="19">
        <f t="shared" si="16"/>
        <v>0</v>
      </c>
      <c r="W54" s="2"/>
      <c r="X54" s="2">
        <f t="shared" si="17"/>
        <v>14.46</v>
      </c>
      <c r="Y54" s="2"/>
      <c r="Z54" s="19">
        <f t="shared" si="18"/>
        <v>0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11"/>
        <v>0</v>
      </c>
      <c r="G55" s="2"/>
      <c r="H55" s="2">
        <v>143</v>
      </c>
      <c r="I55" s="2"/>
      <c r="J55" s="19">
        <f t="shared" si="12"/>
        <v>3.1715249401624169E-3</v>
      </c>
      <c r="K55" s="2"/>
      <c r="L55" s="2">
        <f t="shared" si="13"/>
        <v>-143</v>
      </c>
      <c r="M55" s="2"/>
      <c r="N55" s="19">
        <f t="shared" si="14"/>
        <v>-1</v>
      </c>
      <c r="O55" s="11"/>
      <c r="P55" s="2">
        <v>688.18</v>
      </c>
      <c r="Q55" s="2"/>
      <c r="R55" s="19">
        <f t="shared" si="15"/>
        <v>1.6762414777620927E-3</v>
      </c>
      <c r="S55" s="2"/>
      <c r="T55" s="2">
        <v>1096.8800000000001</v>
      </c>
      <c r="U55" s="2"/>
      <c r="V55" s="19">
        <f t="shared" si="16"/>
        <v>2.3717993045391786E-3</v>
      </c>
      <c r="W55" s="2"/>
      <c r="X55" s="2">
        <f t="shared" si="17"/>
        <v>-408.70000000000016</v>
      </c>
      <c r="Y55" s="2"/>
      <c r="Z55" s="19">
        <f t="shared" si="18"/>
        <v>-0.3726022901320109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109.81</v>
      </c>
      <c r="E56" s="2"/>
      <c r="F56" s="19">
        <f t="shared" si="11"/>
        <v>0</v>
      </c>
      <c r="G56" s="2"/>
      <c r="H56" s="2">
        <v>134.83000000000001</v>
      </c>
      <c r="I56" s="2"/>
      <c r="J56" s="19">
        <f t="shared" si="12"/>
        <v>2.9903266271475433E-3</v>
      </c>
      <c r="K56" s="2"/>
      <c r="L56" s="2">
        <f t="shared" si="13"/>
        <v>-25.02000000000001</v>
      </c>
      <c r="M56" s="2"/>
      <c r="N56" s="19">
        <f t="shared" si="14"/>
        <v>-0.18556701030927841</v>
      </c>
      <c r="O56" s="11"/>
      <c r="P56" s="2">
        <v>4522.51</v>
      </c>
      <c r="Q56" s="2"/>
      <c r="R56" s="19">
        <f t="shared" si="15"/>
        <v>1.1015750015393998E-2</v>
      </c>
      <c r="S56" s="2"/>
      <c r="T56" s="2">
        <v>2765.81</v>
      </c>
      <c r="U56" s="2"/>
      <c r="V56" s="19">
        <f t="shared" si="16"/>
        <v>5.9805505018666631E-3</v>
      </c>
      <c r="W56" s="2"/>
      <c r="X56" s="2">
        <f t="shared" si="17"/>
        <v>1756.7000000000003</v>
      </c>
      <c r="Y56" s="2"/>
      <c r="Z56" s="19">
        <f t="shared" si="18"/>
        <v>0.63514847368402039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196.42</v>
      </c>
      <c r="E57" s="2"/>
      <c r="F57" s="19">
        <f t="shared" si="11"/>
        <v>0</v>
      </c>
      <c r="G57" s="2"/>
      <c r="H57" s="2">
        <v>183.9</v>
      </c>
      <c r="I57" s="2"/>
      <c r="J57" s="19">
        <f t="shared" si="12"/>
        <v>4.0786254300410382E-3</v>
      </c>
      <c r="K57" s="2"/>
      <c r="L57" s="2">
        <f t="shared" si="13"/>
        <v>12.519999999999982</v>
      </c>
      <c r="M57" s="2"/>
      <c r="N57" s="19">
        <f t="shared" si="14"/>
        <v>6.8080478520935184E-2</v>
      </c>
      <c r="O57" s="11"/>
      <c r="P57" s="2">
        <v>4064.57</v>
      </c>
      <c r="Q57" s="2"/>
      <c r="R57" s="19">
        <f t="shared" si="15"/>
        <v>9.9003179738839688E-3</v>
      </c>
      <c r="S57" s="2"/>
      <c r="T57" s="2">
        <v>3448.99</v>
      </c>
      <c r="U57" s="2"/>
      <c r="V57" s="19">
        <f t="shared" si="16"/>
        <v>7.4578003823231173E-3</v>
      </c>
      <c r="W57" s="2"/>
      <c r="X57" s="2">
        <f t="shared" si="17"/>
        <v>615.58000000000038</v>
      </c>
      <c r="Y57" s="2"/>
      <c r="Z57" s="19">
        <f t="shared" si="18"/>
        <v>0.17848123653591352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7700.3</v>
      </c>
      <c r="E58" s="2"/>
      <c r="F58" s="19">
        <f t="shared" si="11"/>
        <v>0</v>
      </c>
      <c r="G58" s="2"/>
      <c r="H58" s="2">
        <v>10766.79</v>
      </c>
      <c r="I58" s="2"/>
      <c r="J58" s="19">
        <f t="shared" si="12"/>
        <v>0.2387912098635756</v>
      </c>
      <c r="K58" s="2"/>
      <c r="L58" s="2">
        <f t="shared" si="13"/>
        <v>-3066.4900000000007</v>
      </c>
      <c r="M58" s="2"/>
      <c r="N58" s="19">
        <f t="shared" si="14"/>
        <v>-0.28481005016351207</v>
      </c>
      <c r="O58" s="11"/>
      <c r="P58" s="2">
        <v>152038.47</v>
      </c>
      <c r="Q58" s="2"/>
      <c r="R58" s="19">
        <f t="shared" si="15"/>
        <v>0.37032925924828913</v>
      </c>
      <c r="S58" s="2"/>
      <c r="T58" s="2">
        <v>170535.98</v>
      </c>
      <c r="U58" s="2"/>
      <c r="V58" s="19">
        <f t="shared" si="16"/>
        <v>0.36875238746527178</v>
      </c>
      <c r="W58" s="2"/>
      <c r="X58" s="2">
        <f t="shared" si="17"/>
        <v>-18497.510000000009</v>
      </c>
      <c r="Y58" s="2"/>
      <c r="Z58" s="19">
        <f t="shared" si="18"/>
        <v>-0.10846690534161769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/>
      <c r="E59" s="2"/>
      <c r="F59" s="19">
        <f t="shared" si="11"/>
        <v>0</v>
      </c>
      <c r="G59" s="2"/>
      <c r="H59" s="2">
        <v>4227.3599999999997</v>
      </c>
      <c r="I59" s="2"/>
      <c r="J59" s="19">
        <f t="shared" si="12"/>
        <v>9.375648721010485E-2</v>
      </c>
      <c r="K59" s="2"/>
      <c r="L59" s="2">
        <f t="shared" si="13"/>
        <v>-4227.3599999999997</v>
      </c>
      <c r="M59" s="2"/>
      <c r="N59" s="19">
        <f t="shared" si="14"/>
        <v>-1</v>
      </c>
      <c r="O59" s="11"/>
      <c r="P59" s="2">
        <v>32459.350000000002</v>
      </c>
      <c r="Q59" s="2"/>
      <c r="R59" s="19">
        <f t="shared" si="15"/>
        <v>7.9063193948090596E-2</v>
      </c>
      <c r="S59" s="2"/>
      <c r="T59" s="2">
        <v>35966.94</v>
      </c>
      <c r="U59" s="2"/>
      <c r="V59" s="19">
        <f t="shared" si="16"/>
        <v>7.7771828530379228E-2</v>
      </c>
      <c r="W59" s="2"/>
      <c r="X59" s="2">
        <f t="shared" si="17"/>
        <v>-3507.59</v>
      </c>
      <c r="Y59" s="2"/>
      <c r="Z59" s="19">
        <f t="shared" si="18"/>
        <v>-9.7522613822582621E-2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/>
      <c r="E60" s="2"/>
      <c r="F60" s="19">
        <f t="shared" si="11"/>
        <v>0</v>
      </c>
      <c r="G60" s="2"/>
      <c r="H60" s="2">
        <v>1104.8800000000001</v>
      </c>
      <c r="I60" s="2"/>
      <c r="J60" s="19">
        <f t="shared" si="12"/>
        <v>2.4504576754452109E-2</v>
      </c>
      <c r="K60" s="2"/>
      <c r="L60" s="2">
        <f t="shared" si="13"/>
        <v>-1104.8800000000001</v>
      </c>
      <c r="M60" s="2"/>
      <c r="N60" s="19">
        <f t="shared" si="14"/>
        <v>-1</v>
      </c>
      <c r="O60" s="11"/>
      <c r="P60" s="2">
        <v>7802.45</v>
      </c>
      <c r="Q60" s="2"/>
      <c r="R60" s="19">
        <f t="shared" si="15"/>
        <v>1.9004897436956669E-2</v>
      </c>
      <c r="S60" s="2"/>
      <c r="T60" s="2">
        <v>9365.76</v>
      </c>
      <c r="U60" s="2"/>
      <c r="V60" s="19">
        <f t="shared" si="16"/>
        <v>2.0251716737000269E-2</v>
      </c>
      <c r="W60" s="2"/>
      <c r="X60" s="2">
        <f t="shared" si="17"/>
        <v>-1563.3100000000004</v>
      </c>
      <c r="Y60" s="2"/>
      <c r="Z60" s="19">
        <f t="shared" si="18"/>
        <v>-0.16691758063413972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-25.2</v>
      </c>
      <c r="E61" s="2"/>
      <c r="F61" s="19">
        <f t="shared" si="11"/>
        <v>0</v>
      </c>
      <c r="G61" s="2"/>
      <c r="H61" s="2">
        <v>1041.29</v>
      </c>
      <c r="I61" s="2"/>
      <c r="J61" s="19">
        <f t="shared" si="12"/>
        <v>2.3094246188403656E-2</v>
      </c>
      <c r="K61" s="2"/>
      <c r="L61" s="2">
        <f t="shared" si="13"/>
        <v>-1066.49</v>
      </c>
      <c r="M61" s="2"/>
      <c r="N61" s="19">
        <f t="shared" si="14"/>
        <v>-1.0242007509915585</v>
      </c>
      <c r="O61" s="11"/>
      <c r="P61" s="2">
        <v>8879.33</v>
      </c>
      <c r="Q61" s="2"/>
      <c r="R61" s="19">
        <f t="shared" si="15"/>
        <v>2.1627918917633878E-2</v>
      </c>
      <c r="S61" s="2"/>
      <c r="T61" s="2">
        <v>8360.64</v>
      </c>
      <c r="U61" s="2"/>
      <c r="V61" s="19">
        <f t="shared" si="16"/>
        <v>1.8078331392223795E-2</v>
      </c>
      <c r="W61" s="2"/>
      <c r="X61" s="2">
        <f t="shared" si="17"/>
        <v>518.69000000000051</v>
      </c>
      <c r="Y61" s="2"/>
      <c r="Z61" s="19">
        <f t="shared" si="18"/>
        <v>6.2039508937114927E-2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/>
      <c r="E62" s="2"/>
      <c r="F62" s="19">
        <f t="shared" si="11"/>
        <v>0</v>
      </c>
      <c r="G62" s="2"/>
      <c r="H62" s="2">
        <v>367.08</v>
      </c>
      <c r="I62" s="2"/>
      <c r="J62" s="19">
        <f t="shared" si="12"/>
        <v>8.1412823429008394E-3</v>
      </c>
      <c r="K62" s="2"/>
      <c r="L62" s="2">
        <f t="shared" si="13"/>
        <v>-367.08</v>
      </c>
      <c r="M62" s="2"/>
      <c r="N62" s="19">
        <f t="shared" si="14"/>
        <v>-1</v>
      </c>
      <c r="O62" s="11"/>
      <c r="P62" s="2">
        <v>4033.88</v>
      </c>
      <c r="Q62" s="2"/>
      <c r="R62" s="19">
        <f t="shared" si="15"/>
        <v>9.8255644923057207E-3</v>
      </c>
      <c r="S62" s="2"/>
      <c r="T62" s="2">
        <v>3780.72</v>
      </c>
      <c r="U62" s="2"/>
      <c r="V62" s="19">
        <f t="shared" si="16"/>
        <v>8.175104903596896E-3</v>
      </c>
      <c r="W62" s="2"/>
      <c r="X62" s="2">
        <f t="shared" si="17"/>
        <v>253.16000000000031</v>
      </c>
      <c r="Y62" s="2"/>
      <c r="Z62" s="19">
        <f t="shared" si="18"/>
        <v>6.6960790537252249E-2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/>
      <c r="E63" s="2"/>
      <c r="F63" s="19">
        <f t="shared" si="11"/>
        <v>0</v>
      </c>
      <c r="G63" s="2"/>
      <c r="H63" s="2">
        <v>117.8</v>
      </c>
      <c r="I63" s="2"/>
      <c r="J63" s="19">
        <f t="shared" si="12"/>
        <v>2.6126268388191099E-3</v>
      </c>
      <c r="K63" s="2"/>
      <c r="L63" s="2">
        <f t="shared" si="13"/>
        <v>-117.8</v>
      </c>
      <c r="M63" s="2"/>
      <c r="N63" s="19">
        <f t="shared" si="14"/>
        <v>-1</v>
      </c>
      <c r="O63" s="11"/>
      <c r="P63" s="2">
        <v>1081.4000000000001</v>
      </c>
      <c r="Q63" s="2"/>
      <c r="R63" s="19">
        <f t="shared" si="15"/>
        <v>2.6340311169344172E-3</v>
      </c>
      <c r="S63" s="2"/>
      <c r="T63" s="2">
        <v>1119.67</v>
      </c>
      <c r="U63" s="2"/>
      <c r="V63" s="19">
        <f t="shared" si="16"/>
        <v>2.4210784473355173E-3</v>
      </c>
      <c r="W63" s="2"/>
      <c r="X63" s="2">
        <f t="shared" si="17"/>
        <v>-38.269999999999982</v>
      </c>
      <c r="Y63" s="2"/>
      <c r="Z63" s="19">
        <f t="shared" si="18"/>
        <v>-3.4179713665633604E-2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/>
      <c r="E64" s="2"/>
      <c r="F64" s="19">
        <f t="shared" si="11"/>
        <v>0</v>
      </c>
      <c r="G64" s="2"/>
      <c r="H64" s="2">
        <v>443.21</v>
      </c>
      <c r="I64" s="2"/>
      <c r="J64" s="19">
        <f t="shared" si="12"/>
        <v>9.8297312498558369E-3</v>
      </c>
      <c r="K64" s="2"/>
      <c r="L64" s="2">
        <f t="shared" si="13"/>
        <v>-443.21</v>
      </c>
      <c r="M64" s="2"/>
      <c r="N64" s="19">
        <f t="shared" si="14"/>
        <v>-1</v>
      </c>
      <c r="O64" s="11"/>
      <c r="P64" s="2">
        <v>5663.81</v>
      </c>
      <c r="Q64" s="2"/>
      <c r="R64" s="19">
        <f t="shared" si="15"/>
        <v>1.3795683170338746E-2</v>
      </c>
      <c r="S64" s="2"/>
      <c r="T64" s="2">
        <v>5781.04</v>
      </c>
      <c r="U64" s="2"/>
      <c r="V64" s="19">
        <f t="shared" si="16"/>
        <v>1.2500425435337661E-2</v>
      </c>
      <c r="W64" s="2"/>
      <c r="X64" s="2">
        <f t="shared" si="17"/>
        <v>-117.22999999999956</v>
      </c>
      <c r="Y64" s="2"/>
      <c r="Z64" s="19">
        <f t="shared" si="18"/>
        <v>-2.0278358219282269E-2</v>
      </c>
    </row>
    <row r="65" spans="1:26" s="24" customFormat="1" hidden="1" outlineLevel="1" x14ac:dyDescent="0.25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/>
      <c r="E65" s="2"/>
      <c r="F65" s="19">
        <f t="shared" si="11"/>
        <v>0</v>
      </c>
      <c r="G65" s="2"/>
      <c r="H65" s="2">
        <v>-126</v>
      </c>
      <c r="I65" s="2"/>
      <c r="J65" s="19">
        <f t="shared" si="12"/>
        <v>-2.7944905067165352E-3</v>
      </c>
      <c r="K65" s="2"/>
      <c r="L65" s="2">
        <f t="shared" si="13"/>
        <v>126</v>
      </c>
      <c r="M65" s="2"/>
      <c r="N65" s="19">
        <f t="shared" si="14"/>
        <v>-1</v>
      </c>
      <c r="O65" s="11"/>
      <c r="P65" s="2"/>
      <c r="Q65" s="2"/>
      <c r="R65" s="19">
        <f t="shared" si="15"/>
        <v>0</v>
      </c>
      <c r="S65" s="2"/>
      <c r="T65" s="2">
        <v>-126</v>
      </c>
      <c r="U65" s="2"/>
      <c r="V65" s="19">
        <f t="shared" si="16"/>
        <v>-2.7245160124346918E-4</v>
      </c>
      <c r="W65" s="2"/>
      <c r="X65" s="2">
        <f t="shared" si="17"/>
        <v>126</v>
      </c>
      <c r="Y65" s="2"/>
      <c r="Z65" s="19">
        <f t="shared" si="18"/>
        <v>-1</v>
      </c>
    </row>
    <row r="66" spans="1:26" s="24" customFormat="1" hidden="1" outlineLevel="1" x14ac:dyDescent="0.25">
      <c r="A66" s="44"/>
      <c r="B66" s="11" t="str">
        <f>CONCATENATE("          ", "5081", " - ", "PURCHASES @ COST-ELECTRONICS")</f>
        <v xml:space="preserve">          5081 - PURCHASES @ COST-ELECTRONICS</v>
      </c>
      <c r="C66" s="11"/>
      <c r="D66" s="2"/>
      <c r="E66" s="2"/>
      <c r="F66" s="19">
        <f t="shared" si="11"/>
        <v>0</v>
      </c>
      <c r="G66" s="2"/>
      <c r="H66" s="2"/>
      <c r="I66" s="2"/>
      <c r="J66" s="19">
        <f t="shared" si="12"/>
        <v>0</v>
      </c>
      <c r="K66" s="2"/>
      <c r="L66" s="2">
        <f t="shared" si="13"/>
        <v>0</v>
      </c>
      <c r="M66" s="2"/>
      <c r="N66" s="19">
        <f t="shared" si="14"/>
        <v>0</v>
      </c>
      <c r="O66" s="11"/>
      <c r="P66" s="2">
        <v>2008.03</v>
      </c>
      <c r="Q66" s="2"/>
      <c r="R66" s="19">
        <f t="shared" si="15"/>
        <v>4.8910796224688529E-3</v>
      </c>
      <c r="S66" s="2"/>
      <c r="T66" s="2">
        <v>2554.86</v>
      </c>
      <c r="U66" s="2"/>
      <c r="V66" s="19">
        <f t="shared" si="16"/>
        <v>5.5244103012134105E-3</v>
      </c>
      <c r="W66" s="2"/>
      <c r="X66" s="2">
        <f t="shared" si="17"/>
        <v>-546.83000000000015</v>
      </c>
      <c r="Y66" s="2"/>
      <c r="Z66" s="19">
        <f t="shared" si="18"/>
        <v>-0.21403521132273398</v>
      </c>
    </row>
    <row r="67" spans="1:26" s="24" customFormat="1" hidden="1" outlineLevel="1" x14ac:dyDescent="0.25">
      <c r="A67" s="44"/>
      <c r="B67" s="11" t="str">
        <f>CONCATENATE("          ", "5082", " - ", "PURCHASES @ COST-COMPUTER HARD")</f>
        <v xml:space="preserve">          5082 - PURCHASES @ COST-COMPUTER HARD</v>
      </c>
      <c r="C67" s="11"/>
      <c r="D67" s="2"/>
      <c r="E67" s="2"/>
      <c r="F67" s="19">
        <f t="shared" si="11"/>
        <v>0</v>
      </c>
      <c r="G67" s="2"/>
      <c r="H67" s="2"/>
      <c r="I67" s="2"/>
      <c r="J67" s="19">
        <f t="shared" si="12"/>
        <v>0</v>
      </c>
      <c r="K67" s="2"/>
      <c r="L67" s="2">
        <f t="shared" si="13"/>
        <v>0</v>
      </c>
      <c r="M67" s="2"/>
      <c r="N67" s="19">
        <f t="shared" si="14"/>
        <v>0</v>
      </c>
      <c r="O67" s="11"/>
      <c r="P67" s="2">
        <v>349.6</v>
      </c>
      <c r="Q67" s="2"/>
      <c r="R67" s="19">
        <f t="shared" si="15"/>
        <v>8.5154177776980975E-4</v>
      </c>
      <c r="S67" s="2"/>
      <c r="T67" s="2">
        <v>1118</v>
      </c>
      <c r="U67" s="2"/>
      <c r="V67" s="19">
        <f t="shared" si="16"/>
        <v>2.4174673824618933E-3</v>
      </c>
      <c r="W67" s="2"/>
      <c r="X67" s="2">
        <f t="shared" si="17"/>
        <v>-768.4</v>
      </c>
      <c r="Y67" s="2"/>
      <c r="Z67" s="19">
        <f t="shared" si="18"/>
        <v>-0.68729874776386402</v>
      </c>
    </row>
    <row r="68" spans="1:26" s="24" customFormat="1" hidden="1" outlineLevel="1" x14ac:dyDescent="0.25">
      <c r="A68" s="44"/>
      <c r="B68" s="11" t="str">
        <f>CONCATENATE("          ", "5083", " - ", "PURCHASES @ COST-COMPUTER EQUI")</f>
        <v xml:space="preserve">          5083 - PURCHASES @ COST-COMPUTER EQUI</v>
      </c>
      <c r="C68" s="11"/>
      <c r="D68" s="2"/>
      <c r="E68" s="2"/>
      <c r="F68" s="19">
        <f t="shared" si="11"/>
        <v>0</v>
      </c>
      <c r="G68" s="2"/>
      <c r="H68" s="2"/>
      <c r="I68" s="2"/>
      <c r="J68" s="19">
        <f t="shared" si="12"/>
        <v>0</v>
      </c>
      <c r="K68" s="2"/>
      <c r="L68" s="2">
        <f t="shared" si="13"/>
        <v>0</v>
      </c>
      <c r="M68" s="2"/>
      <c r="N68" s="19">
        <f t="shared" si="14"/>
        <v>0</v>
      </c>
      <c r="O68" s="11"/>
      <c r="P68" s="2">
        <v>304.70999999999998</v>
      </c>
      <c r="Q68" s="2"/>
      <c r="R68" s="19">
        <f t="shared" si="15"/>
        <v>7.4220050087024799E-4</v>
      </c>
      <c r="S68" s="2"/>
      <c r="T68" s="2">
        <v>710.19</v>
      </c>
      <c r="U68" s="2"/>
      <c r="V68" s="19">
        <f t="shared" si="16"/>
        <v>1.535653989580154E-3</v>
      </c>
      <c r="W68" s="2"/>
      <c r="X68" s="2">
        <f t="shared" si="17"/>
        <v>-405.48000000000008</v>
      </c>
      <c r="Y68" s="2"/>
      <c r="Z68" s="19">
        <f t="shared" si="18"/>
        <v>-0.57094580323575383</v>
      </c>
    </row>
    <row r="69" spans="1:26" s="24" customFormat="1" hidden="1" outlineLevel="1" x14ac:dyDescent="0.25">
      <c r="A69" s="44"/>
      <c r="B69" s="11" t="str">
        <f>CONCATENATE("          ", "5086", " - ", "PURCHASES @ COST-COMPUTER SUPP")</f>
        <v xml:space="preserve">          5086 - PURCHASES @ COST-COMPUTER SUPP</v>
      </c>
      <c r="C69" s="11"/>
      <c r="D69" s="2"/>
      <c r="E69" s="2"/>
      <c r="F69" s="19">
        <f t="shared" si="11"/>
        <v>0</v>
      </c>
      <c r="G69" s="2"/>
      <c r="H69" s="2"/>
      <c r="I69" s="2"/>
      <c r="J69" s="19">
        <f t="shared" si="12"/>
        <v>0</v>
      </c>
      <c r="K69" s="2"/>
      <c r="L69" s="2">
        <f t="shared" si="13"/>
        <v>0</v>
      </c>
      <c r="M69" s="2"/>
      <c r="N69" s="19">
        <f t="shared" si="14"/>
        <v>0</v>
      </c>
      <c r="O69" s="11"/>
      <c r="P69" s="2">
        <v>426.22</v>
      </c>
      <c r="Q69" s="2"/>
      <c r="R69" s="19">
        <f t="shared" si="15"/>
        <v>1.0381697268908704E-3</v>
      </c>
      <c r="S69" s="2"/>
      <c r="T69" s="2">
        <v>971.76</v>
      </c>
      <c r="U69" s="2"/>
      <c r="V69" s="19">
        <f t="shared" si="16"/>
        <v>2.1012505398758223E-3</v>
      </c>
      <c r="W69" s="2"/>
      <c r="X69" s="2">
        <f t="shared" si="17"/>
        <v>-545.54</v>
      </c>
      <c r="Y69" s="2"/>
      <c r="Z69" s="19">
        <f t="shared" si="18"/>
        <v>-0.56139375977607642</v>
      </c>
    </row>
    <row r="70" spans="1:26" s="24" customFormat="1" hidden="1" outlineLevel="1" x14ac:dyDescent="0.25">
      <c r="A70" s="44"/>
      <c r="B70" s="11" t="str">
        <f>CONCATENATE("          ", "5200", " - ", "PURCHASES OFFSET")</f>
        <v xml:space="preserve">          5200 - PURCHASES OFFSET</v>
      </c>
      <c r="C70" s="11"/>
      <c r="D70" s="2">
        <v>-8521</v>
      </c>
      <c r="E70" s="2"/>
      <c r="F70" s="19">
        <f t="shared" si="11"/>
        <v>0</v>
      </c>
      <c r="G70" s="2"/>
      <c r="H70" s="2">
        <v>-18650</v>
      </c>
      <c r="I70" s="2"/>
      <c r="J70" s="19">
        <f t="shared" si="12"/>
        <v>-0.4136289519862173</v>
      </c>
      <c r="K70" s="2"/>
      <c r="L70" s="2">
        <f t="shared" si="13"/>
        <v>10129</v>
      </c>
      <c r="M70" s="2"/>
      <c r="N70" s="19">
        <f t="shared" si="14"/>
        <v>-0.5431099195710456</v>
      </c>
      <c r="O70" s="11"/>
      <c r="P70" s="2">
        <v>-227521</v>
      </c>
      <c r="Q70" s="2"/>
      <c r="R70" s="19">
        <f t="shared" si="15"/>
        <v>-0.55418660417610088</v>
      </c>
      <c r="S70" s="2"/>
      <c r="T70" s="2">
        <v>-255029.00000000003</v>
      </c>
      <c r="U70" s="2"/>
      <c r="V70" s="19">
        <f t="shared" si="16"/>
        <v>-0.55145285248825959</v>
      </c>
      <c r="W70" s="2"/>
      <c r="X70" s="2">
        <f t="shared" si="17"/>
        <v>27508.000000000029</v>
      </c>
      <c r="Y70" s="2"/>
      <c r="Z70" s="19">
        <f t="shared" si="18"/>
        <v>-0.10786224311744949</v>
      </c>
    </row>
    <row r="71" spans="1:26" s="24" customFormat="1" hidden="1" outlineLevel="1" x14ac:dyDescent="0.25">
      <c r="A71" s="44"/>
      <c r="B71" s="11" t="str">
        <f>CONCATENATE("          ", "5300", " - ", "COG$ OFFSET")</f>
        <v xml:space="preserve">          5300 - COG$ OFFSET</v>
      </c>
      <c r="C71" s="11"/>
      <c r="D71" s="2"/>
      <c r="E71" s="2"/>
      <c r="F71" s="19">
        <f t="shared" si="11"/>
        <v>0</v>
      </c>
      <c r="G71" s="2"/>
      <c r="H71" s="2">
        <v>24035</v>
      </c>
      <c r="I71" s="2"/>
      <c r="J71" s="19">
        <f t="shared" si="12"/>
        <v>0.53306015340422164</v>
      </c>
      <c r="K71" s="2"/>
      <c r="L71" s="2">
        <f t="shared" si="13"/>
        <v>-24035</v>
      </c>
      <c r="M71" s="2"/>
      <c r="N71" s="19">
        <f t="shared" si="14"/>
        <v>-1</v>
      </c>
      <c r="O71" s="11"/>
      <c r="P71" s="2">
        <v>215717</v>
      </c>
      <c r="Q71" s="2"/>
      <c r="R71" s="19">
        <f t="shared" si="15"/>
        <v>0.5254348903752003</v>
      </c>
      <c r="S71" s="2"/>
      <c r="T71" s="2">
        <v>248956.00000000003</v>
      </c>
      <c r="U71" s="2"/>
      <c r="V71" s="19">
        <f t="shared" si="16"/>
        <v>0.53832111777118352</v>
      </c>
      <c r="W71" s="2"/>
      <c r="X71" s="2">
        <f t="shared" si="17"/>
        <v>-33239.000000000029</v>
      </c>
      <c r="Y71" s="2"/>
      <c r="Z71" s="19">
        <f t="shared" si="18"/>
        <v>-0.13351355259563949</v>
      </c>
    </row>
    <row r="72" spans="1:26" s="24" customFormat="1" hidden="1" outlineLevel="1" x14ac:dyDescent="0.25">
      <c r="A72" s="44"/>
      <c r="B72" s="11" t="str">
        <f>CONCATENATE("          ", "5500", " - ", "FREIGHT-IN")</f>
        <v xml:space="preserve">          5500 - FREIGHT-IN</v>
      </c>
      <c r="C72" s="11"/>
      <c r="D72" s="2"/>
      <c r="E72" s="2"/>
      <c r="F72" s="19">
        <f t="shared" si="11"/>
        <v>0</v>
      </c>
      <c r="G72" s="2"/>
      <c r="H72" s="2"/>
      <c r="I72" s="2"/>
      <c r="J72" s="19">
        <f t="shared" si="12"/>
        <v>0</v>
      </c>
      <c r="K72" s="2"/>
      <c r="L72" s="2">
        <f t="shared" si="13"/>
        <v>0</v>
      </c>
      <c r="M72" s="2"/>
      <c r="N72" s="19">
        <f t="shared" si="14"/>
        <v>0</v>
      </c>
      <c r="O72" s="11"/>
      <c r="P72" s="2">
        <v>80</v>
      </c>
      <c r="Q72" s="2"/>
      <c r="R72" s="19">
        <f t="shared" si="15"/>
        <v>1.9486081871162691E-4</v>
      </c>
      <c r="S72" s="2"/>
      <c r="T72" s="2"/>
      <c r="U72" s="2"/>
      <c r="V72" s="19">
        <f t="shared" si="16"/>
        <v>0</v>
      </c>
      <c r="W72" s="2"/>
      <c r="X72" s="2">
        <f t="shared" si="17"/>
        <v>80</v>
      </c>
      <c r="Y72" s="2"/>
      <c r="Z72" s="19">
        <f t="shared" si="18"/>
        <v>0</v>
      </c>
    </row>
    <row r="73" spans="1:26" s="24" customFormat="1" hidden="1" outlineLevel="1" x14ac:dyDescent="0.25">
      <c r="A73" s="44"/>
      <c r="B73" s="11" t="str">
        <f>CONCATENATE("          ", "5527", " - ", "FREIGHT-IN-SCHOOL SUPPLIES")</f>
        <v xml:space="preserve">          5527 - FREIGHT-IN-SCHOOL SUPPLIES</v>
      </c>
      <c r="C73" s="11"/>
      <c r="D73" s="2"/>
      <c r="E73" s="2"/>
      <c r="F73" s="19">
        <f t="shared" si="11"/>
        <v>0</v>
      </c>
      <c r="G73" s="2"/>
      <c r="H73" s="2">
        <v>7.67</v>
      </c>
      <c r="I73" s="2"/>
      <c r="J73" s="19">
        <f t="shared" si="12"/>
        <v>1.7010906497234781E-4</v>
      </c>
      <c r="K73" s="2"/>
      <c r="L73" s="2">
        <f t="shared" si="13"/>
        <v>-7.67</v>
      </c>
      <c r="M73" s="2"/>
      <c r="N73" s="19">
        <f t="shared" si="14"/>
        <v>-1</v>
      </c>
      <c r="O73" s="11"/>
      <c r="P73" s="2">
        <v>464.88</v>
      </c>
      <c r="Q73" s="2"/>
      <c r="R73" s="19">
        <f t="shared" si="15"/>
        <v>1.132336217533264E-3</v>
      </c>
      <c r="S73" s="2"/>
      <c r="T73" s="2">
        <v>116.26</v>
      </c>
      <c r="U73" s="2"/>
      <c r="V73" s="19">
        <f t="shared" si="16"/>
        <v>2.5139066000448991E-4</v>
      </c>
      <c r="W73" s="2"/>
      <c r="X73" s="2">
        <f t="shared" si="17"/>
        <v>348.62</v>
      </c>
      <c r="Y73" s="2"/>
      <c r="Z73" s="19">
        <f t="shared" si="18"/>
        <v>2.9986237742989847</v>
      </c>
    </row>
    <row r="74" spans="1:26" s="24" customFormat="1" hidden="1" outlineLevel="1" x14ac:dyDescent="0.25">
      <c r="A74" s="44"/>
      <c r="B74" s="11" t="str">
        <f>CONCATENATE("          ", "5528", " - ", "FREIGHT-IN-ART/TECH")</f>
        <v xml:space="preserve">          5528 - FREIGHT-IN-ART/TECH</v>
      </c>
      <c r="C74" s="11"/>
      <c r="D74" s="2">
        <v>540.04999999999995</v>
      </c>
      <c r="E74" s="2"/>
      <c r="F74" s="19">
        <f t="shared" si="11"/>
        <v>0</v>
      </c>
      <c r="G74" s="2"/>
      <c r="H74" s="2">
        <v>237.79</v>
      </c>
      <c r="I74" s="2"/>
      <c r="J74" s="19">
        <f t="shared" si="12"/>
        <v>5.2738245840644833E-3</v>
      </c>
      <c r="K74" s="2"/>
      <c r="L74" s="2">
        <f t="shared" si="13"/>
        <v>302.26</v>
      </c>
      <c r="M74" s="2"/>
      <c r="N74" s="19">
        <f t="shared" si="14"/>
        <v>1.2711215778628202</v>
      </c>
      <c r="O74" s="11"/>
      <c r="P74" s="2">
        <v>2716.34</v>
      </c>
      <c r="Q74" s="2"/>
      <c r="R74" s="19">
        <f t="shared" si="15"/>
        <v>6.6163529537392584E-3</v>
      </c>
      <c r="S74" s="2"/>
      <c r="T74" s="2">
        <v>7466.32</v>
      </c>
      <c r="U74" s="2"/>
      <c r="V74" s="19">
        <f t="shared" si="16"/>
        <v>1.6144530471397928E-2</v>
      </c>
      <c r="W74" s="2"/>
      <c r="X74" s="2">
        <f t="shared" si="17"/>
        <v>-4749.9799999999996</v>
      </c>
      <c r="Y74" s="2"/>
      <c r="Z74" s="19">
        <f t="shared" si="18"/>
        <v>-0.63618757299446038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6</v>
      </c>
      <c r="C76" s="28"/>
      <c r="D76" s="21">
        <f>D12-D53</f>
        <v>-0.38000000000079126</v>
      </c>
      <c r="E76" s="14"/>
      <c r="F76" s="20">
        <f>IF(D$12=0,0,D76/D$12)</f>
        <v>0</v>
      </c>
      <c r="G76" s="14"/>
      <c r="H76" s="21">
        <f>H12-H53</f>
        <v>21054.120000000006</v>
      </c>
      <c r="I76" s="14"/>
      <c r="J76" s="20">
        <f>IF(H$12=0,0,H76/H$12)</f>
        <v>0.46694871799421234</v>
      </c>
      <c r="K76" s="15"/>
      <c r="L76" s="21">
        <f>+D76-H76</f>
        <v>-21054.500000000007</v>
      </c>
      <c r="M76" s="15"/>
      <c r="N76" s="20">
        <f>IF(H76=0,0,L76/H76)</f>
        <v>-1.0000180487239552</v>
      </c>
      <c r="O76" s="29"/>
      <c r="P76" s="21">
        <f>P12-P53</f>
        <v>194755.25000000023</v>
      </c>
      <c r="Q76" s="14"/>
      <c r="R76" s="20">
        <f>IF(P$12=0,0,P76/P$12)</f>
        <v>0.47437709329234529</v>
      </c>
      <c r="S76" s="14"/>
      <c r="T76" s="21">
        <f>T12-T53</f>
        <v>213506.63999999981</v>
      </c>
      <c r="U76" s="14"/>
      <c r="V76" s="20">
        <f>IF(T$12=0,0,T76/T$12)</f>
        <v>0.46166845987391175</v>
      </c>
      <c r="W76" s="15"/>
      <c r="X76" s="21">
        <f>+P76-T76</f>
        <v>-18751.389999999577</v>
      </c>
      <c r="Y76" s="15"/>
      <c r="Z76" s="20">
        <f>IF(T76=0,0,X76/T76)</f>
        <v>-8.7825793146290881E-2</v>
      </c>
    </row>
    <row r="77" spans="1:26" x14ac:dyDescent="0.2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9</v>
      </c>
      <c r="C78" s="10"/>
      <c r="D78" s="22">
        <f>SUM(OSRRefD22x_0)</f>
        <v>299.55</v>
      </c>
      <c r="E78" s="22"/>
      <c r="F78" s="35">
        <f t="shared" ref="F78:F87" si="19">IF(D$12=0,0,D78/D$12)</f>
        <v>0</v>
      </c>
      <c r="G78" s="22"/>
      <c r="H78" s="22">
        <f>SUM(OSRRefH22x_0)</f>
        <v>10497.349999999999</v>
      </c>
      <c r="I78" s="22"/>
      <c r="J78" s="35">
        <f t="shared" ref="J78:J87" si="20">IF(H$12=0,0,H78/H$12)</f>
        <v>0.23281543587841919</v>
      </c>
      <c r="K78" s="4"/>
      <c r="L78" s="22">
        <f t="shared" ref="L78:L87" si="21">+D78-H78</f>
        <v>-10197.799999999999</v>
      </c>
      <c r="M78" s="4"/>
      <c r="N78" s="35">
        <f t="shared" ref="N78:N87" si="22">IF(H78=0,0,L78/H78)</f>
        <v>-0.97146422668578269</v>
      </c>
      <c r="O78" s="10"/>
      <c r="P78" s="22">
        <f>SUM(OSRRefP22x_0)</f>
        <v>108359.29</v>
      </c>
      <c r="Q78" s="22"/>
      <c r="R78" s="35">
        <f t="shared" ref="R78:R87" si="23">IF(P$12=0,0,P78/P$12)</f>
        <v>0.26393724955513259</v>
      </c>
      <c r="S78" s="22"/>
      <c r="T78" s="22">
        <f>SUM(OSRRefT22x_0)</f>
        <v>111477.33999999997</v>
      </c>
      <c r="U78" s="22"/>
      <c r="V78" s="35">
        <f t="shared" ref="V78:V87" si="24">IF(T$12=0,0,T78/T$12)</f>
        <v>0.24104904591557644</v>
      </c>
      <c r="W78" s="4"/>
      <c r="X78" s="22">
        <f t="shared" ref="X78:X87" si="25">+P78-T78</f>
        <v>-3118.0499999999738</v>
      </c>
      <c r="Y78" s="4"/>
      <c r="Z78" s="35">
        <f t="shared" ref="Z78:Z87" si="26">IF(T78=0,0,X78/T78)</f>
        <v>-2.7970258350261807E-2</v>
      </c>
    </row>
    <row r="79" spans="1:26" s="25" customFormat="1" outlineLevel="1" collapsed="1" x14ac:dyDescent="0.25">
      <c r="A79" s="26"/>
      <c r="B79" s="13" t="str">
        <f>CONCATENATE("     ","*Benefits                                         ")</f>
        <v xml:space="preserve">     *Benefits                                         </v>
      </c>
      <c r="C79" s="13"/>
      <c r="D79" s="1">
        <f>SUM(OSRRefD22_0x_0)</f>
        <v>0</v>
      </c>
      <c r="E79" s="1"/>
      <c r="F79" s="5">
        <f t="shared" si="19"/>
        <v>0</v>
      </c>
      <c r="G79" s="1"/>
      <c r="H79" s="1">
        <f>SUM(OSRRefH22_0x_0)</f>
        <v>1459.2899999999997</v>
      </c>
      <c r="I79" s="1"/>
      <c r="J79" s="5">
        <f t="shared" si="20"/>
        <v>3.2364857551955332E-2</v>
      </c>
      <c r="K79" s="1"/>
      <c r="L79" s="1">
        <f t="shared" si="21"/>
        <v>-1459.2899999999997</v>
      </c>
      <c r="M79" s="1"/>
      <c r="N79" s="5">
        <f t="shared" si="22"/>
        <v>-1</v>
      </c>
      <c r="O79" s="13"/>
      <c r="P79" s="1">
        <f>SUM(OSRRefP22_0x_0)</f>
        <v>17660.419999999998</v>
      </c>
      <c r="Q79" s="1"/>
      <c r="R79" s="5">
        <f t="shared" si="23"/>
        <v>4.3016548749889874E-2</v>
      </c>
      <c r="S79" s="1"/>
      <c r="T79" s="1">
        <f>SUM(OSRRefT22_0x_0)</f>
        <v>16940.609999999997</v>
      </c>
      <c r="U79" s="1"/>
      <c r="V79" s="5">
        <f t="shared" si="24"/>
        <v>3.6630923178897823E-2</v>
      </c>
      <c r="W79" s="1"/>
      <c r="X79" s="1">
        <f t="shared" si="25"/>
        <v>719.81000000000131</v>
      </c>
      <c r="Y79" s="1"/>
      <c r="Z79" s="5">
        <f t="shared" si="26"/>
        <v>4.2490205488468324E-2</v>
      </c>
    </row>
    <row r="80" spans="1:26" s="24" customFormat="1" hidden="1" outlineLevel="2" x14ac:dyDescent="0.25">
      <c r="A80" s="27"/>
      <c r="B80" s="11" t="str">
        <f>CONCATENATE("          ", "6111", " - ", "F.I.C.A.")</f>
        <v xml:space="preserve">          6111 - F.I.C.A.</v>
      </c>
      <c r="C80" s="11"/>
      <c r="D80" s="6"/>
      <c r="E80" s="2"/>
      <c r="F80" s="7">
        <f t="shared" si="19"/>
        <v>0</v>
      </c>
      <c r="G80" s="2"/>
      <c r="H80" s="6">
        <v>221.62</v>
      </c>
      <c r="I80" s="2"/>
      <c r="J80" s="7">
        <f t="shared" si="20"/>
        <v>4.9151983023691947E-3</v>
      </c>
      <c r="K80" s="2"/>
      <c r="L80" s="6">
        <f t="shared" si="21"/>
        <v>-221.62</v>
      </c>
      <c r="M80" s="2"/>
      <c r="N80" s="7">
        <f t="shared" si="22"/>
        <v>-1</v>
      </c>
      <c r="O80" s="11"/>
      <c r="P80" s="6">
        <v>2534.9299999999998</v>
      </c>
      <c r="Q80" s="2"/>
      <c r="R80" s="7">
        <f t="shared" si="23"/>
        <v>6.1744816897083051E-3</v>
      </c>
      <c r="S80" s="2"/>
      <c r="T80" s="6">
        <v>3388.76</v>
      </c>
      <c r="U80" s="2"/>
      <c r="V80" s="7">
        <f t="shared" si="24"/>
        <v>7.3275641923001488E-3</v>
      </c>
      <c r="W80" s="2"/>
      <c r="X80" s="6">
        <f t="shared" si="25"/>
        <v>-853.83000000000038</v>
      </c>
      <c r="Y80" s="2"/>
      <c r="Z80" s="7">
        <f t="shared" si="26"/>
        <v>-0.25195941878445222</v>
      </c>
    </row>
    <row r="81" spans="1:26" s="24" customFormat="1" hidden="1" outlineLevel="2" x14ac:dyDescent="0.25">
      <c r="A81" s="27"/>
      <c r="B81" s="11" t="str">
        <f>CONCATENATE("          ", "6112", " - ", "COMPENSATION INSURANCE")</f>
        <v xml:space="preserve">          6112 - COMPENSATION INSURANCE</v>
      </c>
      <c r="C81" s="11"/>
      <c r="D81" s="6"/>
      <c r="E81" s="2"/>
      <c r="F81" s="7">
        <f t="shared" si="19"/>
        <v>0</v>
      </c>
      <c r="G81" s="2"/>
      <c r="H81" s="6">
        <v>84.92</v>
      </c>
      <c r="I81" s="2"/>
      <c r="J81" s="7">
        <f t="shared" si="20"/>
        <v>1.8833978875426045E-3</v>
      </c>
      <c r="K81" s="2"/>
      <c r="L81" s="6">
        <f t="shared" si="21"/>
        <v>-84.92</v>
      </c>
      <c r="M81" s="2"/>
      <c r="N81" s="7">
        <f t="shared" si="22"/>
        <v>-1</v>
      </c>
      <c r="O81" s="11"/>
      <c r="P81" s="6">
        <v>1326.62</v>
      </c>
      <c r="Q81" s="2"/>
      <c r="R81" s="7">
        <f t="shared" si="23"/>
        <v>3.2313282414902309E-3</v>
      </c>
      <c r="S81" s="2"/>
      <c r="T81" s="6">
        <v>844.41</v>
      </c>
      <c r="U81" s="2"/>
      <c r="V81" s="7">
        <f t="shared" si="24"/>
        <v>1.8258798143333159E-3</v>
      </c>
      <c r="W81" s="2"/>
      <c r="X81" s="6">
        <f t="shared" si="25"/>
        <v>482.20999999999992</v>
      </c>
      <c r="Y81" s="2"/>
      <c r="Z81" s="7">
        <f t="shared" si="26"/>
        <v>0.57106145119077223</v>
      </c>
    </row>
    <row r="82" spans="1:26" s="24" customFormat="1" hidden="1" outlineLevel="2" x14ac:dyDescent="0.25">
      <c r="A82" s="27"/>
      <c r="B82" s="11" t="str">
        <f>CONCATENATE("          ", "6113", " - ", "GROUP INSURANCE")</f>
        <v xml:space="preserve">          6113 - GROUP INSURANCE</v>
      </c>
      <c r="C82" s="11"/>
      <c r="D82" s="6"/>
      <c r="E82" s="2"/>
      <c r="F82" s="7">
        <f t="shared" si="19"/>
        <v>0</v>
      </c>
      <c r="G82" s="2"/>
      <c r="H82" s="6">
        <v>488.51</v>
      </c>
      <c r="I82" s="2"/>
      <c r="J82" s="7">
        <f t="shared" si="20"/>
        <v>1.0834417122508688E-2</v>
      </c>
      <c r="K82" s="2"/>
      <c r="L82" s="6">
        <f t="shared" si="21"/>
        <v>-488.51</v>
      </c>
      <c r="M82" s="2"/>
      <c r="N82" s="7">
        <f t="shared" si="22"/>
        <v>-1</v>
      </c>
      <c r="O82" s="11"/>
      <c r="P82" s="6">
        <v>8133.54</v>
      </c>
      <c r="Q82" s="2"/>
      <c r="R82" s="7">
        <f t="shared" si="23"/>
        <v>1.9811353292797075E-2</v>
      </c>
      <c r="S82" s="2"/>
      <c r="T82" s="6">
        <v>5110.34</v>
      </c>
      <c r="U82" s="2"/>
      <c r="V82" s="7">
        <f t="shared" si="24"/>
        <v>1.1050161237290083E-2</v>
      </c>
      <c r="W82" s="2"/>
      <c r="X82" s="6">
        <f t="shared" si="25"/>
        <v>3023.2</v>
      </c>
      <c r="Y82" s="2"/>
      <c r="Z82" s="7">
        <f t="shared" si="26"/>
        <v>0.59158490433121858</v>
      </c>
    </row>
    <row r="83" spans="1:26" s="24" customFormat="1" hidden="1" outlineLevel="2" x14ac:dyDescent="0.25">
      <c r="A83" s="27"/>
      <c r="B83" s="11" t="str">
        <f>CONCATENATE("          ", "6114", " - ", "STATE UNEMPLOYMENT INSURANCE")</f>
        <v xml:space="preserve">          6114 - STATE UNEMPLOYMENT INSURANCE</v>
      </c>
      <c r="C83" s="11"/>
      <c r="D83" s="6"/>
      <c r="E83" s="2"/>
      <c r="F83" s="7">
        <f t="shared" si="19"/>
        <v>0</v>
      </c>
      <c r="G83" s="2"/>
      <c r="H83" s="6">
        <v>18.55</v>
      </c>
      <c r="I83" s="2"/>
      <c r="J83" s="7">
        <f t="shared" si="20"/>
        <v>4.1141110237771214E-4</v>
      </c>
      <c r="K83" s="2"/>
      <c r="L83" s="6">
        <f t="shared" si="21"/>
        <v>-18.55</v>
      </c>
      <c r="M83" s="2"/>
      <c r="N83" s="7">
        <f t="shared" si="22"/>
        <v>-1</v>
      </c>
      <c r="O83" s="11"/>
      <c r="P83" s="6">
        <v>203.94</v>
      </c>
      <c r="Q83" s="2"/>
      <c r="R83" s="7">
        <f t="shared" si="23"/>
        <v>4.9674894210061495E-4</v>
      </c>
      <c r="S83" s="2"/>
      <c r="T83" s="6">
        <v>211.21</v>
      </c>
      <c r="U83" s="2"/>
      <c r="V83" s="7">
        <f t="shared" si="24"/>
        <v>4.5670240237010421E-4</v>
      </c>
      <c r="W83" s="2"/>
      <c r="X83" s="6">
        <f t="shared" si="25"/>
        <v>-7.2700000000000102</v>
      </c>
      <c r="Y83" s="2"/>
      <c r="Z83" s="7">
        <f t="shared" si="26"/>
        <v>-3.4420718715969932E-2</v>
      </c>
    </row>
    <row r="84" spans="1:26" s="24" customFormat="1" hidden="1" outlineLevel="2" x14ac:dyDescent="0.25">
      <c r="A84" s="27"/>
      <c r="B84" s="11" t="str">
        <f>CONCATENATE("          ", "6115", " - ", "P.E.R.S.")</f>
        <v xml:space="preserve">          6115 - P.E.R.S.</v>
      </c>
      <c r="C84" s="11"/>
      <c r="D84" s="6"/>
      <c r="E84" s="2"/>
      <c r="F84" s="7">
        <f t="shared" si="19"/>
        <v>0</v>
      </c>
      <c r="G84" s="2"/>
      <c r="H84" s="6">
        <v>197.05</v>
      </c>
      <c r="I84" s="2"/>
      <c r="J84" s="7">
        <f t="shared" si="20"/>
        <v>4.370272653559471E-3</v>
      </c>
      <c r="K84" s="2"/>
      <c r="L84" s="6">
        <f t="shared" si="21"/>
        <v>-197.05</v>
      </c>
      <c r="M84" s="2"/>
      <c r="N84" s="7">
        <f t="shared" si="22"/>
        <v>-1</v>
      </c>
      <c r="O84" s="11"/>
      <c r="P84" s="6">
        <v>1788.49</v>
      </c>
      <c r="Q84" s="2"/>
      <c r="R84" s="7">
        <f t="shared" si="23"/>
        <v>4.3563328207194708E-3</v>
      </c>
      <c r="S84" s="2"/>
      <c r="T84" s="6">
        <v>2381.1799999999998</v>
      </c>
      <c r="U84" s="2"/>
      <c r="V84" s="7">
        <f t="shared" si="24"/>
        <v>5.1488595543565394E-3</v>
      </c>
      <c r="W84" s="2"/>
      <c r="X84" s="6">
        <f t="shared" si="25"/>
        <v>-592.68999999999983</v>
      </c>
      <c r="Y84" s="2"/>
      <c r="Z84" s="7">
        <f t="shared" si="26"/>
        <v>-0.24890600458596152</v>
      </c>
    </row>
    <row r="85" spans="1:26" s="24" customFormat="1" hidden="1" outlineLevel="2" x14ac:dyDescent="0.25">
      <c r="A85" s="27"/>
      <c r="B85" s="11" t="str">
        <f>CONCATENATE("          ", "6118", " - ", "VACATION")</f>
        <v xml:space="preserve">          6118 - VACATION</v>
      </c>
      <c r="C85" s="11"/>
      <c r="D85" s="6"/>
      <c r="E85" s="2"/>
      <c r="F85" s="7">
        <f t="shared" si="19"/>
        <v>0</v>
      </c>
      <c r="G85" s="2"/>
      <c r="H85" s="6">
        <v>165.96</v>
      </c>
      <c r="I85" s="2"/>
      <c r="J85" s="7">
        <f t="shared" si="20"/>
        <v>3.680743210275208E-3</v>
      </c>
      <c r="K85" s="2"/>
      <c r="L85" s="6">
        <f t="shared" si="21"/>
        <v>-165.96</v>
      </c>
      <c r="M85" s="2"/>
      <c r="N85" s="7">
        <f t="shared" si="22"/>
        <v>-1</v>
      </c>
      <c r="O85" s="11"/>
      <c r="P85" s="6">
        <v>1686.84</v>
      </c>
      <c r="Q85" s="2"/>
      <c r="R85" s="7">
        <f t="shared" si="23"/>
        <v>4.1087377929440094E-3</v>
      </c>
      <c r="S85" s="2"/>
      <c r="T85" s="6">
        <v>1574.29</v>
      </c>
      <c r="U85" s="2"/>
      <c r="V85" s="7">
        <f t="shared" si="24"/>
        <v>3.4041097723935009E-3</v>
      </c>
      <c r="W85" s="2"/>
      <c r="X85" s="6">
        <f t="shared" si="25"/>
        <v>112.54999999999995</v>
      </c>
      <c r="Y85" s="2"/>
      <c r="Z85" s="7">
        <f t="shared" si="26"/>
        <v>7.1492545846063918E-2</v>
      </c>
    </row>
    <row r="86" spans="1:26" s="24" customFormat="1" hidden="1" outlineLevel="2" x14ac:dyDescent="0.25">
      <c r="A86" s="27"/>
      <c r="B86" s="11" t="str">
        <f>CONCATENATE("          ", "6119", " - ", "SICK LEAVE")</f>
        <v xml:space="preserve">          6119 - SICK LEAVE</v>
      </c>
      <c r="C86" s="11"/>
      <c r="D86" s="6"/>
      <c r="E86" s="2"/>
      <c r="F86" s="7">
        <f t="shared" si="19"/>
        <v>0</v>
      </c>
      <c r="G86" s="2"/>
      <c r="H86" s="6">
        <v>132.84</v>
      </c>
      <c r="I86" s="2"/>
      <c r="J86" s="7">
        <f t="shared" si="20"/>
        <v>2.9461914199382902E-3</v>
      </c>
      <c r="K86" s="2"/>
      <c r="L86" s="6">
        <f t="shared" si="21"/>
        <v>-132.84</v>
      </c>
      <c r="M86" s="2"/>
      <c r="N86" s="7">
        <f t="shared" si="22"/>
        <v>-1</v>
      </c>
      <c r="O86" s="11"/>
      <c r="P86" s="6">
        <v>684.81</v>
      </c>
      <c r="Q86" s="2"/>
      <c r="R86" s="7">
        <f t="shared" si="23"/>
        <v>1.6680329657738652E-3</v>
      </c>
      <c r="S86" s="2"/>
      <c r="T86" s="6">
        <v>1932.74</v>
      </c>
      <c r="U86" s="2"/>
      <c r="V86" s="7">
        <f t="shared" si="24"/>
        <v>4.1791913316452595E-3</v>
      </c>
      <c r="W86" s="2"/>
      <c r="X86" s="6">
        <f t="shared" si="25"/>
        <v>-1247.93</v>
      </c>
      <c r="Y86" s="2"/>
      <c r="Z86" s="7">
        <f t="shared" si="26"/>
        <v>-0.64567919120005801</v>
      </c>
    </row>
    <row r="87" spans="1:26" s="24" customFormat="1" hidden="1" outlineLevel="2" x14ac:dyDescent="0.25">
      <c r="A87" s="27"/>
      <c r="B87" s="11" t="str">
        <f>CONCATENATE("          ", "6156", " - ", "EMPLOYEE MEALS")</f>
        <v xml:space="preserve">          6156 - EMPLOYEE MEALS</v>
      </c>
      <c r="C87" s="11"/>
      <c r="D87" s="6"/>
      <c r="E87" s="2"/>
      <c r="F87" s="7">
        <f t="shared" si="19"/>
        <v>0</v>
      </c>
      <c r="G87" s="2"/>
      <c r="H87" s="6">
        <v>149.84</v>
      </c>
      <c r="I87" s="2"/>
      <c r="J87" s="7">
        <f t="shared" si="20"/>
        <v>3.3232258533841719E-3</v>
      </c>
      <c r="K87" s="2"/>
      <c r="L87" s="6">
        <f t="shared" si="21"/>
        <v>-149.84</v>
      </c>
      <c r="M87" s="2"/>
      <c r="N87" s="7">
        <f t="shared" si="22"/>
        <v>-1</v>
      </c>
      <c r="O87" s="11"/>
      <c r="P87" s="6">
        <v>1301.25</v>
      </c>
      <c r="Q87" s="2"/>
      <c r="R87" s="7">
        <f t="shared" si="23"/>
        <v>3.1695330043563065E-3</v>
      </c>
      <c r="S87" s="2"/>
      <c r="T87" s="6">
        <v>1497.68</v>
      </c>
      <c r="U87" s="2"/>
      <c r="V87" s="7">
        <f t="shared" si="24"/>
        <v>3.2384548742088806E-3</v>
      </c>
      <c r="W87" s="2"/>
      <c r="X87" s="6">
        <f t="shared" si="25"/>
        <v>-196.43000000000006</v>
      </c>
      <c r="Y87" s="2"/>
      <c r="Z87" s="7">
        <f t="shared" si="26"/>
        <v>-0.13115618823780784</v>
      </c>
    </row>
    <row r="88" spans="1:26" s="25" customFormat="1" outlineLevel="1" collapsed="1" x14ac:dyDescent="0.25">
      <c r="A88" s="26"/>
      <c r="B88" s="13" t="str">
        <f>CONCATENATE("     ","*Payroll                                          ")</f>
        <v xml:space="preserve">     *Payroll                                          </v>
      </c>
      <c r="C88" s="13"/>
      <c r="D88" s="1">
        <f>SUM(OSRRefD22_1x_0)</f>
        <v>0</v>
      </c>
      <c r="E88" s="1"/>
      <c r="F88" s="5">
        <f t="shared" ref="F88:F92" si="27">IF(D$12=0,0,D88/D$12)</f>
        <v>0</v>
      </c>
      <c r="G88" s="1"/>
      <c r="H88" s="1">
        <f>SUM(OSRRefH22_1x_0)</f>
        <v>6448.76</v>
      </c>
      <c r="I88" s="1"/>
      <c r="J88" s="5">
        <f t="shared" ref="J88:J92" si="28">IF(H$12=0,0,H88/H$12)</f>
        <v>0.14302379841343907</v>
      </c>
      <c r="K88" s="1"/>
      <c r="L88" s="1">
        <f t="shared" ref="L88:L92" si="29">+D88-H88</f>
        <v>-6448.76</v>
      </c>
      <c r="M88" s="1"/>
      <c r="N88" s="5">
        <f t="shared" ref="N88:N92" si="30">IF(H88=0,0,L88/H88)</f>
        <v>-1</v>
      </c>
      <c r="O88" s="13"/>
      <c r="P88" s="1">
        <f>SUM(OSRRefP22_1x_0)</f>
        <v>74046.41</v>
      </c>
      <c r="Q88" s="1"/>
      <c r="R88" s="5">
        <f t="shared" ref="R88:R92" si="31">IF(P$12=0,0,P88/P$12)</f>
        <v>0.18035930094070998</v>
      </c>
      <c r="S88" s="1"/>
      <c r="T88" s="1">
        <f>SUM(OSRRefT22_1x_0)</f>
        <v>74140.740000000005</v>
      </c>
      <c r="U88" s="1"/>
      <c r="V88" s="5">
        <f t="shared" ref="V88:V92" si="32">IF(T$12=0,0,T88/T$12)</f>
        <v>0.16031558198710896</v>
      </c>
      <c r="W88" s="1"/>
      <c r="X88" s="1">
        <f t="shared" ref="X88:X92" si="33">+P88-T88</f>
        <v>-94.330000000001746</v>
      </c>
      <c r="Y88" s="1"/>
      <c r="Z88" s="5">
        <f t="shared" ref="Z88:Z92" si="34">IF(T88=0,0,X88/T88)</f>
        <v>-1.2723099337827184E-3</v>
      </c>
    </row>
    <row r="89" spans="1:26" s="24" customFormat="1" hidden="1" outlineLevel="2" x14ac:dyDescent="0.25">
      <c r="A89" s="27"/>
      <c r="B89" s="11" t="str">
        <f>CONCATENATE("          ", "6002", " - ", "STAFF SALARIES")</f>
        <v xml:space="preserve">          6002 - STAFF SALARIES</v>
      </c>
      <c r="C89" s="11"/>
      <c r="D89" s="6"/>
      <c r="E89" s="2"/>
      <c r="F89" s="7">
        <f t="shared" si="27"/>
        <v>0</v>
      </c>
      <c r="G89" s="2"/>
      <c r="H89" s="6">
        <v>2033.06</v>
      </c>
      <c r="I89" s="2"/>
      <c r="J89" s="7">
        <f t="shared" si="28"/>
        <v>4.5090213250675547E-2</v>
      </c>
      <c r="K89" s="2"/>
      <c r="L89" s="6">
        <f t="shared" si="29"/>
        <v>-2033.06</v>
      </c>
      <c r="M89" s="2"/>
      <c r="N89" s="7">
        <f t="shared" si="30"/>
        <v>-1</v>
      </c>
      <c r="O89" s="11"/>
      <c r="P89" s="6">
        <v>20966.809999999998</v>
      </c>
      <c r="Q89" s="2"/>
      <c r="R89" s="7">
        <f t="shared" si="31"/>
        <v>5.1070122029639078E-2</v>
      </c>
      <c r="S89" s="2"/>
      <c r="T89" s="6">
        <v>28052.560000000001</v>
      </c>
      <c r="U89" s="2"/>
      <c r="V89" s="7">
        <f t="shared" si="32"/>
        <v>6.0658451515702337E-2</v>
      </c>
      <c r="W89" s="2"/>
      <c r="X89" s="6">
        <f t="shared" si="33"/>
        <v>-7085.7500000000036</v>
      </c>
      <c r="Y89" s="2"/>
      <c r="Z89" s="7">
        <f t="shared" si="34"/>
        <v>-0.25258835557253967</v>
      </c>
    </row>
    <row r="90" spans="1:26" s="24" customFormat="1" hidden="1" outlineLevel="2" x14ac:dyDescent="0.25">
      <c r="A90" s="27"/>
      <c r="B90" s="11" t="str">
        <f>CONCATENATE("          ", "6005", " - ", "TEMPORARY WAGES-HOURLY")</f>
        <v xml:space="preserve">          6005 - TEMPORARY WAGES-HOURLY</v>
      </c>
      <c r="C90" s="11"/>
      <c r="D90" s="6"/>
      <c r="E90" s="2"/>
      <c r="F90" s="7">
        <f t="shared" si="27"/>
        <v>0</v>
      </c>
      <c r="G90" s="2"/>
      <c r="H90" s="6"/>
      <c r="I90" s="2"/>
      <c r="J90" s="7">
        <f t="shared" si="28"/>
        <v>0</v>
      </c>
      <c r="K90" s="2"/>
      <c r="L90" s="6">
        <f t="shared" si="29"/>
        <v>0</v>
      </c>
      <c r="M90" s="2"/>
      <c r="N90" s="7">
        <f t="shared" si="30"/>
        <v>0</v>
      </c>
      <c r="O90" s="11"/>
      <c r="P90" s="6">
        <v>7121.65</v>
      </c>
      <c r="Q90" s="2"/>
      <c r="R90" s="7">
        <f t="shared" si="31"/>
        <v>1.7346631869720724E-2</v>
      </c>
      <c r="S90" s="2"/>
      <c r="T90" s="6"/>
      <c r="U90" s="2"/>
      <c r="V90" s="7">
        <f t="shared" si="32"/>
        <v>0</v>
      </c>
      <c r="W90" s="2"/>
      <c r="X90" s="6">
        <f t="shared" si="33"/>
        <v>7121.65</v>
      </c>
      <c r="Y90" s="2"/>
      <c r="Z90" s="7">
        <f t="shared" si="34"/>
        <v>0</v>
      </c>
    </row>
    <row r="91" spans="1:26" s="24" customFormat="1" hidden="1" outlineLevel="2" x14ac:dyDescent="0.25">
      <c r="A91" s="27"/>
      <c r="B91" s="11" t="str">
        <f>CONCATENATE("          ", "6006", " - ", "TEMPORARY PART TIME")</f>
        <v xml:space="preserve">          6006 - TEMPORARY PART TIME</v>
      </c>
      <c r="C91" s="11"/>
      <c r="D91" s="6"/>
      <c r="E91" s="2"/>
      <c r="F91" s="7">
        <f t="shared" si="27"/>
        <v>0</v>
      </c>
      <c r="G91" s="2"/>
      <c r="H91" s="6"/>
      <c r="I91" s="2"/>
      <c r="J91" s="7">
        <f t="shared" si="28"/>
        <v>0</v>
      </c>
      <c r="K91" s="2"/>
      <c r="L91" s="6">
        <f t="shared" si="29"/>
        <v>0</v>
      </c>
      <c r="M91" s="2"/>
      <c r="N91" s="7">
        <f t="shared" si="30"/>
        <v>0</v>
      </c>
      <c r="O91" s="11"/>
      <c r="P91" s="6">
        <v>25.5</v>
      </c>
      <c r="Q91" s="2"/>
      <c r="R91" s="7">
        <f t="shared" si="31"/>
        <v>6.2111885964331076E-5</v>
      </c>
      <c r="S91" s="2"/>
      <c r="T91" s="6">
        <v>4261.5</v>
      </c>
      <c r="U91" s="2"/>
      <c r="V91" s="7">
        <f t="shared" si="32"/>
        <v>9.2147023706273326E-3</v>
      </c>
      <c r="W91" s="2"/>
      <c r="X91" s="6">
        <f t="shared" si="33"/>
        <v>-4236</v>
      </c>
      <c r="Y91" s="2"/>
      <c r="Z91" s="7">
        <f t="shared" si="34"/>
        <v>-0.99401619148187259</v>
      </c>
    </row>
    <row r="92" spans="1:26" s="24" customFormat="1" hidden="1" outlineLevel="2" x14ac:dyDescent="0.25">
      <c r="A92" s="27"/>
      <c r="B92" s="11" t="str">
        <f>CONCATENATE("          ", "6007", " - ", "STUDENT HOURLY")</f>
        <v xml:space="preserve">          6007 - STUDENT HOURLY</v>
      </c>
      <c r="C92" s="11"/>
      <c r="D92" s="6"/>
      <c r="E92" s="2"/>
      <c r="F92" s="7">
        <f t="shared" si="27"/>
        <v>0</v>
      </c>
      <c r="G92" s="2"/>
      <c r="H92" s="6">
        <v>4415.7</v>
      </c>
      <c r="I92" s="2"/>
      <c r="J92" s="7">
        <f t="shared" si="28"/>
        <v>9.7933585162763528E-2</v>
      </c>
      <c r="K92" s="2"/>
      <c r="L92" s="6">
        <f t="shared" si="29"/>
        <v>-4415.7</v>
      </c>
      <c r="M92" s="2"/>
      <c r="N92" s="7">
        <f t="shared" si="30"/>
        <v>-1</v>
      </c>
      <c r="O92" s="11"/>
      <c r="P92" s="6">
        <v>45932.45</v>
      </c>
      <c r="Q92" s="2"/>
      <c r="R92" s="7">
        <f t="shared" si="31"/>
        <v>0.11188043515538584</v>
      </c>
      <c r="S92" s="2"/>
      <c r="T92" s="6">
        <v>41826.68</v>
      </c>
      <c r="U92" s="2"/>
      <c r="V92" s="7">
        <f t="shared" si="32"/>
        <v>9.0442428100779279E-2</v>
      </c>
      <c r="W92" s="2"/>
      <c r="X92" s="6">
        <f t="shared" si="33"/>
        <v>4105.7699999999968</v>
      </c>
      <c r="Y92" s="2"/>
      <c r="Z92" s="7">
        <f t="shared" si="34"/>
        <v>9.8161508396076305E-2</v>
      </c>
    </row>
    <row r="93" spans="1:26" s="25" customFormat="1" outlineLevel="1" collapsed="1" x14ac:dyDescent="0.25">
      <c r="A93" s="26"/>
      <c r="B93" s="13" t="str">
        <f>CONCATENATE("     ","Advertising/Promo                                 ")</f>
        <v xml:space="preserve">     Advertising/Promo                                 </v>
      </c>
      <c r="C93" s="13"/>
      <c r="D93" s="1">
        <f>SUM(OSRRefD22_2x_0)</f>
        <v>0</v>
      </c>
      <c r="E93" s="1"/>
      <c r="F93" s="5">
        <f t="shared" ref="F93:F99" si="35">IF(D$12=0,0,D93/D$12)</f>
        <v>0</v>
      </c>
      <c r="G93" s="1"/>
      <c r="H93" s="1">
        <f>SUM(OSRRefH22_2x_0)</f>
        <v>21</v>
      </c>
      <c r="I93" s="1"/>
      <c r="J93" s="5">
        <f t="shared" ref="J93:J99" si="36">IF(H$12=0,0,H93/H$12)</f>
        <v>4.6574841778608919E-4</v>
      </c>
      <c r="K93" s="1"/>
      <c r="L93" s="1">
        <f t="shared" ref="L93:L99" si="37">+D93-H93</f>
        <v>-21</v>
      </c>
      <c r="M93" s="1"/>
      <c r="N93" s="5">
        <f t="shared" ref="N93:N99" si="38">IF(H93=0,0,L93/H93)</f>
        <v>-1</v>
      </c>
      <c r="O93" s="13"/>
      <c r="P93" s="1">
        <f>SUM(OSRRefP22_2x_0)</f>
        <v>963.62</v>
      </c>
      <c r="Q93" s="1"/>
      <c r="R93" s="5">
        <f t="shared" ref="R93:R99" si="39">IF(P$12=0,0,P93/P$12)</f>
        <v>2.3471472765862244E-3</v>
      </c>
      <c r="S93" s="1"/>
      <c r="T93" s="1">
        <f>SUM(OSRRefT22_2x_0)</f>
        <v>27</v>
      </c>
      <c r="U93" s="1"/>
      <c r="V93" s="5">
        <f t="shared" ref="V93:V99" si="40">IF(T$12=0,0,T93/T$12)</f>
        <v>5.8382485980743398E-5</v>
      </c>
      <c r="W93" s="1"/>
      <c r="X93" s="1">
        <f t="shared" ref="X93:X99" si="41">+P93-T93</f>
        <v>936.62</v>
      </c>
      <c r="Y93" s="1"/>
      <c r="Z93" s="5">
        <f t="shared" ref="Z93:Z99" si="42">IF(T93=0,0,X93/T93)</f>
        <v>34.689629629629628</v>
      </c>
    </row>
    <row r="94" spans="1:26" s="24" customFormat="1" hidden="1" outlineLevel="2" x14ac:dyDescent="0.25">
      <c r="A94" s="27"/>
      <c r="B94" s="11" t="str">
        <f>CONCATENATE("          ", "6362", " - ", "ADVERTISING EXPENSE")</f>
        <v xml:space="preserve">          6362 - ADVERTISING EXPENSE</v>
      </c>
      <c r="C94" s="11"/>
      <c r="D94" s="6"/>
      <c r="E94" s="2"/>
      <c r="F94" s="7">
        <f t="shared" si="35"/>
        <v>0</v>
      </c>
      <c r="G94" s="2"/>
      <c r="H94" s="6">
        <v>21</v>
      </c>
      <c r="I94" s="2"/>
      <c r="J94" s="7">
        <f t="shared" si="36"/>
        <v>4.6574841778608919E-4</v>
      </c>
      <c r="K94" s="2"/>
      <c r="L94" s="6">
        <f t="shared" si="37"/>
        <v>-21</v>
      </c>
      <c r="M94" s="2"/>
      <c r="N94" s="7">
        <f t="shared" si="38"/>
        <v>-1</v>
      </c>
      <c r="O94" s="11"/>
      <c r="P94" s="6">
        <v>963.62</v>
      </c>
      <c r="Q94" s="2"/>
      <c r="R94" s="7">
        <f t="shared" si="39"/>
        <v>2.3471472765862244E-3</v>
      </c>
      <c r="S94" s="2"/>
      <c r="T94" s="6">
        <v>27</v>
      </c>
      <c r="U94" s="2"/>
      <c r="V94" s="7">
        <f t="shared" si="40"/>
        <v>5.8382485980743398E-5</v>
      </c>
      <c r="W94" s="2"/>
      <c r="X94" s="6">
        <f t="shared" si="41"/>
        <v>936.62</v>
      </c>
      <c r="Y94" s="2"/>
      <c r="Z94" s="7">
        <f t="shared" si="42"/>
        <v>34.689629629629628</v>
      </c>
    </row>
    <row r="95" spans="1:26" s="25" customFormat="1" outlineLevel="1" collapsed="1" x14ac:dyDescent="0.25">
      <c r="A95" s="26"/>
      <c r="B95" s="13" t="str">
        <f>CONCATENATE("     ","Bad Debts/Over/Short                              ")</f>
        <v xml:space="preserve">     Bad Debts/Over/Short                              </v>
      </c>
      <c r="C95" s="13"/>
      <c r="D95" s="1">
        <f>SUM(OSRRefD22_3x_0)</f>
        <v>0</v>
      </c>
      <c r="E95" s="1"/>
      <c r="F95" s="5">
        <f t="shared" si="35"/>
        <v>0</v>
      </c>
      <c r="G95" s="1"/>
      <c r="H95" s="1">
        <f>SUM(OSRRefH22_3x_0)</f>
        <v>4.84</v>
      </c>
      <c r="I95" s="1"/>
      <c r="J95" s="5">
        <f t="shared" si="36"/>
        <v>1.0734392105165104E-4</v>
      </c>
      <c r="K95" s="1"/>
      <c r="L95" s="1">
        <f t="shared" si="37"/>
        <v>-4.84</v>
      </c>
      <c r="M95" s="1"/>
      <c r="N95" s="5">
        <f t="shared" si="38"/>
        <v>-1</v>
      </c>
      <c r="O95" s="13"/>
      <c r="P95" s="1">
        <f>SUM(OSRRefP22_3x_0)</f>
        <v>-55.84</v>
      </c>
      <c r="Q95" s="1"/>
      <c r="R95" s="5">
        <f t="shared" si="39"/>
        <v>-1.360128514607156E-4</v>
      </c>
      <c r="S95" s="1"/>
      <c r="T95" s="1">
        <f>SUM(OSRRefT22_3x_0)</f>
        <v>15.38</v>
      </c>
      <c r="U95" s="1"/>
      <c r="V95" s="5">
        <f t="shared" si="40"/>
        <v>3.3256393866067909E-5</v>
      </c>
      <c r="W95" s="1"/>
      <c r="X95" s="1">
        <f t="shared" si="41"/>
        <v>-71.22</v>
      </c>
      <c r="Y95" s="1"/>
      <c r="Z95" s="5">
        <f t="shared" si="42"/>
        <v>-4.6306892067620282</v>
      </c>
    </row>
    <row r="96" spans="1:26" s="24" customFormat="1" hidden="1" outlineLevel="2" x14ac:dyDescent="0.25">
      <c r="A96" s="27"/>
      <c r="B96" s="11" t="str">
        <f>CONCATENATE("          ", "6272", " - ", "CASH (OVER/SHORT)")</f>
        <v xml:space="preserve">          6272 - CASH (OVER/SHORT)</v>
      </c>
      <c r="C96" s="11"/>
      <c r="D96" s="6"/>
      <c r="E96" s="2"/>
      <c r="F96" s="7">
        <f t="shared" si="35"/>
        <v>0</v>
      </c>
      <c r="G96" s="2"/>
      <c r="H96" s="6">
        <v>4.84</v>
      </c>
      <c r="I96" s="2"/>
      <c r="J96" s="7">
        <f t="shared" si="36"/>
        <v>1.0734392105165104E-4</v>
      </c>
      <c r="K96" s="2"/>
      <c r="L96" s="6">
        <f t="shared" si="37"/>
        <v>-4.84</v>
      </c>
      <c r="M96" s="2"/>
      <c r="N96" s="7">
        <f t="shared" si="38"/>
        <v>-1</v>
      </c>
      <c r="O96" s="11"/>
      <c r="P96" s="6">
        <v>-55.84</v>
      </c>
      <c r="Q96" s="2"/>
      <c r="R96" s="7">
        <f t="shared" si="39"/>
        <v>-1.360128514607156E-4</v>
      </c>
      <c r="S96" s="2"/>
      <c r="T96" s="6">
        <v>15.38</v>
      </c>
      <c r="U96" s="2"/>
      <c r="V96" s="7">
        <f t="shared" si="40"/>
        <v>3.3256393866067909E-5</v>
      </c>
      <c r="W96" s="2"/>
      <c r="X96" s="6">
        <f t="shared" si="41"/>
        <v>-71.22</v>
      </c>
      <c r="Y96" s="2"/>
      <c r="Z96" s="7">
        <f t="shared" si="42"/>
        <v>-4.6306892067620282</v>
      </c>
    </row>
    <row r="97" spans="1:26" s="25" customFormat="1" outlineLevel="1" collapsed="1" x14ac:dyDescent="0.25">
      <c r="A97" s="26"/>
      <c r="B97" s="13" t="str">
        <f>CONCATENATE("     ","Discounts and Markdowns                           ")</f>
        <v xml:space="preserve">     Discounts and Markdowns                           </v>
      </c>
      <c r="C97" s="13"/>
      <c r="D97" s="1">
        <f>SUM(OSRRefD22_4x_0)</f>
        <v>0</v>
      </c>
      <c r="E97" s="1"/>
      <c r="F97" s="5">
        <f t="shared" si="35"/>
        <v>0</v>
      </c>
      <c r="G97" s="1"/>
      <c r="H97" s="1">
        <f>SUM(OSRRefH22_4x_0)</f>
        <v>698.52</v>
      </c>
      <c r="I97" s="1"/>
      <c r="J97" s="5">
        <f t="shared" si="36"/>
        <v>1.549212308533043E-2</v>
      </c>
      <c r="K97" s="1"/>
      <c r="L97" s="1">
        <f t="shared" si="37"/>
        <v>-698.52</v>
      </c>
      <c r="M97" s="1"/>
      <c r="N97" s="5">
        <f t="shared" si="38"/>
        <v>-1</v>
      </c>
      <c r="O97" s="13"/>
      <c r="P97" s="1">
        <f>SUM(OSRRefP22_4x_0)</f>
        <v>8936.44</v>
      </c>
      <c r="Q97" s="1"/>
      <c r="R97" s="5">
        <f t="shared" si="39"/>
        <v>2.1767025184591643E-2</v>
      </c>
      <c r="S97" s="1"/>
      <c r="T97" s="1">
        <f>SUM(OSRRefT22_4x_0)</f>
        <v>8477.7200000000012</v>
      </c>
      <c r="U97" s="1"/>
      <c r="V97" s="5">
        <f t="shared" si="40"/>
        <v>1.8331495149950666E-2</v>
      </c>
      <c r="W97" s="1"/>
      <c r="X97" s="1">
        <f t="shared" si="41"/>
        <v>458.71999999999935</v>
      </c>
      <c r="Y97" s="1"/>
      <c r="Z97" s="5">
        <f t="shared" si="42"/>
        <v>5.4108887766993873E-2</v>
      </c>
    </row>
    <row r="98" spans="1:26" s="24" customFormat="1" hidden="1" outlineLevel="2" x14ac:dyDescent="0.25">
      <c r="A98" s="27"/>
      <c r="B98" s="11" t="str">
        <f>CONCATENATE("          ", "6382", " - ", "DISCOUNTS/MARK DOWNS")</f>
        <v xml:space="preserve">          6382 - DISCOUNTS/MARK DOWNS</v>
      </c>
      <c r="C98" s="11"/>
      <c r="D98" s="6"/>
      <c r="E98" s="2"/>
      <c r="F98" s="7">
        <f t="shared" si="35"/>
        <v>0</v>
      </c>
      <c r="G98" s="2"/>
      <c r="H98" s="6">
        <v>698.52</v>
      </c>
      <c r="I98" s="2"/>
      <c r="J98" s="7">
        <f t="shared" si="36"/>
        <v>1.549212308533043E-2</v>
      </c>
      <c r="K98" s="2"/>
      <c r="L98" s="6">
        <f t="shared" si="37"/>
        <v>-698.52</v>
      </c>
      <c r="M98" s="2"/>
      <c r="N98" s="7">
        <f t="shared" si="38"/>
        <v>-1</v>
      </c>
      <c r="O98" s="11"/>
      <c r="P98" s="6">
        <v>8936.44</v>
      </c>
      <c r="Q98" s="2"/>
      <c r="R98" s="7">
        <f t="shared" si="39"/>
        <v>2.1767025184591643E-2</v>
      </c>
      <c r="S98" s="2"/>
      <c r="T98" s="6">
        <v>8546.68</v>
      </c>
      <c r="U98" s="2"/>
      <c r="V98" s="7">
        <f t="shared" si="40"/>
        <v>1.8480608343774074E-2</v>
      </c>
      <c r="W98" s="2"/>
      <c r="X98" s="6">
        <f t="shared" si="41"/>
        <v>389.76000000000022</v>
      </c>
      <c r="Y98" s="2"/>
      <c r="Z98" s="7">
        <f t="shared" si="42"/>
        <v>4.5603673005190346E-2</v>
      </c>
    </row>
    <row r="99" spans="1:26" s="24" customFormat="1" hidden="1" outlineLevel="2" x14ac:dyDescent="0.25">
      <c r="A99" s="27"/>
      <c r="B99" s="11" t="str">
        <f>CONCATENATE("          ", "9175", " - ", "EARNED DISCOUNTS")</f>
        <v xml:space="preserve">          9175 - EARNED DISCOUNTS</v>
      </c>
      <c r="C99" s="11"/>
      <c r="D99" s="6"/>
      <c r="E99" s="2"/>
      <c r="F99" s="7">
        <f t="shared" si="35"/>
        <v>0</v>
      </c>
      <c r="G99" s="2"/>
      <c r="H99" s="6"/>
      <c r="I99" s="2"/>
      <c r="J99" s="7">
        <f t="shared" si="36"/>
        <v>0</v>
      </c>
      <c r="K99" s="2"/>
      <c r="L99" s="6">
        <f t="shared" si="37"/>
        <v>0</v>
      </c>
      <c r="M99" s="2"/>
      <c r="N99" s="7">
        <f t="shared" si="38"/>
        <v>0</v>
      </c>
      <c r="O99" s="11"/>
      <c r="P99" s="6">
        <v>0</v>
      </c>
      <c r="Q99" s="2"/>
      <c r="R99" s="7">
        <f t="shared" si="39"/>
        <v>0</v>
      </c>
      <c r="S99" s="2"/>
      <c r="T99" s="6">
        <v>-68.959999999999994</v>
      </c>
      <c r="U99" s="2"/>
      <c r="V99" s="7">
        <f t="shared" si="40"/>
        <v>-1.491131938234098E-4</v>
      </c>
      <c r="W99" s="2"/>
      <c r="X99" s="6">
        <f t="shared" si="41"/>
        <v>68.959999999999994</v>
      </c>
      <c r="Y99" s="2"/>
      <c r="Z99" s="7">
        <f t="shared" si="42"/>
        <v>-1</v>
      </c>
    </row>
    <row r="100" spans="1:26" s="25" customFormat="1" outlineLevel="1" collapsed="1" x14ac:dyDescent="0.25">
      <c r="A100" s="26"/>
      <c r="B100" s="13" t="str">
        <f>CONCATENATE("     ","General                                           ")</f>
        <v xml:space="preserve">     General                                           </v>
      </c>
      <c r="C100" s="13"/>
      <c r="D100" s="1">
        <f>SUM(OSRRefD22_5x_0)</f>
        <v>0</v>
      </c>
      <c r="E100" s="1"/>
      <c r="F100" s="5">
        <f t="shared" ref="F100:F110" si="43">IF(D$12=0,0,D100/D$12)</f>
        <v>0</v>
      </c>
      <c r="G100" s="1"/>
      <c r="H100" s="1">
        <f>SUM(OSRRefH22_5x_0)</f>
        <v>0</v>
      </c>
      <c r="I100" s="1"/>
      <c r="J100" s="5">
        <f t="shared" ref="J100:J110" si="44">IF(H$12=0,0,H100/H$12)</f>
        <v>0</v>
      </c>
      <c r="K100" s="1"/>
      <c r="L100" s="1">
        <f t="shared" ref="L100:L110" si="45">+D100-H100</f>
        <v>0</v>
      </c>
      <c r="M100" s="1"/>
      <c r="N100" s="5">
        <f t="shared" ref="N100:N110" si="46">IF(H100=0,0,L100/H100)</f>
        <v>0</v>
      </c>
      <c r="O100" s="13"/>
      <c r="P100" s="1">
        <f>SUM(OSRRefP22_5x_0)</f>
        <v>954.05</v>
      </c>
      <c r="Q100" s="1"/>
      <c r="R100" s="5">
        <f t="shared" ref="R100:R110" si="47">IF(P$12=0,0,P100/P$12)</f>
        <v>2.3238370511478455E-3</v>
      </c>
      <c r="S100" s="1"/>
      <c r="T100" s="1">
        <f>SUM(OSRRefT22_5x_0)</f>
        <v>829.2</v>
      </c>
      <c r="U100" s="1"/>
      <c r="V100" s="5">
        <f t="shared" ref="V100:V110" si="48">IF(T$12=0,0,T100/T$12)</f>
        <v>1.7929910138974974E-3</v>
      </c>
      <c r="W100" s="1"/>
      <c r="X100" s="1">
        <f t="shared" ref="X100:X110" si="49">+P100-T100</f>
        <v>124.84999999999991</v>
      </c>
      <c r="Y100" s="1"/>
      <c r="Z100" s="5">
        <f t="shared" ref="Z100:Z110" si="50">IF(T100=0,0,X100/T100)</f>
        <v>0.15056681138446684</v>
      </c>
    </row>
    <row r="101" spans="1:26" s="24" customFormat="1" hidden="1" outlineLevel="2" x14ac:dyDescent="0.25">
      <c r="A101" s="27"/>
      <c r="B101" s="11" t="str">
        <f>CONCATENATE("          ", "6279", " - ", "GENERAL EXPENSE")</f>
        <v xml:space="preserve">          6279 - GENERAL EXPENSE</v>
      </c>
      <c r="C101" s="11"/>
      <c r="D101" s="6"/>
      <c r="E101" s="2"/>
      <c r="F101" s="7">
        <f t="shared" si="43"/>
        <v>0</v>
      </c>
      <c r="G101" s="2"/>
      <c r="H101" s="6"/>
      <c r="I101" s="2"/>
      <c r="J101" s="7">
        <f t="shared" si="44"/>
        <v>0</v>
      </c>
      <c r="K101" s="2"/>
      <c r="L101" s="6">
        <f t="shared" si="45"/>
        <v>0</v>
      </c>
      <c r="M101" s="2"/>
      <c r="N101" s="7">
        <f t="shared" si="46"/>
        <v>0</v>
      </c>
      <c r="O101" s="11"/>
      <c r="P101" s="6">
        <v>954.05</v>
      </c>
      <c r="Q101" s="2"/>
      <c r="R101" s="7">
        <f t="shared" si="47"/>
        <v>2.3238370511478455E-3</v>
      </c>
      <c r="S101" s="2"/>
      <c r="T101" s="6">
        <v>829.2</v>
      </c>
      <c r="U101" s="2"/>
      <c r="V101" s="7">
        <f t="shared" si="48"/>
        <v>1.7929910138974974E-3</v>
      </c>
      <c r="W101" s="2"/>
      <c r="X101" s="6">
        <f t="shared" si="49"/>
        <v>124.84999999999991</v>
      </c>
      <c r="Y101" s="2"/>
      <c r="Z101" s="7">
        <f t="shared" si="50"/>
        <v>0.15056681138446684</v>
      </c>
    </row>
    <row r="102" spans="1:26" s="25" customFormat="1" outlineLevel="1" collapsed="1" x14ac:dyDescent="0.25">
      <c r="A102" s="26"/>
      <c r="B102" s="13" t="str">
        <f>CONCATENATE("     ","Inventory Adjustment                              ")</f>
        <v xml:space="preserve">     Inventory Adjustment                              </v>
      </c>
      <c r="C102" s="13"/>
      <c r="D102" s="1">
        <f>SUM(OSRRefD22_6x_0)</f>
        <v>0</v>
      </c>
      <c r="E102" s="1"/>
      <c r="F102" s="5">
        <f t="shared" si="43"/>
        <v>0</v>
      </c>
      <c r="G102" s="1"/>
      <c r="H102" s="1">
        <f>SUM(OSRRefH22_6x_0)</f>
        <v>400</v>
      </c>
      <c r="I102" s="1"/>
      <c r="J102" s="5">
        <f t="shared" si="44"/>
        <v>8.8713984340207473E-3</v>
      </c>
      <c r="K102" s="1"/>
      <c r="L102" s="1">
        <f t="shared" si="45"/>
        <v>-400</v>
      </c>
      <c r="M102" s="1"/>
      <c r="N102" s="5">
        <f t="shared" si="46"/>
        <v>-1</v>
      </c>
      <c r="O102" s="13"/>
      <c r="P102" s="1">
        <f>SUM(OSRRefP22_6x_0)</f>
        <v>0</v>
      </c>
      <c r="Q102" s="1"/>
      <c r="R102" s="5">
        <f t="shared" si="47"/>
        <v>0</v>
      </c>
      <c r="S102" s="1"/>
      <c r="T102" s="1">
        <f>SUM(OSRRefT22_6x_0)</f>
        <v>3600</v>
      </c>
      <c r="U102" s="1"/>
      <c r="V102" s="5">
        <f t="shared" si="48"/>
        <v>7.7843314640991196E-3</v>
      </c>
      <c r="W102" s="1"/>
      <c r="X102" s="1">
        <f t="shared" si="49"/>
        <v>-3600</v>
      </c>
      <c r="Y102" s="1"/>
      <c r="Z102" s="5">
        <f t="shared" si="50"/>
        <v>-1</v>
      </c>
    </row>
    <row r="103" spans="1:26" s="24" customFormat="1" hidden="1" outlineLevel="2" x14ac:dyDescent="0.25">
      <c r="A103" s="27"/>
      <c r="B103" s="11" t="str">
        <f>CONCATENATE("          ", "6408", " - ", "INVENTORY ADJUSTMENT")</f>
        <v xml:space="preserve">          6408 - INVENTORY ADJUSTMENT</v>
      </c>
      <c r="C103" s="11"/>
      <c r="D103" s="6"/>
      <c r="E103" s="2"/>
      <c r="F103" s="7">
        <f t="shared" si="43"/>
        <v>0</v>
      </c>
      <c r="G103" s="2"/>
      <c r="H103" s="6">
        <v>400</v>
      </c>
      <c r="I103" s="2"/>
      <c r="J103" s="7">
        <f t="shared" si="44"/>
        <v>8.8713984340207473E-3</v>
      </c>
      <c r="K103" s="2"/>
      <c r="L103" s="6">
        <f t="shared" si="45"/>
        <v>-400</v>
      </c>
      <c r="M103" s="2"/>
      <c r="N103" s="7">
        <f t="shared" si="46"/>
        <v>-1</v>
      </c>
      <c r="O103" s="11"/>
      <c r="P103" s="6"/>
      <c r="Q103" s="2"/>
      <c r="R103" s="7">
        <f t="shared" si="47"/>
        <v>0</v>
      </c>
      <c r="S103" s="2"/>
      <c r="T103" s="6">
        <v>3600</v>
      </c>
      <c r="U103" s="2"/>
      <c r="V103" s="7">
        <f t="shared" si="48"/>
        <v>7.7843314640991196E-3</v>
      </c>
      <c r="W103" s="2"/>
      <c r="X103" s="6">
        <f t="shared" si="49"/>
        <v>-3600</v>
      </c>
      <c r="Y103" s="2"/>
      <c r="Z103" s="7">
        <f t="shared" si="50"/>
        <v>-1</v>
      </c>
    </row>
    <row r="104" spans="1:26" s="25" customFormat="1" outlineLevel="1" collapsed="1" x14ac:dyDescent="0.25">
      <c r="A104" s="26"/>
      <c r="B104" s="13" t="str">
        <f>CONCATENATE("     ","Professional Services                             ")</f>
        <v xml:space="preserve">     Professional Services                             </v>
      </c>
      <c r="C104" s="13"/>
      <c r="D104" s="1">
        <f>SUM(OSRRefD22_7x_0)</f>
        <v>0</v>
      </c>
      <c r="E104" s="1"/>
      <c r="F104" s="5">
        <f t="shared" si="43"/>
        <v>0</v>
      </c>
      <c r="G104" s="1"/>
      <c r="H104" s="1">
        <f>SUM(OSRRefH22_7x_0)</f>
        <v>0</v>
      </c>
      <c r="I104" s="1"/>
      <c r="J104" s="5">
        <f t="shared" si="44"/>
        <v>0</v>
      </c>
      <c r="K104" s="1"/>
      <c r="L104" s="1">
        <f t="shared" si="45"/>
        <v>0</v>
      </c>
      <c r="M104" s="1"/>
      <c r="N104" s="5">
        <f t="shared" si="46"/>
        <v>0</v>
      </c>
      <c r="O104" s="13"/>
      <c r="P104" s="1">
        <f>SUM(OSRRefP22_7x_0)</f>
        <v>791.15</v>
      </c>
      <c r="Q104" s="1"/>
      <c r="R104" s="5">
        <f t="shared" si="47"/>
        <v>1.9270517090462954E-3</v>
      </c>
      <c r="S104" s="1"/>
      <c r="T104" s="1">
        <f>SUM(OSRRefT22_7x_0)</f>
        <v>750</v>
      </c>
      <c r="U104" s="1"/>
      <c r="V104" s="5">
        <f t="shared" si="48"/>
        <v>1.6217357216873167E-3</v>
      </c>
      <c r="W104" s="1"/>
      <c r="X104" s="1">
        <f t="shared" si="49"/>
        <v>41.149999999999977</v>
      </c>
      <c r="Y104" s="1"/>
      <c r="Z104" s="5">
        <f t="shared" si="50"/>
        <v>5.4866666666666633E-2</v>
      </c>
    </row>
    <row r="105" spans="1:26" s="24" customFormat="1" hidden="1" outlineLevel="2" x14ac:dyDescent="0.25">
      <c r="A105" s="27"/>
      <c r="B105" s="11" t="str">
        <f>CONCATENATE("          ", "6336", " - ", "PROFESSIONAL SERVICES")</f>
        <v xml:space="preserve">          6336 - PROFESSIONAL SERVICES</v>
      </c>
      <c r="C105" s="11"/>
      <c r="D105" s="6"/>
      <c r="E105" s="2"/>
      <c r="F105" s="7">
        <f t="shared" si="43"/>
        <v>0</v>
      </c>
      <c r="G105" s="2"/>
      <c r="H105" s="6"/>
      <c r="I105" s="2"/>
      <c r="J105" s="7">
        <f t="shared" si="44"/>
        <v>0</v>
      </c>
      <c r="K105" s="2"/>
      <c r="L105" s="6">
        <f t="shared" si="45"/>
        <v>0</v>
      </c>
      <c r="M105" s="2"/>
      <c r="N105" s="7">
        <f t="shared" si="46"/>
        <v>0</v>
      </c>
      <c r="O105" s="11"/>
      <c r="P105" s="6">
        <v>791.15</v>
      </c>
      <c r="Q105" s="2"/>
      <c r="R105" s="7">
        <f t="shared" si="47"/>
        <v>1.9270517090462954E-3</v>
      </c>
      <c r="S105" s="2"/>
      <c r="T105" s="6">
        <v>750</v>
      </c>
      <c r="U105" s="2"/>
      <c r="V105" s="7">
        <f t="shared" si="48"/>
        <v>1.6217357216873167E-3</v>
      </c>
      <c r="W105" s="2"/>
      <c r="X105" s="6">
        <f t="shared" si="49"/>
        <v>41.149999999999977</v>
      </c>
      <c r="Y105" s="2"/>
      <c r="Z105" s="7">
        <f t="shared" si="50"/>
        <v>5.4866666666666633E-2</v>
      </c>
    </row>
    <row r="106" spans="1:26" s="25" customFormat="1" outlineLevel="1" collapsed="1" x14ac:dyDescent="0.25">
      <c r="A106" s="26"/>
      <c r="B106" s="13" t="str">
        <f>CONCATENATE("     ","Rent                                              ")</f>
        <v xml:space="preserve">     Rent                                              </v>
      </c>
      <c r="C106" s="13"/>
      <c r="D106" s="1">
        <f>SUM(OSRRefD22_8x_0)</f>
        <v>0</v>
      </c>
      <c r="E106" s="1"/>
      <c r="F106" s="5">
        <f t="shared" si="43"/>
        <v>0</v>
      </c>
      <c r="G106" s="1"/>
      <c r="H106" s="1">
        <f>SUM(OSRRefH22_8x_0)</f>
        <v>0</v>
      </c>
      <c r="I106" s="1"/>
      <c r="J106" s="5">
        <f t="shared" si="44"/>
        <v>0</v>
      </c>
      <c r="K106" s="1"/>
      <c r="L106" s="1">
        <f t="shared" si="45"/>
        <v>0</v>
      </c>
      <c r="M106" s="1"/>
      <c r="N106" s="5">
        <f t="shared" si="46"/>
        <v>0</v>
      </c>
      <c r="O106" s="13"/>
      <c r="P106" s="1">
        <f>SUM(OSRRefP22_8x_0)</f>
        <v>0</v>
      </c>
      <c r="Q106" s="1"/>
      <c r="R106" s="5">
        <f t="shared" si="47"/>
        <v>0</v>
      </c>
      <c r="S106" s="1"/>
      <c r="T106" s="1">
        <f>SUM(OSRRefT22_8x_0)</f>
        <v>0</v>
      </c>
      <c r="U106" s="1"/>
      <c r="V106" s="5">
        <f t="shared" si="48"/>
        <v>0</v>
      </c>
      <c r="W106" s="1"/>
      <c r="X106" s="1">
        <f t="shared" si="49"/>
        <v>0</v>
      </c>
      <c r="Y106" s="1"/>
      <c r="Z106" s="5">
        <f t="shared" si="50"/>
        <v>0</v>
      </c>
    </row>
    <row r="107" spans="1:26" s="24" customFormat="1" hidden="1" outlineLevel="2" x14ac:dyDescent="0.25">
      <c r="A107" s="27"/>
      <c r="B107" s="11" t="str">
        <f>CONCATENATE("          ", "6273", " - ", "RENT")</f>
        <v xml:space="preserve">          6273 - RENT</v>
      </c>
      <c r="C107" s="11"/>
      <c r="D107" s="6"/>
      <c r="E107" s="2"/>
      <c r="F107" s="7">
        <f t="shared" si="43"/>
        <v>0</v>
      </c>
      <c r="G107" s="2"/>
      <c r="H107" s="6"/>
      <c r="I107" s="2"/>
      <c r="J107" s="7">
        <f t="shared" si="44"/>
        <v>0</v>
      </c>
      <c r="K107" s="2"/>
      <c r="L107" s="6">
        <f t="shared" si="45"/>
        <v>0</v>
      </c>
      <c r="M107" s="2"/>
      <c r="N107" s="7">
        <f t="shared" si="46"/>
        <v>0</v>
      </c>
      <c r="O107" s="11"/>
      <c r="P107" s="6"/>
      <c r="Q107" s="2"/>
      <c r="R107" s="7">
        <f t="shared" si="47"/>
        <v>0</v>
      </c>
      <c r="S107" s="2"/>
      <c r="T107" s="6">
        <v>0</v>
      </c>
      <c r="U107" s="2"/>
      <c r="V107" s="7">
        <f t="shared" si="48"/>
        <v>0</v>
      </c>
      <c r="W107" s="2"/>
      <c r="X107" s="6">
        <f t="shared" si="49"/>
        <v>0</v>
      </c>
      <c r="Y107" s="2"/>
      <c r="Z107" s="7">
        <f t="shared" si="50"/>
        <v>0</v>
      </c>
    </row>
    <row r="108" spans="1:26" s="25" customFormat="1" outlineLevel="1" collapsed="1" x14ac:dyDescent="0.25">
      <c r="A108" s="26"/>
      <c r="B108" s="13" t="str">
        <f>CONCATENATE("     ","Repair and Maintenance                            ")</f>
        <v xml:space="preserve">     Repair and Maintenance                            </v>
      </c>
      <c r="C108" s="13"/>
      <c r="D108" s="1">
        <f>SUM(OSRRefD22_9x_0)</f>
        <v>0</v>
      </c>
      <c r="E108" s="1"/>
      <c r="F108" s="5">
        <f t="shared" si="43"/>
        <v>0</v>
      </c>
      <c r="G108" s="1"/>
      <c r="H108" s="1">
        <f>SUM(OSRRefH22_9x_0)</f>
        <v>1027.5</v>
      </c>
      <c r="I108" s="1"/>
      <c r="J108" s="5">
        <f t="shared" si="44"/>
        <v>2.2788404727390792E-2</v>
      </c>
      <c r="K108" s="1"/>
      <c r="L108" s="1">
        <f t="shared" si="45"/>
        <v>-1027.5</v>
      </c>
      <c r="M108" s="1"/>
      <c r="N108" s="5">
        <f t="shared" si="46"/>
        <v>-1</v>
      </c>
      <c r="O108" s="13"/>
      <c r="P108" s="1">
        <f>SUM(OSRRefP22_9x_0)</f>
        <v>190.64000000000001</v>
      </c>
      <c r="Q108" s="1"/>
      <c r="R108" s="5">
        <f t="shared" si="47"/>
        <v>4.6435333098980699E-4</v>
      </c>
      <c r="S108" s="1"/>
      <c r="T108" s="1">
        <f>SUM(OSRRefT22_9x_0)</f>
        <v>1736.73</v>
      </c>
      <c r="U108" s="1"/>
      <c r="V108" s="5">
        <f t="shared" si="48"/>
        <v>3.7553561065680179E-3</v>
      </c>
      <c r="W108" s="1"/>
      <c r="X108" s="1">
        <f t="shared" si="49"/>
        <v>-1546.09</v>
      </c>
      <c r="Y108" s="1"/>
      <c r="Z108" s="5">
        <f t="shared" si="50"/>
        <v>-0.8902304906346985</v>
      </c>
    </row>
    <row r="109" spans="1:26" s="24" customFormat="1" hidden="1" outlineLevel="2" x14ac:dyDescent="0.25">
      <c r="A109" s="27"/>
      <c r="B109" s="11" t="str">
        <f>CONCATENATE("          ", "6373", " - ", "MAINTENANCE CONTRACTS")</f>
        <v xml:space="preserve">          6373 - MAINTENANCE CONTRACTS</v>
      </c>
      <c r="C109" s="11"/>
      <c r="D109" s="6"/>
      <c r="E109" s="2"/>
      <c r="F109" s="7">
        <f t="shared" si="43"/>
        <v>0</v>
      </c>
      <c r="G109" s="2"/>
      <c r="H109" s="6"/>
      <c r="I109" s="2"/>
      <c r="J109" s="7">
        <f t="shared" si="44"/>
        <v>0</v>
      </c>
      <c r="K109" s="2"/>
      <c r="L109" s="6">
        <f t="shared" si="45"/>
        <v>0</v>
      </c>
      <c r="M109" s="2"/>
      <c r="N109" s="7">
        <f t="shared" si="46"/>
        <v>0</v>
      </c>
      <c r="O109" s="11"/>
      <c r="P109" s="6">
        <v>180.84</v>
      </c>
      <c r="Q109" s="2"/>
      <c r="R109" s="7">
        <f t="shared" si="47"/>
        <v>4.4048288069763268E-4</v>
      </c>
      <c r="S109" s="2"/>
      <c r="T109" s="6">
        <v>157.86000000000001</v>
      </c>
      <c r="U109" s="2"/>
      <c r="V109" s="7">
        <f t="shared" si="48"/>
        <v>3.4134293470074645E-4</v>
      </c>
      <c r="W109" s="2"/>
      <c r="X109" s="6">
        <f t="shared" si="49"/>
        <v>22.97999999999999</v>
      </c>
      <c r="Y109" s="2"/>
      <c r="Z109" s="7">
        <f t="shared" si="50"/>
        <v>0.14557202584568599</v>
      </c>
    </row>
    <row r="110" spans="1:26" s="24" customFormat="1" hidden="1" outlineLevel="2" x14ac:dyDescent="0.25">
      <c r="A110" s="27"/>
      <c r="B110" s="11" t="str">
        <f>CONCATENATE("          ", "6375", " - ", "OUTSIDE REPAIRS &amp; MAINTENANCE")</f>
        <v xml:space="preserve">          6375 - OUTSIDE REPAIRS &amp; MAINTENANCE</v>
      </c>
      <c r="C110" s="11"/>
      <c r="D110" s="6"/>
      <c r="E110" s="2"/>
      <c r="F110" s="7">
        <f t="shared" si="43"/>
        <v>0</v>
      </c>
      <c r="G110" s="2"/>
      <c r="H110" s="6">
        <v>1027.5</v>
      </c>
      <c r="I110" s="2"/>
      <c r="J110" s="7">
        <f t="shared" si="44"/>
        <v>2.2788404727390792E-2</v>
      </c>
      <c r="K110" s="2"/>
      <c r="L110" s="6">
        <f t="shared" si="45"/>
        <v>-1027.5</v>
      </c>
      <c r="M110" s="2"/>
      <c r="N110" s="7">
        <f t="shared" si="46"/>
        <v>-1</v>
      </c>
      <c r="O110" s="11"/>
      <c r="P110" s="6">
        <v>9.8000000000000007</v>
      </c>
      <c r="Q110" s="2"/>
      <c r="R110" s="7">
        <f t="shared" si="47"/>
        <v>2.3870450292174299E-5</v>
      </c>
      <c r="S110" s="2"/>
      <c r="T110" s="6">
        <v>1578.87</v>
      </c>
      <c r="U110" s="2"/>
      <c r="V110" s="7">
        <f t="shared" si="48"/>
        <v>3.4140131718672713E-3</v>
      </c>
      <c r="W110" s="2"/>
      <c r="X110" s="6">
        <f t="shared" si="49"/>
        <v>-1569.07</v>
      </c>
      <c r="Y110" s="2"/>
      <c r="Z110" s="7">
        <f t="shared" si="50"/>
        <v>-0.99379302919176371</v>
      </c>
    </row>
    <row r="111" spans="1:26" s="25" customFormat="1" outlineLevel="1" collapsed="1" x14ac:dyDescent="0.25">
      <c r="A111" s="26"/>
      <c r="B111" s="13" t="str">
        <f>CONCATENATE("     ","Services                                          ")</f>
        <v xml:space="preserve">     Services                                          </v>
      </c>
      <c r="C111" s="13"/>
      <c r="D111" s="1">
        <f>SUM(OSRRefD22_10x_0)</f>
        <v>196.55</v>
      </c>
      <c r="E111" s="1"/>
      <c r="F111" s="5">
        <f t="shared" ref="F111:F113" si="51">IF(D$12=0,0,D111/D$12)</f>
        <v>0</v>
      </c>
      <c r="G111" s="1"/>
      <c r="H111" s="1">
        <f>SUM(OSRRefH22_10x_0)</f>
        <v>273.8</v>
      </c>
      <c r="I111" s="1"/>
      <c r="J111" s="5">
        <f t="shared" ref="J111:J113" si="52">IF(H$12=0,0,H111/H$12)</f>
        <v>6.0724722280872017E-3</v>
      </c>
      <c r="K111" s="1"/>
      <c r="L111" s="1">
        <f t="shared" ref="L111:L113" si="53">+D111-H111</f>
        <v>-77.25</v>
      </c>
      <c r="M111" s="1"/>
      <c r="N111" s="5">
        <f t="shared" ref="N111:N113" si="54">IF(H111=0,0,L111/H111)</f>
        <v>-0.28214024835646456</v>
      </c>
      <c r="O111" s="13"/>
      <c r="P111" s="1">
        <f>SUM(OSRRefP22_10x_0)</f>
        <v>2015.16</v>
      </c>
      <c r="Q111" s="1"/>
      <c r="R111" s="5">
        <f t="shared" ref="R111:R113" si="55">IF(P$12=0,0,P111/P$12)</f>
        <v>4.9084465929365266E-3</v>
      </c>
      <c r="S111" s="1"/>
      <c r="T111" s="1">
        <f>SUM(OSRRefT22_10x_0)</f>
        <v>2109.83</v>
      </c>
      <c r="U111" s="1"/>
      <c r="V111" s="5">
        <f t="shared" ref="V111:V113" si="56">IF(T$12=0,0,T111/T$12)</f>
        <v>4.5621155702500679E-3</v>
      </c>
      <c r="W111" s="1"/>
      <c r="X111" s="1">
        <f t="shared" ref="X111:X113" si="57">+P111-T111</f>
        <v>-94.669999999999845</v>
      </c>
      <c r="Y111" s="1"/>
      <c r="Z111" s="5">
        <f t="shared" ref="Z111:Z113" si="58">IF(T111=0,0,X111/T111)</f>
        <v>-4.4870913770303694E-2</v>
      </c>
    </row>
    <row r="112" spans="1:26" s="24" customFormat="1" hidden="1" outlineLevel="2" x14ac:dyDescent="0.25">
      <c r="A112" s="27"/>
      <c r="B112" s="11" t="str">
        <f>CONCATENATE("          ", "6282", " - ", "JANITORIAL/EXTERMINATOR EXPENS")</f>
        <v xml:space="preserve">          6282 - JANITORIAL/EXTERMINATOR EXPENS</v>
      </c>
      <c r="C112" s="11"/>
      <c r="D112" s="6">
        <v>88</v>
      </c>
      <c r="E112" s="2"/>
      <c r="F112" s="7">
        <f t="shared" si="51"/>
        <v>0</v>
      </c>
      <c r="G112" s="2"/>
      <c r="H112" s="6">
        <v>41.5</v>
      </c>
      <c r="I112" s="2"/>
      <c r="J112" s="7">
        <f t="shared" si="52"/>
        <v>9.2040758752965246E-4</v>
      </c>
      <c r="K112" s="2"/>
      <c r="L112" s="6">
        <f t="shared" si="53"/>
        <v>46.5</v>
      </c>
      <c r="M112" s="2"/>
      <c r="N112" s="7">
        <f t="shared" si="54"/>
        <v>1.1204819277108433</v>
      </c>
      <c r="O112" s="11"/>
      <c r="P112" s="6">
        <v>461.02</v>
      </c>
      <c r="Q112" s="2"/>
      <c r="R112" s="7">
        <f t="shared" si="55"/>
        <v>1.122934183030428E-3</v>
      </c>
      <c r="S112" s="2"/>
      <c r="T112" s="6">
        <v>366.79</v>
      </c>
      <c r="U112" s="2"/>
      <c r="V112" s="7">
        <f t="shared" si="56"/>
        <v>7.9311526047692123E-4</v>
      </c>
      <c r="W112" s="2"/>
      <c r="X112" s="6">
        <f t="shared" si="57"/>
        <v>94.229999999999961</v>
      </c>
      <c r="Y112" s="2"/>
      <c r="Z112" s="7">
        <f t="shared" si="58"/>
        <v>0.25690449576051677</v>
      </c>
    </row>
    <row r="113" spans="1:26" s="24" customFormat="1" hidden="1" outlineLevel="2" x14ac:dyDescent="0.25">
      <c r="A113" s="27"/>
      <c r="B113" s="11" t="str">
        <f>CONCATENATE("          ", "6285", " - ", "JANITORIAL SERVICES")</f>
        <v xml:space="preserve">          6285 - JANITORIAL SERVICES</v>
      </c>
      <c r="C113" s="11"/>
      <c r="D113" s="6">
        <v>108.55</v>
      </c>
      <c r="E113" s="2"/>
      <c r="F113" s="7">
        <f t="shared" si="51"/>
        <v>0</v>
      </c>
      <c r="G113" s="2"/>
      <c r="H113" s="6">
        <v>232.3</v>
      </c>
      <c r="I113" s="2"/>
      <c r="J113" s="7">
        <f t="shared" si="52"/>
        <v>5.1520646405575493E-3</v>
      </c>
      <c r="K113" s="2"/>
      <c r="L113" s="6">
        <f t="shared" si="53"/>
        <v>-123.75000000000001</v>
      </c>
      <c r="M113" s="2"/>
      <c r="N113" s="7">
        <f t="shared" si="54"/>
        <v>-0.53271631510977191</v>
      </c>
      <c r="O113" s="11"/>
      <c r="P113" s="6">
        <v>1554.14</v>
      </c>
      <c r="Q113" s="2"/>
      <c r="R113" s="7">
        <f t="shared" si="55"/>
        <v>3.7855124099060986E-3</v>
      </c>
      <c r="S113" s="2"/>
      <c r="T113" s="6">
        <v>1743.04</v>
      </c>
      <c r="U113" s="2"/>
      <c r="V113" s="7">
        <f t="shared" si="56"/>
        <v>3.769000309773147E-3</v>
      </c>
      <c r="W113" s="2"/>
      <c r="X113" s="6">
        <f t="shared" si="57"/>
        <v>-188.89999999999986</v>
      </c>
      <c r="Y113" s="2"/>
      <c r="Z113" s="7">
        <f t="shared" si="58"/>
        <v>-0.1083738755278134</v>
      </c>
    </row>
    <row r="114" spans="1:26" s="25" customFormat="1" outlineLevel="1" collapsed="1" x14ac:dyDescent="0.25">
      <c r="A114" s="26"/>
      <c r="B114" s="13" t="str">
        <f>CONCATENATE("     ","Supplies                                          ")</f>
        <v xml:space="preserve">     Supplies                                          </v>
      </c>
      <c r="C114" s="13"/>
      <c r="D114" s="1">
        <f>SUM(OSRRefD22_11x_0)</f>
        <v>0</v>
      </c>
      <c r="E114" s="1"/>
      <c r="F114" s="5">
        <f t="shared" ref="F114:F117" si="59">IF(D$12=0,0,D114/D$12)</f>
        <v>0</v>
      </c>
      <c r="G114" s="1"/>
      <c r="H114" s="1">
        <f>SUM(OSRRefH22_11x_0)</f>
        <v>60.49</v>
      </c>
      <c r="I114" s="1"/>
      <c r="J114" s="5">
        <f t="shared" ref="J114:J117" si="60">IF(H$12=0,0,H114/H$12)</f>
        <v>1.3415772281847875E-3</v>
      </c>
      <c r="K114" s="1"/>
      <c r="L114" s="1">
        <f t="shared" ref="L114:L117" si="61">+D114-H114</f>
        <v>-60.49</v>
      </c>
      <c r="M114" s="1"/>
      <c r="N114" s="5">
        <f t="shared" ref="N114:N117" si="62">IF(H114=0,0,L114/H114)</f>
        <v>-1</v>
      </c>
      <c r="O114" s="13"/>
      <c r="P114" s="1">
        <f>SUM(OSRRefP22_11x_0)</f>
        <v>1612.07</v>
      </c>
      <c r="Q114" s="1"/>
      <c r="R114" s="5">
        <f t="shared" ref="R114:R117" si="63">IF(P$12=0,0,P114/P$12)</f>
        <v>3.9266160002556548E-3</v>
      </c>
      <c r="S114" s="1"/>
      <c r="T114" s="1">
        <f>SUM(OSRRefT22_11x_0)</f>
        <v>959.32999999999993</v>
      </c>
      <c r="U114" s="1"/>
      <c r="V114" s="5">
        <f t="shared" ref="V114:V117" si="64">IF(T$12=0,0,T114/T$12)</f>
        <v>2.0743729731817246E-3</v>
      </c>
      <c r="W114" s="1"/>
      <c r="X114" s="1">
        <f t="shared" ref="X114:X117" si="65">+P114-T114</f>
        <v>652.74</v>
      </c>
      <c r="Y114" s="1"/>
      <c r="Z114" s="5">
        <f t="shared" ref="Z114:Z117" si="66">IF(T114=0,0,X114/T114)</f>
        <v>0.68041237113402064</v>
      </c>
    </row>
    <row r="115" spans="1:26" s="24" customFormat="1" hidden="1" outlineLevel="2" x14ac:dyDescent="0.25">
      <c r="A115" s="27"/>
      <c r="B115" s="11" t="str">
        <f>CONCATENATE("          ", "6241", " - ", "OFFICE EXPENSE")</f>
        <v xml:space="preserve">          6241 - OFFICE EXPENSE</v>
      </c>
      <c r="C115" s="11"/>
      <c r="D115" s="6"/>
      <c r="E115" s="2"/>
      <c r="F115" s="7">
        <f t="shared" si="59"/>
        <v>0</v>
      </c>
      <c r="G115" s="2"/>
      <c r="H115" s="6">
        <v>60.49</v>
      </c>
      <c r="I115" s="2"/>
      <c r="J115" s="7">
        <f t="shared" si="60"/>
        <v>1.3415772281847875E-3</v>
      </c>
      <c r="K115" s="2"/>
      <c r="L115" s="6">
        <f t="shared" si="61"/>
        <v>-60.49</v>
      </c>
      <c r="M115" s="2"/>
      <c r="N115" s="7">
        <f t="shared" si="62"/>
        <v>-1</v>
      </c>
      <c r="O115" s="11"/>
      <c r="P115" s="6">
        <v>1421.17</v>
      </c>
      <c r="Q115" s="2"/>
      <c r="R115" s="7">
        <f t="shared" si="63"/>
        <v>3.4616293716050357E-3</v>
      </c>
      <c r="S115" s="2"/>
      <c r="T115" s="6">
        <v>960.93</v>
      </c>
      <c r="U115" s="2"/>
      <c r="V115" s="7">
        <f t="shared" si="64"/>
        <v>2.0778326760546575E-3</v>
      </c>
      <c r="W115" s="2"/>
      <c r="X115" s="6">
        <f t="shared" si="65"/>
        <v>460.24000000000012</v>
      </c>
      <c r="Y115" s="2"/>
      <c r="Z115" s="7">
        <f t="shared" si="66"/>
        <v>0.47895268125669938</v>
      </c>
    </row>
    <row r="116" spans="1:26" s="24" customFormat="1" hidden="1" outlineLevel="2" x14ac:dyDescent="0.25">
      <c r="A116" s="27"/>
      <c r="B116" s="11" t="str">
        <f>CONCATENATE("          ", "6245", " - ", "PRINTING")</f>
        <v xml:space="preserve">          6245 - PRINTING</v>
      </c>
      <c r="C116" s="11"/>
      <c r="D116" s="6"/>
      <c r="E116" s="2"/>
      <c r="F116" s="7">
        <f t="shared" si="59"/>
        <v>0</v>
      </c>
      <c r="G116" s="2"/>
      <c r="H116" s="6"/>
      <c r="I116" s="2"/>
      <c r="J116" s="7">
        <f t="shared" si="60"/>
        <v>0</v>
      </c>
      <c r="K116" s="2"/>
      <c r="L116" s="6">
        <f t="shared" si="61"/>
        <v>0</v>
      </c>
      <c r="M116" s="2"/>
      <c r="N116" s="7">
        <f t="shared" si="62"/>
        <v>0</v>
      </c>
      <c r="O116" s="11"/>
      <c r="P116" s="6">
        <v>22.05</v>
      </c>
      <c r="Q116" s="2"/>
      <c r="R116" s="7">
        <f t="shared" si="63"/>
        <v>5.3708513157392171E-5</v>
      </c>
      <c r="S116" s="2"/>
      <c r="T116" s="6"/>
      <c r="U116" s="2"/>
      <c r="V116" s="7">
        <f t="shared" si="64"/>
        <v>0</v>
      </c>
      <c r="W116" s="2"/>
      <c r="X116" s="6">
        <f t="shared" si="65"/>
        <v>22.05</v>
      </c>
      <c r="Y116" s="2"/>
      <c r="Z116" s="7">
        <f t="shared" si="66"/>
        <v>0</v>
      </c>
    </row>
    <row r="117" spans="1:26" s="24" customFormat="1" hidden="1" outlineLevel="2" x14ac:dyDescent="0.25">
      <c r="A117" s="27"/>
      <c r="B117" s="11" t="str">
        <f>CONCATENATE("          ", "6247", " - ", "STORE SUPPLIES")</f>
        <v xml:space="preserve">          6247 - STORE SUPPLIES</v>
      </c>
      <c r="C117" s="11"/>
      <c r="D117" s="6"/>
      <c r="E117" s="2"/>
      <c r="F117" s="7">
        <f t="shared" si="59"/>
        <v>0</v>
      </c>
      <c r="G117" s="2"/>
      <c r="H117" s="6"/>
      <c r="I117" s="2"/>
      <c r="J117" s="7">
        <f t="shared" si="60"/>
        <v>0</v>
      </c>
      <c r="K117" s="2"/>
      <c r="L117" s="6">
        <f t="shared" si="61"/>
        <v>0</v>
      </c>
      <c r="M117" s="2"/>
      <c r="N117" s="7">
        <f t="shared" si="62"/>
        <v>0</v>
      </c>
      <c r="O117" s="11"/>
      <c r="P117" s="6">
        <v>168.85</v>
      </c>
      <c r="Q117" s="2"/>
      <c r="R117" s="7">
        <f t="shared" si="63"/>
        <v>4.1127811549322756E-4</v>
      </c>
      <c r="S117" s="2"/>
      <c r="T117" s="6">
        <v>-1.6</v>
      </c>
      <c r="U117" s="2"/>
      <c r="V117" s="7">
        <f t="shared" si="64"/>
        <v>-3.4597028729329423E-6</v>
      </c>
      <c r="W117" s="2"/>
      <c r="X117" s="6">
        <f t="shared" si="65"/>
        <v>170.45</v>
      </c>
      <c r="Y117" s="2"/>
      <c r="Z117" s="7">
        <f t="shared" si="66"/>
        <v>-106.53124999999999</v>
      </c>
    </row>
    <row r="118" spans="1:26" s="25" customFormat="1" outlineLevel="1" collapsed="1" x14ac:dyDescent="0.25">
      <c r="A118" s="26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SUM(OSRRefD22_12x_0)</f>
        <v>103</v>
      </c>
      <c r="E118" s="1"/>
      <c r="F118" s="5">
        <f t="shared" ref="F118:F123" si="67">IF(D$12=0,0,D118/D$12)</f>
        <v>0</v>
      </c>
      <c r="G118" s="1"/>
      <c r="H118" s="1">
        <f>SUM(OSRRefH22_12x_0)</f>
        <v>103.15</v>
      </c>
      <c r="I118" s="1"/>
      <c r="J118" s="5">
        <f t="shared" ref="J118:J123" si="68">IF(H$12=0,0,H118/H$12)</f>
        <v>2.2877118711731002E-3</v>
      </c>
      <c r="K118" s="1"/>
      <c r="L118" s="1">
        <f t="shared" ref="L118:L123" si="69">+D118-H118</f>
        <v>-0.15000000000000568</v>
      </c>
      <c r="M118" s="1"/>
      <c r="N118" s="5">
        <f t="shared" ref="N118:N123" si="70">IF(H118=0,0,L118/H118)</f>
        <v>-1.4541929229278301E-3</v>
      </c>
      <c r="O118" s="13"/>
      <c r="P118" s="1">
        <f>SUM(OSRRefP22_12x_0)</f>
        <v>990.37</v>
      </c>
      <c r="Q118" s="1"/>
      <c r="R118" s="5">
        <f t="shared" ref="R118:R123" si="71">IF(P$12=0,0,P118/P$12)</f>
        <v>2.4123038628429245E-3</v>
      </c>
      <c r="S118" s="1"/>
      <c r="T118" s="1">
        <f>SUM(OSRRefT22_12x_0)</f>
        <v>965.95</v>
      </c>
      <c r="U118" s="1"/>
      <c r="V118" s="5">
        <f t="shared" ref="V118:V123" si="72">IF(T$12=0,0,T118/T$12)</f>
        <v>2.0886874938184849E-3</v>
      </c>
      <c r="W118" s="1"/>
      <c r="X118" s="1">
        <f t="shared" ref="X118:X123" si="73">+P118-T118</f>
        <v>24.419999999999959</v>
      </c>
      <c r="Y118" s="1"/>
      <c r="Z118" s="5">
        <f t="shared" ref="Z118:Z123" si="74">IF(T118=0,0,X118/T118)</f>
        <v>2.528081163621301E-2</v>
      </c>
    </row>
    <row r="119" spans="1:26" s="24" customFormat="1" hidden="1" outlineLevel="2" x14ac:dyDescent="0.25">
      <c r="A119" s="27"/>
      <c r="B119" s="11" t="str">
        <f>CONCATENATE("          ", "6309", " - ", "TELEPHONE")</f>
        <v xml:space="preserve">          6309 - TELEPHONE</v>
      </c>
      <c r="C119" s="11"/>
      <c r="D119" s="6">
        <v>103</v>
      </c>
      <c r="E119" s="2"/>
      <c r="F119" s="7">
        <f t="shared" si="67"/>
        <v>0</v>
      </c>
      <c r="G119" s="2"/>
      <c r="H119" s="6">
        <v>103.15</v>
      </c>
      <c r="I119" s="2"/>
      <c r="J119" s="7">
        <f t="shared" si="68"/>
        <v>2.2877118711731002E-3</v>
      </c>
      <c r="K119" s="2"/>
      <c r="L119" s="6">
        <f t="shared" si="69"/>
        <v>-0.15000000000000568</v>
      </c>
      <c r="M119" s="2"/>
      <c r="N119" s="7">
        <f t="shared" si="70"/>
        <v>-1.4541929229278301E-3</v>
      </c>
      <c r="O119" s="11"/>
      <c r="P119" s="6">
        <v>990.37</v>
      </c>
      <c r="Q119" s="2"/>
      <c r="R119" s="7">
        <f t="shared" si="71"/>
        <v>2.4123038628429245E-3</v>
      </c>
      <c r="S119" s="2"/>
      <c r="T119" s="6">
        <v>965.95</v>
      </c>
      <c r="U119" s="2"/>
      <c r="V119" s="7">
        <f t="shared" si="72"/>
        <v>2.0886874938184849E-3</v>
      </c>
      <c r="W119" s="2"/>
      <c r="X119" s="6">
        <f t="shared" si="73"/>
        <v>24.419999999999959</v>
      </c>
      <c r="Y119" s="2"/>
      <c r="Z119" s="7">
        <f t="shared" si="74"/>
        <v>2.528081163621301E-2</v>
      </c>
    </row>
    <row r="120" spans="1:26" s="25" customFormat="1" outlineLevel="1" collapsed="1" x14ac:dyDescent="0.25">
      <c r="A120" s="26"/>
      <c r="B120" s="13" t="str">
        <f>CONCATENATE("     ","Training                                          ")</f>
        <v xml:space="preserve">     Training                                          </v>
      </c>
      <c r="C120" s="13"/>
      <c r="D120" s="1">
        <f>SUM(OSRRefD22_13x_0)</f>
        <v>0</v>
      </c>
      <c r="E120" s="1"/>
      <c r="F120" s="5">
        <f t="shared" si="67"/>
        <v>0</v>
      </c>
      <c r="G120" s="1"/>
      <c r="H120" s="1">
        <f>SUM(OSRRefH22_13x_0)</f>
        <v>0</v>
      </c>
      <c r="I120" s="1"/>
      <c r="J120" s="5">
        <f t="shared" si="68"/>
        <v>0</v>
      </c>
      <c r="K120" s="1"/>
      <c r="L120" s="1">
        <f t="shared" si="69"/>
        <v>0</v>
      </c>
      <c r="M120" s="1"/>
      <c r="N120" s="5">
        <f t="shared" si="70"/>
        <v>0</v>
      </c>
      <c r="O120" s="13"/>
      <c r="P120" s="1">
        <f>SUM(OSRRefP22_13x_0)</f>
        <v>254.8</v>
      </c>
      <c r="Q120" s="1"/>
      <c r="R120" s="5">
        <f t="shared" si="71"/>
        <v>6.2063170759653178E-4</v>
      </c>
      <c r="S120" s="1"/>
      <c r="T120" s="1">
        <f>SUM(OSRRefT22_13x_0)</f>
        <v>0</v>
      </c>
      <c r="U120" s="1"/>
      <c r="V120" s="5">
        <f t="shared" si="72"/>
        <v>0</v>
      </c>
      <c r="W120" s="1"/>
      <c r="X120" s="1">
        <f t="shared" si="73"/>
        <v>254.8</v>
      </c>
      <c r="Y120" s="1"/>
      <c r="Z120" s="5">
        <f t="shared" si="74"/>
        <v>0</v>
      </c>
    </row>
    <row r="121" spans="1:26" s="24" customFormat="1" hidden="1" outlineLevel="2" x14ac:dyDescent="0.25">
      <c r="A121" s="27"/>
      <c r="B121" s="11" t="str">
        <f>CONCATENATE("          ", "6376", " - ", "TRAINING")</f>
        <v xml:space="preserve">          6376 - TRAINING</v>
      </c>
      <c r="C121" s="11"/>
      <c r="D121" s="6"/>
      <c r="E121" s="2"/>
      <c r="F121" s="7">
        <f t="shared" si="67"/>
        <v>0</v>
      </c>
      <c r="G121" s="2"/>
      <c r="H121" s="6"/>
      <c r="I121" s="2"/>
      <c r="J121" s="7">
        <f t="shared" si="68"/>
        <v>0</v>
      </c>
      <c r="K121" s="2"/>
      <c r="L121" s="6">
        <f t="shared" si="69"/>
        <v>0</v>
      </c>
      <c r="M121" s="2"/>
      <c r="N121" s="7">
        <f t="shared" si="70"/>
        <v>0</v>
      </c>
      <c r="O121" s="11"/>
      <c r="P121" s="6">
        <v>254.8</v>
      </c>
      <c r="Q121" s="2"/>
      <c r="R121" s="7">
        <f t="shared" si="71"/>
        <v>6.2063170759653178E-4</v>
      </c>
      <c r="S121" s="2"/>
      <c r="T121" s="6"/>
      <c r="U121" s="2"/>
      <c r="V121" s="7">
        <f t="shared" si="72"/>
        <v>0</v>
      </c>
      <c r="W121" s="2"/>
      <c r="X121" s="6">
        <f t="shared" si="73"/>
        <v>254.8</v>
      </c>
      <c r="Y121" s="2"/>
      <c r="Z121" s="7">
        <f t="shared" si="74"/>
        <v>0</v>
      </c>
    </row>
    <row r="122" spans="1:26" s="25" customFormat="1" outlineLevel="1" collapsed="1" x14ac:dyDescent="0.25">
      <c r="A122" s="26"/>
      <c r="B122" s="13" t="str">
        <f>CONCATENATE("     ","Travel                                            ")</f>
        <v xml:space="preserve">     Travel                                            </v>
      </c>
      <c r="C122" s="13"/>
      <c r="D122" s="1">
        <f>SUM(OSRRefD22_14x_0)</f>
        <v>0</v>
      </c>
      <c r="E122" s="1"/>
      <c r="F122" s="5">
        <f t="shared" si="67"/>
        <v>0</v>
      </c>
      <c r="G122" s="1"/>
      <c r="H122" s="1">
        <f>SUM(OSRRefH22_14x_0)</f>
        <v>0</v>
      </c>
      <c r="I122" s="1"/>
      <c r="J122" s="5">
        <f t="shared" si="68"/>
        <v>0</v>
      </c>
      <c r="K122" s="1"/>
      <c r="L122" s="1">
        <f t="shared" si="69"/>
        <v>0</v>
      </c>
      <c r="M122" s="1"/>
      <c r="N122" s="5">
        <f t="shared" si="70"/>
        <v>0</v>
      </c>
      <c r="O122" s="13"/>
      <c r="P122" s="1">
        <f>SUM(OSRRefP22_14x_0)</f>
        <v>0</v>
      </c>
      <c r="Q122" s="1"/>
      <c r="R122" s="5">
        <f t="shared" si="71"/>
        <v>0</v>
      </c>
      <c r="S122" s="1"/>
      <c r="T122" s="1">
        <f>SUM(OSRRefT22_14x_0)</f>
        <v>924.85</v>
      </c>
      <c r="U122" s="1"/>
      <c r="V122" s="5">
        <f t="shared" si="72"/>
        <v>1.9998163762700197E-3</v>
      </c>
      <c r="W122" s="1"/>
      <c r="X122" s="1">
        <f t="shared" si="73"/>
        <v>-924.85</v>
      </c>
      <c r="Y122" s="1"/>
      <c r="Z122" s="5">
        <f t="shared" si="74"/>
        <v>-1</v>
      </c>
    </row>
    <row r="123" spans="1:26" s="24" customFormat="1" hidden="1" outlineLevel="2" x14ac:dyDescent="0.25">
      <c r="A123" s="27"/>
      <c r="B123" s="11" t="str">
        <f>CONCATENATE("          ", "6292", " - ", "TRAVEL/CONFERENCE")</f>
        <v xml:space="preserve">          6292 - TRAVEL/CONFERENCE</v>
      </c>
      <c r="C123" s="11"/>
      <c r="D123" s="6"/>
      <c r="E123" s="2"/>
      <c r="F123" s="7">
        <f t="shared" si="67"/>
        <v>0</v>
      </c>
      <c r="G123" s="2"/>
      <c r="H123" s="6"/>
      <c r="I123" s="2"/>
      <c r="J123" s="7">
        <f t="shared" si="68"/>
        <v>0</v>
      </c>
      <c r="K123" s="2"/>
      <c r="L123" s="6">
        <f t="shared" si="69"/>
        <v>0</v>
      </c>
      <c r="M123" s="2"/>
      <c r="N123" s="7">
        <f t="shared" si="70"/>
        <v>0</v>
      </c>
      <c r="O123" s="11"/>
      <c r="P123" s="6"/>
      <c r="Q123" s="2"/>
      <c r="R123" s="7">
        <f t="shared" si="71"/>
        <v>0</v>
      </c>
      <c r="S123" s="2"/>
      <c r="T123" s="6">
        <v>924.85</v>
      </c>
      <c r="U123" s="2"/>
      <c r="V123" s="7">
        <f t="shared" si="72"/>
        <v>1.9998163762700197E-3</v>
      </c>
      <c r="W123" s="2"/>
      <c r="X123" s="6">
        <f t="shared" si="73"/>
        <v>-924.85</v>
      </c>
      <c r="Y123" s="2"/>
      <c r="Z123" s="7">
        <f t="shared" si="74"/>
        <v>-1</v>
      </c>
    </row>
    <row r="124" spans="1:26" s="53" customFormat="1" x14ac:dyDescent="0.25">
      <c r="A124" s="37"/>
      <c r="B124" s="37"/>
      <c r="C124" s="37"/>
      <c r="D124" s="1"/>
      <c r="E124" s="1"/>
      <c r="F124" s="5"/>
      <c r="G124" s="1"/>
      <c r="H124" s="1"/>
      <c r="I124" s="1"/>
      <c r="J124" s="5"/>
      <c r="K124" s="1"/>
      <c r="L124" s="1"/>
      <c r="M124" s="1"/>
      <c r="N124" s="5"/>
      <c r="O124" s="37"/>
      <c r="P124" s="1"/>
      <c r="Q124" s="1"/>
      <c r="R124" s="5"/>
      <c r="S124" s="1"/>
      <c r="T124" s="1"/>
      <c r="U124" s="1"/>
      <c r="V124" s="5"/>
      <c r="W124" s="1"/>
      <c r="X124" s="1"/>
      <c r="Y124" s="1"/>
      <c r="Z124" s="5"/>
    </row>
    <row r="125" spans="1:26" s="23" customFormat="1" collapsed="1" x14ac:dyDescent="0.25">
      <c r="A125" s="10"/>
      <c r="B125" s="29" t="s">
        <v>0</v>
      </c>
      <c r="C125" s="10"/>
      <c r="D125" s="4">
        <f>SUM(OSRRefD25x_0)</f>
        <v>0</v>
      </c>
      <c r="E125" s="4"/>
      <c r="F125" s="12">
        <f t="shared" ref="F125:F126" si="75">IF(D$12=0,0,D125/D$12)</f>
        <v>0</v>
      </c>
      <c r="G125" s="4"/>
      <c r="H125" s="4">
        <f>SUM(OSRRefH25x_0)</f>
        <v>0</v>
      </c>
      <c r="I125" s="4"/>
      <c r="J125" s="12">
        <f t="shared" ref="J125:J126" si="76">IF(H$12=0,0,H125/H$12)</f>
        <v>0</v>
      </c>
      <c r="K125" s="4"/>
      <c r="L125" s="4">
        <f t="shared" ref="L125:L126" si="77">+D125-H125</f>
        <v>0</v>
      </c>
      <c r="M125" s="4"/>
      <c r="N125" s="12">
        <f t="shared" ref="N125:N126" si="78">IF(H125=0,0,L125/H125)</f>
        <v>0</v>
      </c>
      <c r="O125" s="10"/>
      <c r="P125" s="4">
        <f>SUM(OSRRefP25x_0)</f>
        <v>68.760000000000005</v>
      </c>
      <c r="Q125" s="4"/>
      <c r="R125" s="12">
        <f t="shared" ref="R125:R126" si="79">IF(P$12=0,0,P125/P$12)</f>
        <v>1.6748287368264334E-4</v>
      </c>
      <c r="S125" s="4"/>
      <c r="T125" s="4">
        <f>SUM(OSRRefT25x_0)</f>
        <v>0</v>
      </c>
      <c r="U125" s="4"/>
      <c r="V125" s="12">
        <f t="shared" ref="V125:V126" si="80">IF(T$12=0,0,T125/T$12)</f>
        <v>0</v>
      </c>
      <c r="W125" s="4"/>
      <c r="X125" s="4">
        <f t="shared" ref="X125:X126" si="81">+P125-T125</f>
        <v>68.760000000000005</v>
      </c>
      <c r="Y125" s="4"/>
      <c r="Z125" s="12">
        <f t="shared" ref="Z125:Z126" si="82">IF(T125=0,0,X125/T125)</f>
        <v>0</v>
      </c>
    </row>
    <row r="126" spans="1:26" s="24" customFormat="1" hidden="1" outlineLevel="1" x14ac:dyDescent="0.25">
      <c r="A126" s="44"/>
      <c r="B126" s="11" t="str">
        <f>CONCATENATE("          ", "9150", " - ", "MISC. INCOME")</f>
        <v xml:space="preserve">          9150 - MISC. INCOME</v>
      </c>
      <c r="C126" s="11"/>
      <c r="D126" s="2">
        <f>0</f>
        <v>0</v>
      </c>
      <c r="E126" s="2"/>
      <c r="F126" s="19">
        <f t="shared" si="75"/>
        <v>0</v>
      </c>
      <c r="G126" s="2"/>
      <c r="H126" s="2">
        <f>0</f>
        <v>0</v>
      </c>
      <c r="I126" s="2"/>
      <c r="J126" s="19">
        <f t="shared" si="76"/>
        <v>0</v>
      </c>
      <c r="K126" s="2"/>
      <c r="L126" s="2">
        <f t="shared" si="77"/>
        <v>0</v>
      </c>
      <c r="M126" s="2"/>
      <c r="N126" s="19">
        <f t="shared" si="78"/>
        <v>0</v>
      </c>
      <c r="O126" s="11"/>
      <c r="P126" s="2">
        <f>--68.76</f>
        <v>68.760000000000005</v>
      </c>
      <c r="Q126" s="2"/>
      <c r="R126" s="19">
        <f t="shared" si="79"/>
        <v>1.6748287368264334E-4</v>
      </c>
      <c r="S126" s="2"/>
      <c r="T126" s="2">
        <f>0</f>
        <v>0</v>
      </c>
      <c r="U126" s="2"/>
      <c r="V126" s="19">
        <f t="shared" si="80"/>
        <v>0</v>
      </c>
      <c r="W126" s="2"/>
      <c r="X126" s="2">
        <f t="shared" si="81"/>
        <v>68.760000000000005</v>
      </c>
      <c r="Y126" s="2"/>
      <c r="Z126" s="19">
        <f t="shared" si="82"/>
        <v>0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8" t="s">
        <v>3</v>
      </c>
      <c r="C128" s="28"/>
      <c r="D128" s="21">
        <f>+D76-D78+D125</f>
        <v>-299.9300000000008</v>
      </c>
      <c r="E128" s="14"/>
      <c r="F128" s="20">
        <f>IF(D$12=0,0,D128/D$12)</f>
        <v>0</v>
      </c>
      <c r="G128" s="14"/>
      <c r="H128" s="21">
        <f>+H76-H78+H125</f>
        <v>10556.770000000008</v>
      </c>
      <c r="I128" s="14"/>
      <c r="J128" s="20">
        <f>IF(H$12=0,0,H128/H$12)</f>
        <v>0.23413328211579318</v>
      </c>
      <c r="K128" s="15"/>
      <c r="L128" s="21">
        <f>+D128-H128</f>
        <v>-10856.700000000008</v>
      </c>
      <c r="M128" s="15"/>
      <c r="N128" s="20">
        <f>IF(H128=0,0,L128/H128)</f>
        <v>-1.0284111522747961</v>
      </c>
      <c r="O128" s="29"/>
      <c r="P128" s="21">
        <f>+P76-P78+P125</f>
        <v>86464.720000000234</v>
      </c>
      <c r="Q128" s="14"/>
      <c r="R128" s="20">
        <f>IF(P$12=0,0,P128/P$12)</f>
        <v>0.21060732661089535</v>
      </c>
      <c r="S128" s="14"/>
      <c r="T128" s="21">
        <f>+T76-T78+T125</f>
        <v>102029.29999999984</v>
      </c>
      <c r="U128" s="14"/>
      <c r="V128" s="20">
        <f>IF(T$12=0,0,T128/T$12)</f>
        <v>0.22061941395833531</v>
      </c>
      <c r="W128" s="15"/>
      <c r="X128" s="21">
        <f>+P128-T128</f>
        <v>-15564.579999999609</v>
      </c>
      <c r="Y128" s="15"/>
      <c r="Z128" s="20">
        <f>IF(T128=0,0,X128/T128)</f>
        <v>-0.15255010080437317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1"/>
      <c r="B130" s="10" t="s">
        <v>13</v>
      </c>
      <c r="C130" s="10"/>
      <c r="D130" s="4">
        <v>2623.58</v>
      </c>
      <c r="E130" s="4"/>
      <c r="F130" s="12">
        <f>IF(D$12=0,0,D130/D$12)</f>
        <v>0</v>
      </c>
      <c r="G130" s="4"/>
      <c r="H130" s="4">
        <v>5098.9399999999996</v>
      </c>
      <c r="I130" s="4"/>
      <c r="J130" s="12">
        <f>IF(H$12=0,0,H130/H$12)</f>
        <v>0.11308682082791435</v>
      </c>
      <c r="K130" s="4"/>
      <c r="L130" s="4">
        <f>+D130-H130</f>
        <v>-2475.3599999999997</v>
      </c>
      <c r="M130" s="4"/>
      <c r="N130" s="12">
        <f>IF(H130=0,0,L130/H130)</f>
        <v>-0.48546560657705323</v>
      </c>
      <c r="O130" s="10"/>
      <c r="P130" s="4">
        <v>46614.950000000004</v>
      </c>
      <c r="Q130" s="4"/>
      <c r="R130" s="12">
        <f>IF(P$12=0,0,P130/P$12)</f>
        <v>0.11354284151501942</v>
      </c>
      <c r="S130" s="4"/>
      <c r="T130" s="4">
        <v>48077.45</v>
      </c>
      <c r="U130" s="4"/>
      <c r="V130" s="12">
        <f>IF(T$12=0,0,T130/T$12)</f>
        <v>0.10395855743018118</v>
      </c>
      <c r="W130" s="4"/>
      <c r="X130" s="4">
        <f>+P130-T130</f>
        <v>-1462.4999999999927</v>
      </c>
      <c r="Y130" s="4"/>
      <c r="Z130" s="12">
        <f>IF(T130=0,0,X130/T130)</f>
        <v>-3.041966660045391E-2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4</v>
      </c>
      <c r="C132" s="28"/>
      <c r="D132" s="30">
        <f>+D128-D130</f>
        <v>-2923.5100000000007</v>
      </c>
      <c r="E132" s="14"/>
      <c r="F132" s="36">
        <f>IF(D$12=0,0,D132/D$12)</f>
        <v>0</v>
      </c>
      <c r="G132" s="14"/>
      <c r="H132" s="30">
        <f>+H128-H130</f>
        <v>5457.8300000000081</v>
      </c>
      <c r="I132" s="14"/>
      <c r="J132" s="36">
        <f>IF(H$12=0,0,H132/H$12)</f>
        <v>0.12104646128787881</v>
      </c>
      <c r="K132" s="15"/>
      <c r="L132" s="30">
        <f>D132-H132</f>
        <v>-8381.3400000000092</v>
      </c>
      <c r="M132" s="15"/>
      <c r="N132" s="36">
        <f>IF(H132=0,0,L132/H132)</f>
        <v>-1.5356542801809505</v>
      </c>
      <c r="O132" s="29"/>
      <c r="P132" s="30">
        <f>+P128-P130</f>
        <v>39849.77000000023</v>
      </c>
      <c r="Q132" s="14"/>
      <c r="R132" s="36">
        <f>IF(P$12=0,0,P132/P$12)</f>
        <v>9.7064485095875924E-2</v>
      </c>
      <c r="S132" s="14"/>
      <c r="T132" s="30">
        <f>+T128-T130</f>
        <v>53951.849999999846</v>
      </c>
      <c r="U132" s="14"/>
      <c r="V132" s="36">
        <f>IF(T$12=0,0,T132/T$12)</f>
        <v>0.11666085652815414</v>
      </c>
      <c r="W132" s="15"/>
      <c r="X132" s="30">
        <f>P132-T132</f>
        <v>-14102.079999999616</v>
      </c>
      <c r="Y132" s="15"/>
      <c r="Z132" s="36">
        <f>IF(T132=0,0,X132/T132)</f>
        <v>-0.26138269586677115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8" t="s">
        <v>5</v>
      </c>
      <c r="C135" s="28"/>
      <c r="D135" s="31">
        <f>SUM(D132:D134)</f>
        <v>-2923.5100000000007</v>
      </c>
      <c r="E135" s="14"/>
      <c r="F135" s="32">
        <f>IF(D$12=0,0,D135/D$12)</f>
        <v>0</v>
      </c>
      <c r="G135" s="14"/>
      <c r="H135" s="31">
        <f>SUM(H132:H134)</f>
        <v>5457.8300000000081</v>
      </c>
      <c r="I135" s="14"/>
      <c r="J135" s="32">
        <f>IF(H$12=0,0,H135/H$12)</f>
        <v>0.12104646128787881</v>
      </c>
      <c r="K135" s="15"/>
      <c r="L135" s="31">
        <f>+D135-H135</f>
        <v>-8381.3400000000092</v>
      </c>
      <c r="M135" s="15"/>
      <c r="N135" s="32">
        <f>IF(H135=0,0,L135/H135)</f>
        <v>-1.5356542801809505</v>
      </c>
      <c r="O135" s="29"/>
      <c r="P135" s="31">
        <f>SUM(P132:P134)</f>
        <v>39849.77000000023</v>
      </c>
      <c r="Q135" s="14"/>
      <c r="R135" s="32">
        <f>IF(P$12=0,0,P135/P$12)</f>
        <v>9.7064485095875924E-2</v>
      </c>
      <c r="S135" s="14"/>
      <c r="T135" s="31">
        <f>SUM(T132:T134)</f>
        <v>53951.849999999846</v>
      </c>
      <c r="U135" s="14"/>
      <c r="V135" s="32">
        <f>IF(T$12=0,0,T135/T$12)</f>
        <v>0.11666085652815414</v>
      </c>
      <c r="W135" s="15"/>
      <c r="X135" s="31">
        <f>+P135-T135</f>
        <v>-14102.079999999616</v>
      </c>
      <c r="Y135" s="15"/>
      <c r="Z135" s="32">
        <f>IF(T135=0,0,X135/T135)</f>
        <v>-0.26138269586677115</v>
      </c>
    </row>
    <row r="136" spans="1:26" ht="15.75" thickTop="1" x14ac:dyDescent="0.25">
      <c r="A136" s="9"/>
      <c r="C136" s="9"/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A137" s="9"/>
      <c r="B137" s="54">
        <v>43965.470921412038</v>
      </c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59" t="s">
        <v>313</v>
      </c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A139" s="9"/>
      <c r="B139" s="61"/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  <row r="140" spans="1:26" x14ac:dyDescent="0.25"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","314", " - ", "Tech/Supplies")</f>
        <v>Department 314 - Tech/Supplies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3159.7599999999998</v>
      </c>
      <c r="E12" s="4"/>
      <c r="F12" s="12"/>
      <c r="G12" s="4"/>
      <c r="H12" s="4">
        <f>SUM(OSRRefH13x_0)</f>
        <v>24502.920000000002</v>
      </c>
      <c r="I12" s="4"/>
      <c r="J12" s="12"/>
      <c r="K12" s="4"/>
      <c r="L12" s="4">
        <f t="shared" ref="L12:L33" si="0">+D12-H12</f>
        <v>-21343.160000000003</v>
      </c>
      <c r="M12" s="4"/>
      <c r="N12" s="12">
        <f t="shared" ref="N12:N33" si="1">IF(H12=0,0,L12/H12)</f>
        <v>-0.87104557334391175</v>
      </c>
      <c r="O12" s="10"/>
      <c r="P12" s="4">
        <f>SUM(OSRRefP13x_0)</f>
        <v>404150.52000000008</v>
      </c>
      <c r="Q12" s="4"/>
      <c r="R12" s="12"/>
      <c r="S12" s="4"/>
      <c r="T12" s="4">
        <f>SUM(OSRRefT13x_0)</f>
        <v>422672.0300000002</v>
      </c>
      <c r="U12" s="4"/>
      <c r="V12" s="12"/>
      <c r="W12" s="4"/>
      <c r="X12" s="4">
        <f t="shared" ref="X12:X33" si="2">+P12-T12</f>
        <v>-18521.510000000126</v>
      </c>
      <c r="Y12" s="4"/>
      <c r="Z12" s="12">
        <f t="shared" ref="Z12:Z33" si="3">IF(T12=0,0,X12/T12)</f>
        <v>-4.3820051210864644E-2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--64.95</f>
        <v>64.95</v>
      </c>
      <c r="E13" s="2"/>
      <c r="F13" s="19"/>
      <c r="G13" s="2"/>
      <c r="H13" s="2">
        <f>--20.89</f>
        <v>20.89</v>
      </c>
      <c r="I13" s="2"/>
      <c r="J13" s="19"/>
      <c r="K13" s="2"/>
      <c r="L13" s="2">
        <f t="shared" si="0"/>
        <v>44.06</v>
      </c>
      <c r="M13" s="2"/>
      <c r="N13" s="19">
        <f t="shared" si="1"/>
        <v>2.1091431306845383</v>
      </c>
      <c r="O13" s="11"/>
      <c r="P13" s="2">
        <f>--276.15</f>
        <v>276.14999999999998</v>
      </c>
      <c r="Q13" s="2"/>
      <c r="R13" s="19"/>
      <c r="S13" s="2"/>
      <c r="T13" s="2">
        <f>--717.61</f>
        <v>717.61</v>
      </c>
      <c r="U13" s="2"/>
      <c r="V13" s="19"/>
      <c r="W13" s="2"/>
      <c r="X13" s="2">
        <f t="shared" si="2"/>
        <v>-441.46000000000004</v>
      </c>
      <c r="Y13" s="2"/>
      <c r="Z13" s="19">
        <f t="shared" si="3"/>
        <v>-0.61518094786861943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ref="D14:D15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--42.85</f>
        <v>42.85</v>
      </c>
      <c r="Q14" s="2"/>
      <c r="R14" s="19"/>
      <c r="S14" s="2"/>
      <c r="T14" s="2">
        <f>--20.55</f>
        <v>20.55</v>
      </c>
      <c r="U14" s="2"/>
      <c r="V14" s="19"/>
      <c r="W14" s="2"/>
      <c r="X14" s="2">
        <f t="shared" si="2"/>
        <v>22.3</v>
      </c>
      <c r="Y14" s="2"/>
      <c r="Z14" s="19">
        <f t="shared" si="3"/>
        <v>1.0851581508515815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--2846.18</f>
        <v>2846.18</v>
      </c>
      <c r="I15" s="2"/>
      <c r="J15" s="19"/>
      <c r="K15" s="2"/>
      <c r="L15" s="2">
        <f t="shared" si="0"/>
        <v>-2846.18</v>
      </c>
      <c r="M15" s="2"/>
      <c r="N15" s="19">
        <f t="shared" si="1"/>
        <v>-1</v>
      </c>
      <c r="O15" s="11"/>
      <c r="P15" s="2">
        <f>--52426.3</f>
        <v>52426.3</v>
      </c>
      <c r="Q15" s="2"/>
      <c r="R15" s="19"/>
      <c r="S15" s="2"/>
      <c r="T15" s="2">
        <f>--54002.12</f>
        <v>54002.12</v>
      </c>
      <c r="U15" s="2"/>
      <c r="V15" s="19"/>
      <c r="W15" s="2"/>
      <c r="X15" s="2">
        <f t="shared" si="2"/>
        <v>-1575.8199999999997</v>
      </c>
      <c r="Y15" s="2"/>
      <c r="Z15" s="19">
        <f t="shared" si="3"/>
        <v>-2.9180706238940243E-2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--81.65</f>
        <v>81.650000000000006</v>
      </c>
      <c r="E16" s="2"/>
      <c r="F16" s="19"/>
      <c r="G16" s="2"/>
      <c r="H16" s="2">
        <f>--5720.99</f>
        <v>5720.99</v>
      </c>
      <c r="I16" s="2"/>
      <c r="J16" s="19"/>
      <c r="K16" s="2"/>
      <c r="L16" s="2">
        <f t="shared" si="0"/>
        <v>-5639.34</v>
      </c>
      <c r="M16" s="2"/>
      <c r="N16" s="19">
        <f t="shared" si="1"/>
        <v>-0.98572799463030003</v>
      </c>
      <c r="O16" s="11"/>
      <c r="P16" s="2">
        <f>--73056.82</f>
        <v>73056.820000000007</v>
      </c>
      <c r="Q16" s="2"/>
      <c r="R16" s="19"/>
      <c r="S16" s="2"/>
      <c r="T16" s="2">
        <f>--68574.41</f>
        <v>68574.41</v>
      </c>
      <c r="U16" s="2"/>
      <c r="V16" s="19"/>
      <c r="W16" s="2"/>
      <c r="X16" s="2">
        <f t="shared" si="2"/>
        <v>4482.4100000000035</v>
      </c>
      <c r="Y16" s="2"/>
      <c r="Z16" s="19">
        <f t="shared" si="3"/>
        <v>6.5365637123235953E-2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--1399.98</f>
        <v>1399.98</v>
      </c>
      <c r="E17" s="2"/>
      <c r="F17" s="19"/>
      <c r="G17" s="2"/>
      <c r="H17" s="2">
        <f>--14567.51</f>
        <v>14567.51</v>
      </c>
      <c r="I17" s="2"/>
      <c r="J17" s="19"/>
      <c r="K17" s="2"/>
      <c r="L17" s="2">
        <f t="shared" si="0"/>
        <v>-13167.53</v>
      </c>
      <c r="M17" s="2"/>
      <c r="N17" s="19">
        <f t="shared" si="1"/>
        <v>-0.9038970970330551</v>
      </c>
      <c r="O17" s="11"/>
      <c r="P17" s="2">
        <f>--261853.84</f>
        <v>261853.84</v>
      </c>
      <c r="Q17" s="2"/>
      <c r="R17" s="19"/>
      <c r="S17" s="2"/>
      <c r="T17" s="2">
        <f>--270213.43</f>
        <v>270213.43</v>
      </c>
      <c r="U17" s="2"/>
      <c r="V17" s="19"/>
      <c r="W17" s="2"/>
      <c r="X17" s="2">
        <f t="shared" si="2"/>
        <v>-8359.5899999999965</v>
      </c>
      <c r="Y17" s="2"/>
      <c r="Z17" s="19">
        <f t="shared" si="3"/>
        <v>-3.093698932728842E-2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--168.82</f>
        <v>168.82</v>
      </c>
      <c r="E18" s="2"/>
      <c r="F18" s="19"/>
      <c r="G18" s="2"/>
      <c r="H18" s="2">
        <f>--1635.84</f>
        <v>1635.84</v>
      </c>
      <c r="I18" s="2"/>
      <c r="J18" s="19"/>
      <c r="K18" s="2"/>
      <c r="L18" s="2">
        <f t="shared" si="0"/>
        <v>-1467.02</v>
      </c>
      <c r="M18" s="2"/>
      <c r="N18" s="19">
        <f t="shared" si="1"/>
        <v>-0.89679919796557128</v>
      </c>
      <c r="O18" s="11"/>
      <c r="P18" s="2">
        <f>--12272.15</f>
        <v>12272.15</v>
      </c>
      <c r="Q18" s="2"/>
      <c r="R18" s="19"/>
      <c r="S18" s="2"/>
      <c r="T18" s="2">
        <f>--14304.77</f>
        <v>14304.77</v>
      </c>
      <c r="U18" s="2"/>
      <c r="V18" s="19"/>
      <c r="W18" s="2"/>
      <c r="X18" s="2">
        <f t="shared" si="2"/>
        <v>-2032.6200000000008</v>
      </c>
      <c r="Y18" s="2"/>
      <c r="Z18" s="19">
        <f t="shared" si="3"/>
        <v>-0.14209386099881374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ref="D19:D20" si="5">0</f>
        <v>0</v>
      </c>
      <c r="E19" s="2"/>
      <c r="F19" s="19"/>
      <c r="G19" s="2"/>
      <c r="H19" s="2">
        <f>--7.02</f>
        <v>7.02</v>
      </c>
      <c r="I19" s="2"/>
      <c r="J19" s="19"/>
      <c r="K19" s="2"/>
      <c r="L19" s="2">
        <f t="shared" si="0"/>
        <v>-7.02</v>
      </c>
      <c r="M19" s="2"/>
      <c r="N19" s="19">
        <f t="shared" si="1"/>
        <v>-1</v>
      </c>
      <c r="O19" s="11"/>
      <c r="P19" s="2">
        <f>--20.15</f>
        <v>20.149999999999999</v>
      </c>
      <c r="Q19" s="2"/>
      <c r="R19" s="19"/>
      <c r="S19" s="2"/>
      <c r="T19" s="2">
        <f>--415.33</f>
        <v>415.33</v>
      </c>
      <c r="U19" s="2"/>
      <c r="V19" s="19"/>
      <c r="W19" s="2"/>
      <c r="X19" s="2">
        <f t="shared" si="2"/>
        <v>-395.18</v>
      </c>
      <c r="Y19" s="2"/>
      <c r="Z19" s="19">
        <f t="shared" si="3"/>
        <v>-0.95148436183275953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5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--267.61</f>
        <v>267.61</v>
      </c>
      <c r="Q20" s="2"/>
      <c r="R20" s="19"/>
      <c r="S20" s="2"/>
      <c r="T20" s="2">
        <f>--305.19</f>
        <v>305.19</v>
      </c>
      <c r="U20" s="2"/>
      <c r="V20" s="19"/>
      <c r="W20" s="2"/>
      <c r="X20" s="2">
        <f t="shared" si="2"/>
        <v>-37.579999999999984</v>
      </c>
      <c r="Y20" s="2"/>
      <c r="Z20" s="19">
        <f t="shared" si="3"/>
        <v>-0.123136406828533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--5.57</f>
        <v>5.57</v>
      </c>
      <c r="E21" s="2"/>
      <c r="F21" s="19"/>
      <c r="G21" s="2"/>
      <c r="H21" s="2">
        <f>--100.47</f>
        <v>100.47</v>
      </c>
      <c r="I21" s="2"/>
      <c r="J21" s="19"/>
      <c r="K21" s="2"/>
      <c r="L21" s="2">
        <f t="shared" si="0"/>
        <v>-94.9</v>
      </c>
      <c r="M21" s="2"/>
      <c r="N21" s="19">
        <f t="shared" si="1"/>
        <v>-0.94456056534288846</v>
      </c>
      <c r="O21" s="11"/>
      <c r="P21" s="2">
        <f>--3020.37</f>
        <v>3020.37</v>
      </c>
      <c r="Q21" s="2"/>
      <c r="R21" s="19"/>
      <c r="S21" s="2"/>
      <c r="T21" s="2">
        <f>--3650.58</f>
        <v>3650.58</v>
      </c>
      <c r="U21" s="2"/>
      <c r="V21" s="19"/>
      <c r="W21" s="2"/>
      <c r="X21" s="2">
        <f t="shared" si="2"/>
        <v>-630.21</v>
      </c>
      <c r="Y21" s="2"/>
      <c r="Z21" s="19">
        <f t="shared" si="3"/>
        <v>-0.17263284190457409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--1430.65</f>
        <v>1430.65</v>
      </c>
      <c r="E22" s="2"/>
      <c r="F22" s="19"/>
      <c r="G22" s="2"/>
      <c r="H22" s="2">
        <f>--4.99</f>
        <v>4.99</v>
      </c>
      <c r="I22" s="2"/>
      <c r="J22" s="19"/>
      <c r="K22" s="2"/>
      <c r="L22" s="2">
        <f t="shared" si="0"/>
        <v>1425.66</v>
      </c>
      <c r="M22" s="2"/>
      <c r="N22" s="19">
        <f t="shared" si="1"/>
        <v>285.70340681362728</v>
      </c>
      <c r="O22" s="11"/>
      <c r="P22" s="2">
        <f>--6130.42</f>
        <v>6130.42</v>
      </c>
      <c r="Q22" s="2"/>
      <c r="R22" s="19"/>
      <c r="S22" s="2"/>
      <c r="T22" s="2">
        <f>--12304.76</f>
        <v>12304.76</v>
      </c>
      <c r="U22" s="2"/>
      <c r="V22" s="19"/>
      <c r="W22" s="2"/>
      <c r="X22" s="2">
        <f t="shared" si="2"/>
        <v>-6174.34</v>
      </c>
      <c r="Y22" s="2"/>
      <c r="Z22" s="19">
        <f t="shared" si="3"/>
        <v>-0.50178467519886616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>0</f>
        <v>0</v>
      </c>
      <c r="E23" s="2"/>
      <c r="F23" s="19"/>
      <c r="G23" s="2"/>
      <c r="H23" s="2">
        <f>--7.45</f>
        <v>7.45</v>
      </c>
      <c r="I23" s="2"/>
      <c r="J23" s="19"/>
      <c r="K23" s="2"/>
      <c r="L23" s="2">
        <f t="shared" si="0"/>
        <v>-7.45</v>
      </c>
      <c r="M23" s="2"/>
      <c r="N23" s="19">
        <f t="shared" si="1"/>
        <v>-1</v>
      </c>
      <c r="O23" s="11"/>
      <c r="P23" s="2">
        <f>--488.53</f>
        <v>488.53</v>
      </c>
      <c r="Q23" s="2"/>
      <c r="R23" s="19"/>
      <c r="S23" s="2"/>
      <c r="T23" s="2">
        <f>--540.96</f>
        <v>540.96</v>
      </c>
      <c r="U23" s="2"/>
      <c r="V23" s="19"/>
      <c r="W23" s="2"/>
      <c r="X23" s="2">
        <f t="shared" si="2"/>
        <v>-52.430000000000064</v>
      </c>
      <c r="Y23" s="2"/>
      <c r="Z23" s="19">
        <f t="shared" si="3"/>
        <v>-9.6920289855072575E-2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--3.97</f>
        <v>3.97</v>
      </c>
      <c r="E24" s="2"/>
      <c r="F24" s="19"/>
      <c r="G24" s="2"/>
      <c r="H24" s="2">
        <f>--160.35</f>
        <v>160.35</v>
      </c>
      <c r="I24" s="2"/>
      <c r="J24" s="19"/>
      <c r="K24" s="2"/>
      <c r="L24" s="2">
        <f t="shared" si="0"/>
        <v>-156.38</v>
      </c>
      <c r="M24" s="2"/>
      <c r="N24" s="19">
        <f t="shared" si="1"/>
        <v>-0.97524165887121916</v>
      </c>
      <c r="O24" s="11"/>
      <c r="P24" s="2">
        <f>--1577.4</f>
        <v>1577.4</v>
      </c>
      <c r="Q24" s="2"/>
      <c r="R24" s="19"/>
      <c r="S24" s="2"/>
      <c r="T24" s="2">
        <f>--1647.34</f>
        <v>1647.34</v>
      </c>
      <c r="U24" s="2"/>
      <c r="V24" s="19"/>
      <c r="W24" s="2"/>
      <c r="X24" s="2">
        <f t="shared" si="2"/>
        <v>-69.939999999999827</v>
      </c>
      <c r="Y24" s="2"/>
      <c r="Z24" s="19">
        <f t="shared" si="3"/>
        <v>-4.2456323527626252E-2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--4.17</f>
        <v>4.17</v>
      </c>
      <c r="E25" s="2"/>
      <c r="F25" s="19"/>
      <c r="G25" s="2"/>
      <c r="H25" s="2">
        <f>--337.38</f>
        <v>337.38</v>
      </c>
      <c r="I25" s="2"/>
      <c r="J25" s="19"/>
      <c r="K25" s="2"/>
      <c r="L25" s="2">
        <f t="shared" si="0"/>
        <v>-333.21</v>
      </c>
      <c r="M25" s="2"/>
      <c r="N25" s="19">
        <f t="shared" si="1"/>
        <v>-0.98764004979548281</v>
      </c>
      <c r="O25" s="11"/>
      <c r="P25" s="2">
        <f>--2264.62</f>
        <v>2264.62</v>
      </c>
      <c r="Q25" s="2"/>
      <c r="R25" s="19"/>
      <c r="S25" s="2"/>
      <c r="T25" s="2">
        <f>--3121.14</f>
        <v>3121.14</v>
      </c>
      <c r="U25" s="2"/>
      <c r="V25" s="19"/>
      <c r="W25" s="2"/>
      <c r="X25" s="2">
        <f t="shared" si="2"/>
        <v>-856.52</v>
      </c>
      <c r="Y25" s="2"/>
      <c r="Z25" s="19">
        <f t="shared" si="3"/>
        <v>-0.27442537021729241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ref="D26:D33" si="6">0</f>
        <v>0</v>
      </c>
      <c r="E26" s="2"/>
      <c r="F26" s="19"/>
      <c r="G26" s="2"/>
      <c r="H26" s="2">
        <f>--13.28</f>
        <v>13.28</v>
      </c>
      <c r="I26" s="2"/>
      <c r="J26" s="19"/>
      <c r="K26" s="2"/>
      <c r="L26" s="2">
        <f t="shared" si="0"/>
        <v>-13.28</v>
      </c>
      <c r="M26" s="2"/>
      <c r="N26" s="19">
        <f t="shared" si="1"/>
        <v>-1</v>
      </c>
      <c r="O26" s="11"/>
      <c r="P26" s="2">
        <f>--50.16</f>
        <v>50.16</v>
      </c>
      <c r="Q26" s="2"/>
      <c r="R26" s="19"/>
      <c r="S26" s="2"/>
      <c r="T26" s="2">
        <f>--196.83</f>
        <v>196.83</v>
      </c>
      <c r="U26" s="2"/>
      <c r="V26" s="19"/>
      <c r="W26" s="2"/>
      <c r="X26" s="2">
        <f t="shared" si="2"/>
        <v>-146.67000000000002</v>
      </c>
      <c r="Y26" s="2"/>
      <c r="Z26" s="19">
        <f t="shared" si="3"/>
        <v>-0.74516079865874107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6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-2.98</f>
        <v>-2.98</v>
      </c>
      <c r="Q27" s="2"/>
      <c r="R27" s="19"/>
      <c r="S27" s="2"/>
      <c r="T27" s="2">
        <f>-1.5</f>
        <v>-1.5</v>
      </c>
      <c r="U27" s="2"/>
      <c r="V27" s="19"/>
      <c r="W27" s="2"/>
      <c r="X27" s="2">
        <f t="shared" si="2"/>
        <v>-1.48</v>
      </c>
      <c r="Y27" s="2"/>
      <c r="Z27" s="19">
        <f t="shared" si="3"/>
        <v>0.98666666666666669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 t="shared" si="6"/>
        <v>0</v>
      </c>
      <c r="E28" s="2"/>
      <c r="F28" s="19"/>
      <c r="G28" s="2"/>
      <c r="H28" s="2">
        <f>-73.92</f>
        <v>-73.92</v>
      </c>
      <c r="I28" s="2"/>
      <c r="J28" s="19"/>
      <c r="K28" s="2"/>
      <c r="L28" s="2">
        <f t="shared" si="0"/>
        <v>73.92</v>
      </c>
      <c r="M28" s="2"/>
      <c r="N28" s="19">
        <f t="shared" si="1"/>
        <v>-1</v>
      </c>
      <c r="O28" s="11"/>
      <c r="P28" s="2">
        <f>-141.28</f>
        <v>-141.28</v>
      </c>
      <c r="Q28" s="2"/>
      <c r="R28" s="19"/>
      <c r="S28" s="2"/>
      <c r="T28" s="2">
        <f>-187.82</f>
        <v>-187.82</v>
      </c>
      <c r="U28" s="2"/>
      <c r="V28" s="19"/>
      <c r="W28" s="2"/>
      <c r="X28" s="2">
        <f t="shared" si="2"/>
        <v>46.539999999999992</v>
      </c>
      <c r="Y28" s="2"/>
      <c r="Z28" s="19">
        <f t="shared" si="3"/>
        <v>-0.24779043765307204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6"/>
        <v>0</v>
      </c>
      <c r="E29" s="2"/>
      <c r="F29" s="19"/>
      <c r="G29" s="2"/>
      <c r="H29" s="2">
        <f>-292.72</f>
        <v>-292.72000000000003</v>
      </c>
      <c r="I29" s="2"/>
      <c r="J29" s="19"/>
      <c r="K29" s="2"/>
      <c r="L29" s="2">
        <f t="shared" si="0"/>
        <v>292.72000000000003</v>
      </c>
      <c r="M29" s="2"/>
      <c r="N29" s="19">
        <f t="shared" si="1"/>
        <v>-1</v>
      </c>
      <c r="O29" s="11"/>
      <c r="P29" s="2">
        <f>-619.19</f>
        <v>-619.19000000000005</v>
      </c>
      <c r="Q29" s="2"/>
      <c r="R29" s="19"/>
      <c r="S29" s="2"/>
      <c r="T29" s="2">
        <f>-592.17</f>
        <v>-592.16999999999996</v>
      </c>
      <c r="U29" s="2"/>
      <c r="V29" s="19"/>
      <c r="W29" s="2"/>
      <c r="X29" s="2">
        <f t="shared" si="2"/>
        <v>-27.020000000000095</v>
      </c>
      <c r="Y29" s="2"/>
      <c r="Z29" s="19">
        <f t="shared" si="3"/>
        <v>4.5628789030177308E-2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6"/>
        <v>0</v>
      </c>
      <c r="E30" s="2"/>
      <c r="F30" s="19"/>
      <c r="G30" s="2"/>
      <c r="H30" s="2">
        <f>-521.01</f>
        <v>-521.01</v>
      </c>
      <c r="I30" s="2"/>
      <c r="J30" s="19"/>
      <c r="K30" s="2"/>
      <c r="L30" s="2">
        <f t="shared" si="0"/>
        <v>521.01</v>
      </c>
      <c r="M30" s="2"/>
      <c r="N30" s="19">
        <f t="shared" si="1"/>
        <v>-1</v>
      </c>
      <c r="O30" s="11"/>
      <c r="P30" s="2">
        <f>-8551.55</f>
        <v>-8551.5499999999993</v>
      </c>
      <c r="Q30" s="2"/>
      <c r="R30" s="19"/>
      <c r="S30" s="2"/>
      <c r="T30" s="2">
        <f>-6420.67</f>
        <v>-6420.67</v>
      </c>
      <c r="U30" s="2"/>
      <c r="V30" s="19"/>
      <c r="W30" s="2"/>
      <c r="X30" s="2">
        <f t="shared" si="2"/>
        <v>-2130.8799999999992</v>
      </c>
      <c r="Y30" s="2"/>
      <c r="Z30" s="19">
        <f t="shared" si="3"/>
        <v>0.3318781373283472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 t="shared" si="6"/>
        <v>0</v>
      </c>
      <c r="E31" s="2"/>
      <c r="F31" s="19"/>
      <c r="G31" s="2"/>
      <c r="H31" s="2">
        <f>-24.5</f>
        <v>-24.5</v>
      </c>
      <c r="I31" s="2"/>
      <c r="J31" s="19"/>
      <c r="K31" s="2"/>
      <c r="L31" s="2">
        <f t="shared" si="0"/>
        <v>24.5</v>
      </c>
      <c r="M31" s="2"/>
      <c r="N31" s="19">
        <f t="shared" si="1"/>
        <v>-1</v>
      </c>
      <c r="O31" s="11"/>
      <c r="P31" s="2">
        <f>-259.98</f>
        <v>-259.98</v>
      </c>
      <c r="Q31" s="2"/>
      <c r="R31" s="19"/>
      <c r="S31" s="2"/>
      <c r="T31" s="2">
        <f>-117.29</f>
        <v>-117.29</v>
      </c>
      <c r="U31" s="2"/>
      <c r="V31" s="19"/>
      <c r="W31" s="2"/>
      <c r="X31" s="2">
        <f t="shared" si="2"/>
        <v>-142.69</v>
      </c>
      <c r="Y31" s="2"/>
      <c r="Z31" s="19">
        <f t="shared" si="3"/>
        <v>1.2165572512575666</v>
      </c>
    </row>
    <row r="32" spans="1:26" s="24" customFormat="1" hidden="1" outlineLevel="1" x14ac:dyDescent="0.2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 t="shared" si="6"/>
        <v>0</v>
      </c>
      <c r="E32" s="2"/>
      <c r="F32" s="19"/>
      <c r="G32" s="2"/>
      <c r="H32" s="2">
        <f>-2.29</f>
        <v>-2.29</v>
      </c>
      <c r="I32" s="2"/>
      <c r="J32" s="19"/>
      <c r="K32" s="2"/>
      <c r="L32" s="2">
        <f t="shared" si="0"/>
        <v>2.29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f>-18.55</f>
        <v>-18.55</v>
      </c>
      <c r="U32" s="2"/>
      <c r="V32" s="19"/>
      <c r="W32" s="2"/>
      <c r="X32" s="2">
        <f t="shared" si="2"/>
        <v>18.55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 t="shared" si="6"/>
        <v>0</v>
      </c>
      <c r="E33" s="2"/>
      <c r="F33" s="19"/>
      <c r="G33" s="2"/>
      <c r="H33" s="2">
        <f>-4.99</f>
        <v>-4.99</v>
      </c>
      <c r="I33" s="2"/>
      <c r="J33" s="19"/>
      <c r="K33" s="2"/>
      <c r="L33" s="2">
        <f t="shared" si="0"/>
        <v>4.99</v>
      </c>
      <c r="M33" s="2"/>
      <c r="N33" s="19">
        <f t="shared" si="1"/>
        <v>-1</v>
      </c>
      <c r="O33" s="11"/>
      <c r="P33" s="2">
        <f>-21.87</f>
        <v>-21.87</v>
      </c>
      <c r="Q33" s="2"/>
      <c r="R33" s="19"/>
      <c r="S33" s="2"/>
      <c r="T33" s="2">
        <f>-4.99</f>
        <v>-4.99</v>
      </c>
      <c r="U33" s="2"/>
      <c r="V33" s="19"/>
      <c r="W33" s="2"/>
      <c r="X33" s="2">
        <f t="shared" si="2"/>
        <v>-16.880000000000003</v>
      </c>
      <c r="Y33" s="2"/>
      <c r="Z33" s="19">
        <f t="shared" si="3"/>
        <v>3.3827655310621245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1571.2899999999997</v>
      </c>
      <c r="E35" s="4"/>
      <c r="F35" s="12">
        <f t="shared" ref="F35:F50" si="7">IF(D$12=0,0,D35/D$12)</f>
        <v>0.49728143909664019</v>
      </c>
      <c r="G35" s="4"/>
      <c r="H35" s="4">
        <f>SUM(OSRRefH16x_0)</f>
        <v>12639.880000000001</v>
      </c>
      <c r="I35" s="4"/>
      <c r="J35" s="12">
        <f t="shared" ref="J35:J50" si="8">IF(H$12=0,0,H35/H$12)</f>
        <v>0.51585198825282863</v>
      </c>
      <c r="K35" s="4"/>
      <c r="L35" s="4">
        <f t="shared" ref="L35:L50" si="9">+D35-H35</f>
        <v>-11068.590000000002</v>
      </c>
      <c r="M35" s="4"/>
      <c r="N35" s="12">
        <f t="shared" ref="N35:N50" si="10">IF(H35=0,0,L35/H35)</f>
        <v>-0.87568790210033653</v>
      </c>
      <c r="O35" s="10"/>
      <c r="P35" s="4">
        <f>SUM(OSRRefP16x_0)</f>
        <v>192220.50999999998</v>
      </c>
      <c r="Q35" s="4"/>
      <c r="R35" s="12">
        <f t="shared" ref="R35:R50" si="11">IF(P$12=0,0,P35/P$12)</f>
        <v>0.47561613925425594</v>
      </c>
      <c r="S35" s="4"/>
      <c r="T35" s="4">
        <f>SUM(OSRRefT16x_0)</f>
        <v>212673.83999999997</v>
      </c>
      <c r="U35" s="4"/>
      <c r="V35" s="12">
        <f t="shared" ref="V35:V50" si="12">IF(T$12=0,0,T35/T$12)</f>
        <v>0.50316516094050479</v>
      </c>
      <c r="W35" s="4"/>
      <c r="X35" s="4">
        <f t="shared" ref="X35:X50" si="13">+P35-T35</f>
        <v>-20453.329999999987</v>
      </c>
      <c r="Y35" s="4"/>
      <c r="Z35" s="12">
        <f t="shared" ref="Z35:Z50" si="14">IF(T35=0,0,X35/T35)</f>
        <v>-9.6172288984860521E-2</v>
      </c>
    </row>
    <row r="36" spans="1:26" s="24" customFormat="1" hidden="1" outlineLevel="1" x14ac:dyDescent="0.2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/>
      <c r="E36" s="2"/>
      <c r="F36" s="19">
        <f t="shared" si="7"/>
        <v>0</v>
      </c>
      <c r="G36" s="2"/>
      <c r="H36" s="2"/>
      <c r="I36" s="2"/>
      <c r="J36" s="19">
        <f t="shared" si="8"/>
        <v>0</v>
      </c>
      <c r="K36" s="2"/>
      <c r="L36" s="2">
        <f t="shared" si="9"/>
        <v>0</v>
      </c>
      <c r="M36" s="2"/>
      <c r="N36" s="19">
        <f t="shared" si="10"/>
        <v>0</v>
      </c>
      <c r="O36" s="11"/>
      <c r="P36" s="2">
        <v>14.46</v>
      </c>
      <c r="Q36" s="2"/>
      <c r="R36" s="19">
        <f t="shared" si="11"/>
        <v>3.5778748967092754E-5</v>
      </c>
      <c r="S36" s="2"/>
      <c r="T36" s="2">
        <v>239.9</v>
      </c>
      <c r="U36" s="2"/>
      <c r="V36" s="19">
        <f t="shared" si="12"/>
        <v>5.6757954861597982E-4</v>
      </c>
      <c r="W36" s="2"/>
      <c r="X36" s="2">
        <f t="shared" si="13"/>
        <v>-225.44</v>
      </c>
      <c r="Y36" s="2"/>
      <c r="Z36" s="19">
        <f t="shared" si="14"/>
        <v>-0.93972488536890364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7"/>
        <v>0</v>
      </c>
      <c r="G37" s="2"/>
      <c r="H37" s="2">
        <v>3112</v>
      </c>
      <c r="I37" s="2"/>
      <c r="J37" s="19">
        <f t="shared" si="8"/>
        <v>0.1270052712084927</v>
      </c>
      <c r="K37" s="2"/>
      <c r="L37" s="2">
        <f t="shared" si="9"/>
        <v>-3112</v>
      </c>
      <c r="M37" s="2"/>
      <c r="N37" s="19">
        <f t="shared" si="10"/>
        <v>-1</v>
      </c>
      <c r="O37" s="11"/>
      <c r="P37" s="2">
        <v>25706.15</v>
      </c>
      <c r="Q37" s="2"/>
      <c r="R37" s="19">
        <f t="shared" si="11"/>
        <v>6.3605386428798844E-2</v>
      </c>
      <c r="S37" s="2"/>
      <c r="T37" s="2">
        <v>18454.82</v>
      </c>
      <c r="U37" s="2"/>
      <c r="V37" s="19">
        <f t="shared" si="12"/>
        <v>4.3662269301330374E-2</v>
      </c>
      <c r="W37" s="2"/>
      <c r="X37" s="2">
        <f t="shared" si="13"/>
        <v>7251.3300000000017</v>
      </c>
      <c r="Y37" s="2"/>
      <c r="Z37" s="19">
        <f t="shared" si="14"/>
        <v>0.39292336636174191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2353.4899999999998</v>
      </c>
      <c r="E38" s="2"/>
      <c r="F38" s="19">
        <f t="shared" si="7"/>
        <v>0.74483188596602268</v>
      </c>
      <c r="G38" s="2"/>
      <c r="H38" s="2">
        <v>-543.63</v>
      </c>
      <c r="I38" s="2"/>
      <c r="J38" s="19">
        <f t="shared" si="8"/>
        <v>-2.2186335342889742E-2</v>
      </c>
      <c r="K38" s="2"/>
      <c r="L38" s="2">
        <f t="shared" si="9"/>
        <v>2897.12</v>
      </c>
      <c r="M38" s="2"/>
      <c r="N38" s="19">
        <f t="shared" si="10"/>
        <v>-5.3292128837628532</v>
      </c>
      <c r="O38" s="11"/>
      <c r="P38" s="2">
        <v>45713.990000000005</v>
      </c>
      <c r="Q38" s="2"/>
      <c r="R38" s="19">
        <f t="shared" si="11"/>
        <v>0.11311129823611261</v>
      </c>
      <c r="S38" s="2"/>
      <c r="T38" s="2">
        <v>46278.86</v>
      </c>
      <c r="U38" s="2"/>
      <c r="V38" s="19">
        <f t="shared" si="12"/>
        <v>0.1094911816142648</v>
      </c>
      <c r="W38" s="2"/>
      <c r="X38" s="2">
        <f t="shared" si="13"/>
        <v>-564.86999999999534</v>
      </c>
      <c r="Y38" s="2"/>
      <c r="Z38" s="19">
        <f t="shared" si="14"/>
        <v>-1.2205788993073627E-2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5806.71</v>
      </c>
      <c r="E39" s="2"/>
      <c r="F39" s="19">
        <f t="shared" si="7"/>
        <v>1.8377060283059474</v>
      </c>
      <c r="G39" s="2"/>
      <c r="H39" s="2">
        <v>5759.9</v>
      </c>
      <c r="I39" s="2"/>
      <c r="J39" s="19">
        <f t="shared" si="8"/>
        <v>0.23506994268438208</v>
      </c>
      <c r="K39" s="2"/>
      <c r="L39" s="2">
        <f t="shared" si="9"/>
        <v>46.8100000000004</v>
      </c>
      <c r="M39" s="2"/>
      <c r="N39" s="19">
        <f t="shared" si="10"/>
        <v>8.1268772027292841E-3</v>
      </c>
      <c r="O39" s="11"/>
      <c r="P39" s="2">
        <v>139218.15</v>
      </c>
      <c r="Q39" s="2"/>
      <c r="R39" s="19">
        <f t="shared" si="11"/>
        <v>0.34447104014613161</v>
      </c>
      <c r="S39" s="2"/>
      <c r="T39" s="2">
        <v>139347.74</v>
      </c>
      <c r="U39" s="2"/>
      <c r="V39" s="19">
        <f t="shared" si="12"/>
        <v>0.32968289858214633</v>
      </c>
      <c r="W39" s="2"/>
      <c r="X39" s="2">
        <f t="shared" si="13"/>
        <v>-129.58999999999651</v>
      </c>
      <c r="Y39" s="2"/>
      <c r="Z39" s="19">
        <f t="shared" si="14"/>
        <v>-9.2997561352625106E-4</v>
      </c>
    </row>
    <row r="40" spans="1:26" s="24" customFormat="1" hidden="1" outlineLevel="1" x14ac:dyDescent="0.2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917.54</v>
      </c>
      <c r="E40" s="2"/>
      <c r="F40" s="19">
        <f t="shared" si="7"/>
        <v>0.29038281388459886</v>
      </c>
      <c r="G40" s="2"/>
      <c r="H40" s="2">
        <v>453.36</v>
      </c>
      <c r="I40" s="2"/>
      <c r="J40" s="19">
        <f t="shared" si="8"/>
        <v>1.8502284625669104E-2</v>
      </c>
      <c r="K40" s="2"/>
      <c r="L40" s="2">
        <f t="shared" si="9"/>
        <v>464.17999999999995</v>
      </c>
      <c r="M40" s="2"/>
      <c r="N40" s="19">
        <f t="shared" si="10"/>
        <v>1.0238662431621668</v>
      </c>
      <c r="O40" s="11"/>
      <c r="P40" s="2">
        <v>7649.52</v>
      </c>
      <c r="Q40" s="2"/>
      <c r="R40" s="19">
        <f t="shared" si="11"/>
        <v>1.8927403582209911E-2</v>
      </c>
      <c r="S40" s="2"/>
      <c r="T40" s="2">
        <v>5461.9</v>
      </c>
      <c r="U40" s="2"/>
      <c r="V40" s="19">
        <f t="shared" si="12"/>
        <v>1.2922312365925885E-2</v>
      </c>
      <c r="W40" s="2"/>
      <c r="X40" s="2">
        <f t="shared" si="13"/>
        <v>2187.6200000000008</v>
      </c>
      <c r="Y40" s="2"/>
      <c r="Z40" s="19">
        <f t="shared" si="14"/>
        <v>0.40052362730917829</v>
      </c>
    </row>
    <row r="41" spans="1:26" s="24" customFormat="1" hidden="1" outlineLevel="1" x14ac:dyDescent="0.25">
      <c r="A41" s="44"/>
      <c r="B41" s="11" t="str">
        <f>CONCATENATE("          ", "5031", " - ", "PURCHASES @ COST-FOOD")</f>
        <v xml:space="preserve">          5031 - PURCHASES @ COST-FOOD</v>
      </c>
      <c r="C41" s="11"/>
      <c r="D41" s="2"/>
      <c r="E41" s="2"/>
      <c r="F41" s="19">
        <f t="shared" si="7"/>
        <v>0</v>
      </c>
      <c r="G41" s="2"/>
      <c r="H41" s="2">
        <v>73.8</v>
      </c>
      <c r="I41" s="2"/>
      <c r="J41" s="19">
        <f t="shared" si="8"/>
        <v>3.0118859303299357E-3</v>
      </c>
      <c r="K41" s="2"/>
      <c r="L41" s="2">
        <f t="shared" si="9"/>
        <v>-73.8</v>
      </c>
      <c r="M41" s="2"/>
      <c r="N41" s="19">
        <f t="shared" si="10"/>
        <v>-1</v>
      </c>
      <c r="O41" s="11"/>
      <c r="P41" s="2">
        <v>780.53</v>
      </c>
      <c r="Q41" s="2"/>
      <c r="R41" s="19">
        <f t="shared" si="11"/>
        <v>1.9312854032700485E-3</v>
      </c>
      <c r="S41" s="2"/>
      <c r="T41" s="2">
        <v>1862.35</v>
      </c>
      <c r="U41" s="2"/>
      <c r="V41" s="19">
        <f t="shared" si="12"/>
        <v>4.4061349410794912E-3</v>
      </c>
      <c r="W41" s="2"/>
      <c r="X41" s="2">
        <f t="shared" si="13"/>
        <v>-1081.82</v>
      </c>
      <c r="Y41" s="2"/>
      <c r="Z41" s="19">
        <f t="shared" si="14"/>
        <v>-0.58088973608612771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/>
      <c r="E42" s="2"/>
      <c r="F42" s="19">
        <f t="shared" si="7"/>
        <v>0</v>
      </c>
      <c r="G42" s="2"/>
      <c r="H42" s="2">
        <v>203</v>
      </c>
      <c r="I42" s="2"/>
      <c r="J42" s="19">
        <f t="shared" si="8"/>
        <v>8.2847268815308545E-3</v>
      </c>
      <c r="K42" s="2"/>
      <c r="L42" s="2">
        <f t="shared" si="9"/>
        <v>-203</v>
      </c>
      <c r="M42" s="2"/>
      <c r="N42" s="19">
        <f t="shared" si="10"/>
        <v>-1</v>
      </c>
      <c r="O42" s="11"/>
      <c r="P42" s="2">
        <v>1119.08</v>
      </c>
      <c r="Q42" s="2"/>
      <c r="R42" s="19">
        <f t="shared" si="11"/>
        <v>2.7689683536717947E-3</v>
      </c>
      <c r="S42" s="2"/>
      <c r="T42" s="2">
        <v>815.19</v>
      </c>
      <c r="U42" s="2"/>
      <c r="V42" s="19">
        <f t="shared" si="12"/>
        <v>1.9286584920227621E-3</v>
      </c>
      <c r="W42" s="2"/>
      <c r="X42" s="2">
        <f t="shared" si="13"/>
        <v>303.88999999999987</v>
      </c>
      <c r="Y42" s="2"/>
      <c r="Z42" s="19">
        <f t="shared" si="14"/>
        <v>0.37278425888443167</v>
      </c>
    </row>
    <row r="43" spans="1:26" s="24" customFormat="1" hidden="1" outlineLevel="1" x14ac:dyDescent="0.2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/>
      <c r="E43" s="2"/>
      <c r="F43" s="19">
        <f t="shared" si="7"/>
        <v>0</v>
      </c>
      <c r="G43" s="2"/>
      <c r="H43" s="2"/>
      <c r="I43" s="2"/>
      <c r="J43" s="19">
        <f t="shared" si="8"/>
        <v>0</v>
      </c>
      <c r="K43" s="2"/>
      <c r="L43" s="2">
        <f t="shared" si="9"/>
        <v>0</v>
      </c>
      <c r="M43" s="2"/>
      <c r="N43" s="19">
        <f t="shared" si="10"/>
        <v>0</v>
      </c>
      <c r="O43" s="11"/>
      <c r="P43" s="2">
        <v>36.25</v>
      </c>
      <c r="Q43" s="2"/>
      <c r="R43" s="19">
        <f t="shared" si="11"/>
        <v>8.9694304983202781E-5</v>
      </c>
      <c r="S43" s="2"/>
      <c r="T43" s="2">
        <v>78.180000000000007</v>
      </c>
      <c r="U43" s="2"/>
      <c r="V43" s="19">
        <f t="shared" si="12"/>
        <v>1.8496610717297753E-4</v>
      </c>
      <c r="W43" s="2"/>
      <c r="X43" s="2">
        <f t="shared" si="13"/>
        <v>-41.930000000000007</v>
      </c>
      <c r="Y43" s="2"/>
      <c r="Z43" s="19">
        <f t="shared" si="14"/>
        <v>-0.53632642619595805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-9114</v>
      </c>
      <c r="E44" s="2"/>
      <c r="F44" s="19">
        <f t="shared" si="7"/>
        <v>-2.8843962832620202</v>
      </c>
      <c r="G44" s="2"/>
      <c r="H44" s="2">
        <v>-9524</v>
      </c>
      <c r="I44" s="2"/>
      <c r="J44" s="19">
        <f t="shared" si="8"/>
        <v>-0.38868836856994998</v>
      </c>
      <c r="K44" s="2"/>
      <c r="L44" s="2">
        <f t="shared" si="9"/>
        <v>410</v>
      </c>
      <c r="M44" s="2"/>
      <c r="N44" s="19">
        <f t="shared" si="10"/>
        <v>-4.3049139017219656E-2</v>
      </c>
      <c r="O44" s="11"/>
      <c r="P44" s="2">
        <v>-223458</v>
      </c>
      <c r="Q44" s="2"/>
      <c r="R44" s="19">
        <f t="shared" si="11"/>
        <v>-0.55290786214997312</v>
      </c>
      <c r="S44" s="2"/>
      <c r="T44" s="2">
        <v>-214782</v>
      </c>
      <c r="U44" s="2"/>
      <c r="V44" s="19">
        <f t="shared" si="12"/>
        <v>-0.50815285790261522</v>
      </c>
      <c r="W44" s="2"/>
      <c r="X44" s="2">
        <f t="shared" si="13"/>
        <v>-8676</v>
      </c>
      <c r="Y44" s="2"/>
      <c r="Z44" s="19">
        <f t="shared" si="14"/>
        <v>4.039444646199402E-2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1571</v>
      </c>
      <c r="E45" s="2"/>
      <c r="F45" s="19">
        <f t="shared" si="7"/>
        <v>0.4971896599741753</v>
      </c>
      <c r="G45" s="2"/>
      <c r="H45" s="2">
        <v>12640</v>
      </c>
      <c r="I45" s="2"/>
      <c r="J45" s="19">
        <f t="shared" si="8"/>
        <v>0.5158568856283251</v>
      </c>
      <c r="K45" s="2"/>
      <c r="L45" s="2">
        <f t="shared" si="9"/>
        <v>-11069</v>
      </c>
      <c r="M45" s="2"/>
      <c r="N45" s="19">
        <f t="shared" si="10"/>
        <v>-0.87571202531645564</v>
      </c>
      <c r="O45" s="11"/>
      <c r="P45" s="2">
        <v>192215</v>
      </c>
      <c r="Q45" s="2"/>
      <c r="R45" s="19">
        <f t="shared" si="11"/>
        <v>0.47560250571989854</v>
      </c>
      <c r="S45" s="2"/>
      <c r="T45" s="2">
        <v>212677</v>
      </c>
      <c r="U45" s="2"/>
      <c r="V45" s="19">
        <f t="shared" si="12"/>
        <v>0.50317263718633076</v>
      </c>
      <c r="W45" s="2"/>
      <c r="X45" s="2">
        <f t="shared" si="13"/>
        <v>-20462</v>
      </c>
      <c r="Y45" s="2"/>
      <c r="Z45" s="19">
        <f t="shared" si="14"/>
        <v>-9.6211626080864407E-2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6</v>
      </c>
      <c r="Q46" s="2"/>
      <c r="R46" s="19">
        <f t="shared" si="11"/>
        <v>1.4845953928254252E-5</v>
      </c>
      <c r="S46" s="2"/>
      <c r="T46" s="2"/>
      <c r="U46" s="2"/>
      <c r="V46" s="19">
        <f t="shared" si="12"/>
        <v>0</v>
      </c>
      <c r="W46" s="2"/>
      <c r="X46" s="2">
        <f t="shared" si="13"/>
        <v>6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"5525", " - ", "FREIGHT-IN-TEST FORMS")</f>
        <v xml:space="preserve">          5525 - FREIGHT-IN-TEST FORMS</v>
      </c>
      <c r="C47" s="11"/>
      <c r="D47" s="2"/>
      <c r="E47" s="2"/>
      <c r="F47" s="19">
        <f t="shared" si="7"/>
        <v>0</v>
      </c>
      <c r="G47" s="2"/>
      <c r="H47" s="2">
        <v>32.04</v>
      </c>
      <c r="I47" s="2"/>
      <c r="J47" s="19">
        <f t="shared" si="8"/>
        <v>1.3075992575578746E-3</v>
      </c>
      <c r="K47" s="2"/>
      <c r="L47" s="2">
        <f t="shared" si="9"/>
        <v>-32.04</v>
      </c>
      <c r="M47" s="2"/>
      <c r="N47" s="19">
        <f t="shared" si="10"/>
        <v>-1</v>
      </c>
      <c r="O47" s="11"/>
      <c r="P47" s="2">
        <v>1237.22</v>
      </c>
      <c r="Q47" s="2"/>
      <c r="R47" s="19">
        <f t="shared" si="11"/>
        <v>3.0612851865191213E-3</v>
      </c>
      <c r="S47" s="2"/>
      <c r="T47" s="2">
        <v>335.25</v>
      </c>
      <c r="U47" s="2"/>
      <c r="V47" s="19">
        <f t="shared" si="12"/>
        <v>7.9316816870990924E-4</v>
      </c>
      <c r="W47" s="2"/>
      <c r="X47" s="2">
        <f t="shared" si="13"/>
        <v>901.97</v>
      </c>
      <c r="Y47" s="2"/>
      <c r="Z47" s="19">
        <f t="shared" si="14"/>
        <v>2.6904399701715138</v>
      </c>
    </row>
    <row r="48" spans="1:26" s="24" customFormat="1" hidden="1" outlineLevel="1" x14ac:dyDescent="0.25">
      <c r="A48" s="44"/>
      <c r="B48" s="11" t="str">
        <f>CONCATENATE("          ", "5526", " - ", "FREIGHT-IN-WRITING INSTRUMENTS")</f>
        <v xml:space="preserve">          5526 - FREIGHT-IN-WRITING INSTRUMENTS</v>
      </c>
      <c r="C48" s="11"/>
      <c r="D48" s="2"/>
      <c r="E48" s="2"/>
      <c r="F48" s="19">
        <f t="shared" si="7"/>
        <v>0</v>
      </c>
      <c r="G48" s="2"/>
      <c r="H48" s="2">
        <v>100.95</v>
      </c>
      <c r="I48" s="2"/>
      <c r="J48" s="19">
        <f t="shared" si="8"/>
        <v>4.1199171364065994E-3</v>
      </c>
      <c r="K48" s="2"/>
      <c r="L48" s="2">
        <f t="shared" si="9"/>
        <v>-100.95</v>
      </c>
      <c r="M48" s="2"/>
      <c r="N48" s="19">
        <f t="shared" si="10"/>
        <v>-1</v>
      </c>
      <c r="O48" s="11"/>
      <c r="P48" s="2">
        <v>260.35000000000002</v>
      </c>
      <c r="Q48" s="2"/>
      <c r="R48" s="19">
        <f t="shared" si="11"/>
        <v>6.4419068420349919E-4</v>
      </c>
      <c r="S48" s="2"/>
      <c r="T48" s="2">
        <v>232.11</v>
      </c>
      <c r="U48" s="2"/>
      <c r="V48" s="19">
        <f t="shared" si="12"/>
        <v>5.491491831148607E-4</v>
      </c>
      <c r="W48" s="2"/>
      <c r="X48" s="2">
        <f t="shared" si="13"/>
        <v>28.240000000000009</v>
      </c>
      <c r="Y48" s="2"/>
      <c r="Z48" s="19">
        <f t="shared" si="14"/>
        <v>0.12166645125156179</v>
      </c>
    </row>
    <row r="49" spans="1:26" s="24" customFormat="1" hidden="1" outlineLevel="1" x14ac:dyDescent="0.25">
      <c r="A49" s="44"/>
      <c r="B49" s="11" t="str">
        <f>CONCATENATE("          ", "5527", " - ", "FREIGHT-IN-SCHOOL SUPPLIES")</f>
        <v xml:space="preserve">          5527 - FREIGHT-IN-SCHOOL SUPPLIES</v>
      </c>
      <c r="C49" s="11"/>
      <c r="D49" s="2"/>
      <c r="E49" s="2"/>
      <c r="F49" s="19">
        <f t="shared" si="7"/>
        <v>0</v>
      </c>
      <c r="G49" s="2"/>
      <c r="H49" s="2">
        <v>328.65</v>
      </c>
      <c r="I49" s="2"/>
      <c r="J49" s="19">
        <f t="shared" si="8"/>
        <v>1.3412687140961157E-2</v>
      </c>
      <c r="K49" s="2"/>
      <c r="L49" s="2">
        <f t="shared" si="9"/>
        <v>-328.65</v>
      </c>
      <c r="M49" s="2"/>
      <c r="N49" s="19">
        <f t="shared" si="10"/>
        <v>-1</v>
      </c>
      <c r="O49" s="11"/>
      <c r="P49" s="2">
        <v>1594.03</v>
      </c>
      <c r="Q49" s="2"/>
      <c r="R49" s="19">
        <f t="shared" si="11"/>
        <v>3.944149323375854E-3</v>
      </c>
      <c r="S49" s="2"/>
      <c r="T49" s="2">
        <v>1645.02</v>
      </c>
      <c r="U49" s="2"/>
      <c r="V49" s="19">
        <f t="shared" si="12"/>
        <v>3.8919537685046233E-3</v>
      </c>
      <c r="W49" s="2"/>
      <c r="X49" s="2">
        <f t="shared" si="13"/>
        <v>-50.990000000000009</v>
      </c>
      <c r="Y49" s="2"/>
      <c r="Z49" s="19">
        <f t="shared" si="14"/>
        <v>-3.0996583628162582E-2</v>
      </c>
    </row>
    <row r="50" spans="1:26" s="24" customFormat="1" hidden="1" outlineLevel="1" x14ac:dyDescent="0.25">
      <c r="A50" s="44"/>
      <c r="B50" s="11" t="str">
        <f>CONCATENATE("          ", "5528", " - ", "FREIGHT-IN-ART/TECH")</f>
        <v xml:space="preserve">          5528 - FREIGHT-IN-ART/TECH</v>
      </c>
      <c r="C50" s="11"/>
      <c r="D50" s="2">
        <v>36.549999999999997</v>
      </c>
      <c r="E50" s="2"/>
      <c r="F50" s="19">
        <f t="shared" si="7"/>
        <v>1.1567334227916044E-2</v>
      </c>
      <c r="G50" s="2"/>
      <c r="H50" s="2">
        <v>3.81</v>
      </c>
      <c r="I50" s="2"/>
      <c r="J50" s="19">
        <f t="shared" si="8"/>
        <v>1.5549167201296823E-4</v>
      </c>
      <c r="K50" s="2"/>
      <c r="L50" s="2">
        <f t="shared" si="9"/>
        <v>32.739999999999995</v>
      </c>
      <c r="M50" s="2"/>
      <c r="N50" s="19">
        <f t="shared" si="10"/>
        <v>8.5931758530183711</v>
      </c>
      <c r="O50" s="11"/>
      <c r="P50" s="2">
        <v>127.78</v>
      </c>
      <c r="Q50" s="2"/>
      <c r="R50" s="19">
        <f t="shared" si="11"/>
        <v>3.1616933215872141E-4</v>
      </c>
      <c r="S50" s="2"/>
      <c r="T50" s="2">
        <v>27.52</v>
      </c>
      <c r="U50" s="2"/>
      <c r="V50" s="19">
        <f t="shared" si="12"/>
        <v>6.5109583901257873E-5</v>
      </c>
      <c r="W50" s="2"/>
      <c r="X50" s="2">
        <f t="shared" si="13"/>
        <v>100.26</v>
      </c>
      <c r="Y50" s="2"/>
      <c r="Z50" s="19">
        <f t="shared" si="14"/>
        <v>3.6431686046511631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8" t="s">
        <v>6</v>
      </c>
      <c r="C52" s="28"/>
      <c r="D52" s="21">
        <f>D12-D35</f>
        <v>1588.47</v>
      </c>
      <c r="E52" s="14"/>
      <c r="F52" s="20">
        <f>IF(D$12=0,0,D52/D$12)</f>
        <v>0.50271856090335976</v>
      </c>
      <c r="G52" s="14"/>
      <c r="H52" s="21">
        <f>H12-H35</f>
        <v>11863.04</v>
      </c>
      <c r="I52" s="14"/>
      <c r="J52" s="20">
        <f>IF(H$12=0,0,H52/H$12)</f>
        <v>0.48414801174717137</v>
      </c>
      <c r="K52" s="15"/>
      <c r="L52" s="21">
        <f>+D52-H52</f>
        <v>-10274.570000000002</v>
      </c>
      <c r="M52" s="15"/>
      <c r="N52" s="20">
        <f>IF(H52=0,0,L52/H52)</f>
        <v>-0.86609924606171784</v>
      </c>
      <c r="O52" s="29"/>
      <c r="P52" s="21">
        <f>P12-P35</f>
        <v>211930.0100000001</v>
      </c>
      <c r="Q52" s="14"/>
      <c r="R52" s="20">
        <f>IF(P$12=0,0,P52/P$12)</f>
        <v>0.52438386074574406</v>
      </c>
      <c r="S52" s="14"/>
      <c r="T52" s="21">
        <f>T12-T35</f>
        <v>209998.19000000024</v>
      </c>
      <c r="U52" s="14"/>
      <c r="V52" s="20">
        <f>IF(T$12=0,0,T52/T$12)</f>
        <v>0.49683483905949521</v>
      </c>
      <c r="W52" s="15"/>
      <c r="X52" s="21">
        <f>+P52-T52</f>
        <v>1931.8199999998615</v>
      </c>
      <c r="Y52" s="15"/>
      <c r="Z52" s="20">
        <f>IF(T52=0,0,X52/T52)</f>
        <v>9.1992221456759192E-3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9" t="s">
        <v>9</v>
      </c>
      <c r="C54" s="10"/>
      <c r="D54" s="22">
        <f>SUM(OSRRefD22x_0)</f>
        <v>7073.23</v>
      </c>
      <c r="E54" s="22"/>
      <c r="F54" s="35">
        <f t="shared" ref="F54:F64" si="15">IF(D$12=0,0,D54/D$12)</f>
        <v>2.238533939286528</v>
      </c>
      <c r="G54" s="22"/>
      <c r="H54" s="22">
        <f>SUM(OSRRefH22x_0)</f>
        <v>9273.7300000000014</v>
      </c>
      <c r="I54" s="22"/>
      <c r="J54" s="35">
        <f t="shared" ref="J54:J64" si="16">IF(H$12=0,0,H54/H$12)</f>
        <v>0.37847448385743415</v>
      </c>
      <c r="K54" s="4"/>
      <c r="L54" s="22">
        <f t="shared" ref="L54:L64" si="17">+D54-H54</f>
        <v>-2200.5000000000018</v>
      </c>
      <c r="M54" s="4"/>
      <c r="N54" s="35">
        <f t="shared" ref="N54:N64" si="18">IF(H54=0,0,L54/H54)</f>
        <v>-0.23728316437938149</v>
      </c>
      <c r="O54" s="10"/>
      <c r="P54" s="22">
        <f>SUM(OSRRefP22x_0)</f>
        <v>99700.829999999987</v>
      </c>
      <c r="Q54" s="22"/>
      <c r="R54" s="35">
        <f t="shared" ref="R54:R64" si="19">IF(P$12=0,0,P54/P$12)</f>
        <v>0.24669232146478487</v>
      </c>
      <c r="S54" s="22"/>
      <c r="T54" s="22">
        <f>SUM(OSRRefT22x_0)</f>
        <v>99368.709999999992</v>
      </c>
      <c r="U54" s="22"/>
      <c r="V54" s="35">
        <f t="shared" ref="V54:V64" si="20">IF(T$12=0,0,T54/T$12)</f>
        <v>0.23509648840496955</v>
      </c>
      <c r="W54" s="4"/>
      <c r="X54" s="22">
        <f t="shared" ref="X54:X64" si="21">+P54-T54</f>
        <v>332.11999999999534</v>
      </c>
      <c r="Y54" s="4"/>
      <c r="Z54" s="35">
        <f t="shared" ref="Z54:Z64" si="22">IF(T54=0,0,X54/T54)</f>
        <v>3.3422996031647724E-3</v>
      </c>
    </row>
    <row r="55" spans="1:26" s="25" customFormat="1" outlineLevel="1" collapsed="1" x14ac:dyDescent="0.25">
      <c r="A55" s="26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3216.9900000000002</v>
      </c>
      <c r="E55" s="1"/>
      <c r="F55" s="5">
        <f t="shared" si="15"/>
        <v>1.0181121350988684</v>
      </c>
      <c r="G55" s="1"/>
      <c r="H55" s="1">
        <f>SUM(OSRRefH22_0x_0)</f>
        <v>1638.3700000000003</v>
      </c>
      <c r="I55" s="1"/>
      <c r="J55" s="5">
        <f t="shared" si="16"/>
        <v>6.6864275767949302E-2</v>
      </c>
      <c r="K55" s="1"/>
      <c r="L55" s="1">
        <f t="shared" si="17"/>
        <v>1578.62</v>
      </c>
      <c r="M55" s="1"/>
      <c r="N55" s="5">
        <f t="shared" si="18"/>
        <v>0.96353082637011145</v>
      </c>
      <c r="O55" s="13"/>
      <c r="P55" s="1">
        <f>SUM(OSRRefP22_0x_0)</f>
        <v>13057.670000000004</v>
      </c>
      <c r="Q55" s="1"/>
      <c r="R55" s="5">
        <f t="shared" si="19"/>
        <v>3.2308927871724624E-2</v>
      </c>
      <c r="S55" s="1"/>
      <c r="T55" s="1">
        <f>SUM(OSRRefT22_0x_0)</f>
        <v>17367.010000000002</v>
      </c>
      <c r="U55" s="1"/>
      <c r="V55" s="5">
        <f t="shared" si="20"/>
        <v>4.1088618993785783E-2</v>
      </c>
      <c r="W55" s="1"/>
      <c r="X55" s="1">
        <f t="shared" si="21"/>
        <v>-4309.3399999999983</v>
      </c>
      <c r="Y55" s="1"/>
      <c r="Z55" s="5">
        <f t="shared" si="22"/>
        <v>-0.24813367413273774</v>
      </c>
    </row>
    <row r="56" spans="1:26" s="24" customFormat="1" hidden="1" outlineLevel="2" x14ac:dyDescent="0.25">
      <c r="A56" s="27"/>
      <c r="B56" s="11" t="str">
        <f>CONCATENATE("          ", "6111", " - ", "F.I.C.A.")</f>
        <v xml:space="preserve">          6111 - F.I.C.A.</v>
      </c>
      <c r="C56" s="11"/>
      <c r="D56" s="6">
        <v>477.36</v>
      </c>
      <c r="E56" s="2"/>
      <c r="F56" s="7">
        <f t="shared" si="15"/>
        <v>0.15107476517203841</v>
      </c>
      <c r="G56" s="2"/>
      <c r="H56" s="6">
        <v>195.02</v>
      </c>
      <c r="I56" s="2"/>
      <c r="J56" s="7">
        <f t="shared" si="16"/>
        <v>7.9590514110155029E-3</v>
      </c>
      <c r="K56" s="2"/>
      <c r="L56" s="6">
        <f t="shared" si="17"/>
        <v>282.34000000000003</v>
      </c>
      <c r="M56" s="2"/>
      <c r="N56" s="7">
        <f t="shared" si="18"/>
        <v>1.4477489488257616</v>
      </c>
      <c r="O56" s="11"/>
      <c r="P56" s="6">
        <v>3257.66</v>
      </c>
      <c r="Q56" s="2"/>
      <c r="R56" s="7">
        <f t="shared" si="19"/>
        <v>8.060511712319458E-3</v>
      </c>
      <c r="S56" s="2"/>
      <c r="T56" s="6">
        <v>2359.04</v>
      </c>
      <c r="U56" s="2"/>
      <c r="V56" s="7">
        <f t="shared" si="20"/>
        <v>5.5812540990706171E-3</v>
      </c>
      <c r="W56" s="2"/>
      <c r="X56" s="6">
        <f t="shared" si="21"/>
        <v>898.61999999999989</v>
      </c>
      <c r="Y56" s="2"/>
      <c r="Z56" s="7">
        <f t="shared" si="22"/>
        <v>0.38092613944655451</v>
      </c>
    </row>
    <row r="57" spans="1:26" s="24" customFormat="1" hidden="1" outlineLevel="2" x14ac:dyDescent="0.25">
      <c r="A57" s="27"/>
      <c r="B57" s="11" t="str">
        <f>CONCATENATE("          ", "6112", " - ", "COMPENSATION INSURANCE")</f>
        <v xml:space="preserve">          6112 - COMPENSATION INSURANCE</v>
      </c>
      <c r="C57" s="11"/>
      <c r="D57" s="6">
        <v>79.040000000000006</v>
      </c>
      <c r="E57" s="2"/>
      <c r="F57" s="7">
        <f t="shared" si="15"/>
        <v>2.5014558067701347E-2</v>
      </c>
      <c r="G57" s="2"/>
      <c r="H57" s="6">
        <v>65.819999999999993</v>
      </c>
      <c r="I57" s="2"/>
      <c r="J57" s="7">
        <f t="shared" si="16"/>
        <v>2.6862104598145849E-3</v>
      </c>
      <c r="K57" s="2"/>
      <c r="L57" s="6">
        <f t="shared" si="17"/>
        <v>13.220000000000013</v>
      </c>
      <c r="M57" s="2"/>
      <c r="N57" s="7">
        <f t="shared" si="18"/>
        <v>0.20085080522637519</v>
      </c>
      <c r="O57" s="11"/>
      <c r="P57" s="6">
        <v>1310.81</v>
      </c>
      <c r="Q57" s="2"/>
      <c r="R57" s="7">
        <f t="shared" si="19"/>
        <v>3.2433708114491594E-3</v>
      </c>
      <c r="S57" s="2"/>
      <c r="T57" s="6">
        <v>729.48</v>
      </c>
      <c r="U57" s="2"/>
      <c r="V57" s="7">
        <f t="shared" si="20"/>
        <v>1.7258771534988952E-3</v>
      </c>
      <c r="W57" s="2"/>
      <c r="X57" s="6">
        <f t="shared" si="21"/>
        <v>581.32999999999993</v>
      </c>
      <c r="Y57" s="2"/>
      <c r="Z57" s="7">
        <f t="shared" si="22"/>
        <v>0.79691012776224146</v>
      </c>
    </row>
    <row r="58" spans="1:26" s="24" customFormat="1" hidden="1" outlineLevel="2" x14ac:dyDescent="0.25">
      <c r="A58" s="27"/>
      <c r="B58" s="11" t="str">
        <f>CONCATENATE("          ", "6113", " - ", "GROUP INSURANCE")</f>
        <v xml:space="preserve">          6113 - GROUP INSURANCE</v>
      </c>
      <c r="C58" s="11"/>
      <c r="D58" s="6">
        <v>1362.23</v>
      </c>
      <c r="E58" s="2"/>
      <c r="F58" s="7">
        <f t="shared" si="15"/>
        <v>0.43111818619135633</v>
      </c>
      <c r="G58" s="2"/>
      <c r="H58" s="6">
        <v>924.25</v>
      </c>
      <c r="I58" s="2"/>
      <c r="J58" s="7">
        <f t="shared" si="16"/>
        <v>3.7719994188447743E-2</v>
      </c>
      <c r="K58" s="2"/>
      <c r="L58" s="6">
        <f t="shared" si="17"/>
        <v>437.98</v>
      </c>
      <c r="M58" s="2"/>
      <c r="N58" s="7">
        <f t="shared" si="18"/>
        <v>0.47387611576954292</v>
      </c>
      <c r="O58" s="11"/>
      <c r="P58" s="6">
        <v>10030.280000000001</v>
      </c>
      <c r="Q58" s="2"/>
      <c r="R58" s="7">
        <f t="shared" si="19"/>
        <v>2.4818179127915011E-2</v>
      </c>
      <c r="S58" s="2"/>
      <c r="T58" s="6">
        <v>8993</v>
      </c>
      <c r="U58" s="2"/>
      <c r="V58" s="7">
        <f t="shared" si="20"/>
        <v>2.127654389622137E-2</v>
      </c>
      <c r="W58" s="2"/>
      <c r="X58" s="6">
        <f t="shared" si="21"/>
        <v>1037.2800000000007</v>
      </c>
      <c r="Y58" s="2"/>
      <c r="Z58" s="7">
        <f t="shared" si="22"/>
        <v>0.11534304459023692</v>
      </c>
    </row>
    <row r="59" spans="1:26" s="24" customFormat="1" hidden="1" outlineLevel="2" x14ac:dyDescent="0.25">
      <c r="A59" s="27"/>
      <c r="B59" s="11" t="str">
        <f>CONCATENATE("          ", "6114", " - ", "STATE UNEMPLOYMENT INSURANCE")</f>
        <v xml:space="preserve">          6114 - STATE UNEMPLOYMENT INSURANCE</v>
      </c>
      <c r="C59" s="11"/>
      <c r="D59" s="6">
        <v>10.82</v>
      </c>
      <c r="E59" s="2"/>
      <c r="F59" s="7">
        <f t="shared" si="15"/>
        <v>3.424310707142315E-3</v>
      </c>
      <c r="G59" s="2"/>
      <c r="H59" s="6">
        <v>14.38</v>
      </c>
      <c r="I59" s="2"/>
      <c r="J59" s="7">
        <f t="shared" si="16"/>
        <v>5.8686883032716102E-4</v>
      </c>
      <c r="K59" s="2"/>
      <c r="L59" s="6">
        <f t="shared" si="17"/>
        <v>-3.5600000000000005</v>
      </c>
      <c r="M59" s="2"/>
      <c r="N59" s="7">
        <f t="shared" si="18"/>
        <v>-0.24756606397774689</v>
      </c>
      <c r="O59" s="11"/>
      <c r="P59" s="6">
        <v>198.95</v>
      </c>
      <c r="Q59" s="2"/>
      <c r="R59" s="7">
        <f t="shared" si="19"/>
        <v>4.9226708900436389E-4</v>
      </c>
      <c r="S59" s="2"/>
      <c r="T59" s="6">
        <v>168.68</v>
      </c>
      <c r="U59" s="2"/>
      <c r="V59" s="7">
        <f t="shared" si="20"/>
        <v>3.9908010946454139E-4</v>
      </c>
      <c r="W59" s="2"/>
      <c r="X59" s="6">
        <f t="shared" si="21"/>
        <v>30.269999999999982</v>
      </c>
      <c r="Y59" s="2"/>
      <c r="Z59" s="7">
        <f t="shared" si="22"/>
        <v>0.17945221721603025</v>
      </c>
    </row>
    <row r="60" spans="1:26" s="24" customFormat="1" hidden="1" outlineLevel="2" x14ac:dyDescent="0.25">
      <c r="A60" s="27"/>
      <c r="B60" s="11" t="str">
        <f>CONCATENATE("          ", "6115", " - ", "P.E.R.S.")</f>
        <v xml:space="preserve">          6115 - P.E.R.S.</v>
      </c>
      <c r="C60" s="11"/>
      <c r="D60" s="6">
        <v>425.19</v>
      </c>
      <c r="E60" s="2"/>
      <c r="F60" s="7">
        <f t="shared" si="15"/>
        <v>0.13456401752031802</v>
      </c>
      <c r="G60" s="2"/>
      <c r="H60" s="6">
        <v>174.42</v>
      </c>
      <c r="I60" s="2"/>
      <c r="J60" s="7">
        <f t="shared" si="16"/>
        <v>7.1183352841212386E-3</v>
      </c>
      <c r="K60" s="2"/>
      <c r="L60" s="6">
        <f t="shared" si="17"/>
        <v>250.77</v>
      </c>
      <c r="M60" s="2"/>
      <c r="N60" s="7">
        <f t="shared" si="18"/>
        <v>1.4377364981080154</v>
      </c>
      <c r="O60" s="11"/>
      <c r="P60" s="6">
        <v>2413.54</v>
      </c>
      <c r="Q60" s="2"/>
      <c r="R60" s="7">
        <f t="shared" si="19"/>
        <v>5.9718839406664613E-3</v>
      </c>
      <c r="S60" s="2"/>
      <c r="T60" s="6">
        <v>1916.07</v>
      </c>
      <c r="U60" s="2"/>
      <c r="V60" s="7">
        <f t="shared" si="20"/>
        <v>4.5332311201193012E-3</v>
      </c>
      <c r="W60" s="2"/>
      <c r="X60" s="6">
        <f t="shared" si="21"/>
        <v>497.47</v>
      </c>
      <c r="Y60" s="2"/>
      <c r="Z60" s="7">
        <f t="shared" si="22"/>
        <v>0.25963038928640397</v>
      </c>
    </row>
    <row r="61" spans="1:26" s="24" customFormat="1" hidden="1" outlineLevel="2" x14ac:dyDescent="0.25">
      <c r="A61" s="27"/>
      <c r="B61" s="11" t="str">
        <f>CONCATENATE("          ", "6117", " - ", "RETIREMENT STAFF HOURLY")</f>
        <v xml:space="preserve">          6117 - RETIREMENT STAFF HOURLY</v>
      </c>
      <c r="C61" s="11"/>
      <c r="D61" s="6">
        <v>46.65</v>
      </c>
      <c r="E61" s="2"/>
      <c r="F61" s="7">
        <f t="shared" si="15"/>
        <v>1.4763779527559055E-2</v>
      </c>
      <c r="G61" s="2"/>
      <c r="H61" s="6"/>
      <c r="I61" s="2"/>
      <c r="J61" s="7">
        <f t="shared" si="16"/>
        <v>0</v>
      </c>
      <c r="K61" s="2"/>
      <c r="L61" s="6">
        <f t="shared" si="17"/>
        <v>46.65</v>
      </c>
      <c r="M61" s="2"/>
      <c r="N61" s="7">
        <f t="shared" si="18"/>
        <v>0</v>
      </c>
      <c r="O61" s="11"/>
      <c r="P61" s="6">
        <v>46.65</v>
      </c>
      <c r="Q61" s="2"/>
      <c r="R61" s="7">
        <f t="shared" si="19"/>
        <v>1.1542729179217681E-4</v>
      </c>
      <c r="S61" s="2"/>
      <c r="T61" s="6"/>
      <c r="U61" s="2"/>
      <c r="V61" s="7">
        <f t="shared" si="20"/>
        <v>0</v>
      </c>
      <c r="W61" s="2"/>
      <c r="X61" s="6">
        <f t="shared" si="21"/>
        <v>46.65</v>
      </c>
      <c r="Y61" s="2"/>
      <c r="Z61" s="7">
        <f t="shared" si="22"/>
        <v>0</v>
      </c>
    </row>
    <row r="62" spans="1:26" s="24" customFormat="1" hidden="1" outlineLevel="2" x14ac:dyDescent="0.25">
      <c r="A62" s="27"/>
      <c r="B62" s="11" t="str">
        <f>CONCATENATE("          ", "6118", " - ", "VACATION")</f>
        <v xml:space="preserve">          6118 - VACATION</v>
      </c>
      <c r="C62" s="11"/>
      <c r="D62" s="6">
        <v>503.88</v>
      </c>
      <c r="E62" s="2"/>
      <c r="F62" s="7">
        <f t="shared" si="15"/>
        <v>0.15946780768159607</v>
      </c>
      <c r="G62" s="2"/>
      <c r="H62" s="6">
        <v>146.9</v>
      </c>
      <c r="I62" s="2"/>
      <c r="J62" s="7">
        <f t="shared" si="16"/>
        <v>5.9952038369304557E-3</v>
      </c>
      <c r="K62" s="2"/>
      <c r="L62" s="6">
        <f t="shared" si="17"/>
        <v>356.98</v>
      </c>
      <c r="M62" s="2"/>
      <c r="N62" s="7">
        <f t="shared" si="18"/>
        <v>2.4300884955752213</v>
      </c>
      <c r="O62" s="11"/>
      <c r="P62" s="6">
        <v>2077.64</v>
      </c>
      <c r="Q62" s="2"/>
      <c r="R62" s="7">
        <f t="shared" si="19"/>
        <v>5.1407579532496937E-3</v>
      </c>
      <c r="S62" s="2"/>
      <c r="T62" s="6">
        <v>1798.07</v>
      </c>
      <c r="U62" s="2"/>
      <c r="V62" s="7">
        <f t="shared" si="20"/>
        <v>4.2540548519380359E-3</v>
      </c>
      <c r="W62" s="2"/>
      <c r="X62" s="6">
        <f t="shared" si="21"/>
        <v>279.56999999999994</v>
      </c>
      <c r="Y62" s="2"/>
      <c r="Z62" s="7">
        <f t="shared" si="22"/>
        <v>0.15548337940124687</v>
      </c>
    </row>
    <row r="63" spans="1:26" s="24" customFormat="1" hidden="1" outlineLevel="2" x14ac:dyDescent="0.25">
      <c r="A63" s="27"/>
      <c r="B63" s="11" t="str">
        <f>CONCATENATE("          ", "6119", " - ", "SICK LEAVE")</f>
        <v xml:space="preserve">          6119 - SICK LEAVE</v>
      </c>
      <c r="C63" s="11"/>
      <c r="D63" s="6">
        <v>287.82</v>
      </c>
      <c r="E63" s="2"/>
      <c r="F63" s="7">
        <f t="shared" si="15"/>
        <v>9.1089196647846676E-2</v>
      </c>
      <c r="G63" s="2"/>
      <c r="H63" s="6">
        <v>117.58</v>
      </c>
      <c r="I63" s="2"/>
      <c r="J63" s="7">
        <f t="shared" si="16"/>
        <v>4.7986117572925997E-3</v>
      </c>
      <c r="K63" s="2"/>
      <c r="L63" s="6">
        <f t="shared" si="17"/>
        <v>170.24</v>
      </c>
      <c r="M63" s="2"/>
      <c r="N63" s="7">
        <f t="shared" si="18"/>
        <v>1.4478652832114307</v>
      </c>
      <c r="O63" s="11"/>
      <c r="P63" s="6">
        <v>-6666.71</v>
      </c>
      <c r="Q63" s="2"/>
      <c r="R63" s="7">
        <f t="shared" si="19"/>
        <v>-1.6495611585505318E-2</v>
      </c>
      <c r="S63" s="2"/>
      <c r="T63" s="6">
        <v>1402.67</v>
      </c>
      <c r="U63" s="2"/>
      <c r="V63" s="7">
        <f t="shared" si="20"/>
        <v>3.3185777634730158E-3</v>
      </c>
      <c r="W63" s="2"/>
      <c r="X63" s="6">
        <f t="shared" si="21"/>
        <v>-8069.38</v>
      </c>
      <c r="Y63" s="2"/>
      <c r="Z63" s="7">
        <f t="shared" si="22"/>
        <v>-5.7528713097164692</v>
      </c>
    </row>
    <row r="64" spans="1:26" s="24" customFormat="1" hidden="1" outlineLevel="2" x14ac:dyDescent="0.25">
      <c r="A64" s="27"/>
      <c r="B64" s="11" t="str">
        <f>CONCATENATE("          ", "6156", " - ", "EMPLOYEE MEALS")</f>
        <v xml:space="preserve">          6156 - EMPLOYEE MEALS</v>
      </c>
      <c r="C64" s="11"/>
      <c r="D64" s="6">
        <v>24</v>
      </c>
      <c r="E64" s="2"/>
      <c r="F64" s="7">
        <f t="shared" si="15"/>
        <v>7.5955135833101258E-3</v>
      </c>
      <c r="G64" s="2"/>
      <c r="H64" s="6"/>
      <c r="I64" s="2"/>
      <c r="J64" s="7">
        <f t="shared" si="16"/>
        <v>0</v>
      </c>
      <c r="K64" s="2"/>
      <c r="L64" s="6">
        <f t="shared" si="17"/>
        <v>24</v>
      </c>
      <c r="M64" s="2"/>
      <c r="N64" s="7">
        <f t="shared" si="18"/>
        <v>0</v>
      </c>
      <c r="O64" s="11"/>
      <c r="P64" s="6">
        <v>388.85</v>
      </c>
      <c r="Q64" s="2"/>
      <c r="R64" s="7">
        <f t="shared" si="19"/>
        <v>9.6214153083361102E-4</v>
      </c>
      <c r="S64" s="2"/>
      <c r="T64" s="6"/>
      <c r="U64" s="2"/>
      <c r="V64" s="7">
        <f t="shared" si="20"/>
        <v>0</v>
      </c>
      <c r="W64" s="2"/>
      <c r="X64" s="6">
        <f t="shared" si="21"/>
        <v>388.85</v>
      </c>
      <c r="Y64" s="2"/>
      <c r="Z64" s="7">
        <f t="shared" si="22"/>
        <v>0</v>
      </c>
    </row>
    <row r="65" spans="1:26" s="25" customFormat="1" outlineLevel="1" collapsed="1" x14ac:dyDescent="0.25">
      <c r="A65" s="26"/>
      <c r="B65" s="13" t="str">
        <f>CONCATENATE("     ","*Payroll                                          ")</f>
        <v xml:space="preserve">     *Payroll                                          </v>
      </c>
      <c r="C65" s="13"/>
      <c r="D65" s="1">
        <f>SUM(OSRRefD22_1x_0)</f>
        <v>3328</v>
      </c>
      <c r="E65" s="1"/>
      <c r="F65" s="5">
        <f t="shared" ref="F65:F69" si="23">IF(D$12=0,0,D65/D$12)</f>
        <v>1.053244550219004</v>
      </c>
      <c r="G65" s="1"/>
      <c r="H65" s="1">
        <f>SUM(OSRRefH22_1x_0)</f>
        <v>5620.23</v>
      </c>
      <c r="I65" s="1"/>
      <c r="J65" s="5">
        <f t="shared" ref="J65:J69" si="24">IF(H$12=0,0,H65/H$12)</f>
        <v>0.22936980572111401</v>
      </c>
      <c r="K65" s="1"/>
      <c r="L65" s="1">
        <f t="shared" ref="L65:L69" si="25">+D65-H65</f>
        <v>-2292.2299999999996</v>
      </c>
      <c r="M65" s="1"/>
      <c r="N65" s="5">
        <f t="shared" ref="N65:N69" si="26">IF(H65=0,0,L65/H65)</f>
        <v>-0.40785341525168894</v>
      </c>
      <c r="O65" s="13"/>
      <c r="P65" s="1">
        <f>SUM(OSRRefP22_1x_0)</f>
        <v>75026.86</v>
      </c>
      <c r="Q65" s="1"/>
      <c r="R65" s="5">
        <f t="shared" ref="R65:R69" si="27">IF(P$12=0,0,P65/P$12)</f>
        <v>0.18564088449026364</v>
      </c>
      <c r="S65" s="1"/>
      <c r="T65" s="1">
        <f>SUM(OSRRefT22_1x_0)</f>
        <v>57255.049999999996</v>
      </c>
      <c r="U65" s="1"/>
      <c r="V65" s="5">
        <f t="shared" ref="V65:V69" si="28">IF(T$12=0,0,T65/T$12)</f>
        <v>0.13545975587738787</v>
      </c>
      <c r="W65" s="1"/>
      <c r="X65" s="1">
        <f t="shared" ref="X65:X69" si="29">+P65-T65</f>
        <v>17771.810000000005</v>
      </c>
      <c r="Y65" s="1"/>
      <c r="Z65" s="5">
        <f t="shared" ref="Z65:Z69" si="30">IF(T65=0,0,X65/T65)</f>
        <v>0.31039724880163422</v>
      </c>
    </row>
    <row r="66" spans="1:26" s="24" customFormat="1" hidden="1" outlineLevel="2" x14ac:dyDescent="0.25">
      <c r="A66" s="27"/>
      <c r="B66" s="11" t="str">
        <f>CONCATENATE("          ", "6002", " - ", "STAFF SALARIES")</f>
        <v xml:space="preserve">          6002 - STAFF SALARIES</v>
      </c>
      <c r="C66" s="11"/>
      <c r="D66" s="6">
        <v>3328</v>
      </c>
      <c r="E66" s="2"/>
      <c r="F66" s="7">
        <f t="shared" si="23"/>
        <v>1.053244550219004</v>
      </c>
      <c r="G66" s="2"/>
      <c r="H66" s="6">
        <v>2549.2199999999998</v>
      </c>
      <c r="I66" s="2"/>
      <c r="J66" s="7">
        <f t="shared" si="24"/>
        <v>0.10403739635929105</v>
      </c>
      <c r="K66" s="2"/>
      <c r="L66" s="6">
        <f t="shared" si="25"/>
        <v>778.7800000000002</v>
      </c>
      <c r="M66" s="2"/>
      <c r="N66" s="7">
        <f t="shared" si="26"/>
        <v>0.3054973678223144</v>
      </c>
      <c r="O66" s="11"/>
      <c r="P66" s="6">
        <v>30825.01</v>
      </c>
      <c r="Q66" s="2"/>
      <c r="R66" s="7">
        <f t="shared" si="27"/>
        <v>7.6271113049662762E-2</v>
      </c>
      <c r="S66" s="2"/>
      <c r="T66" s="6">
        <v>26130.2</v>
      </c>
      <c r="U66" s="2"/>
      <c r="V66" s="7">
        <f t="shared" si="28"/>
        <v>6.1821455278221242E-2</v>
      </c>
      <c r="W66" s="2"/>
      <c r="X66" s="6">
        <f t="shared" si="29"/>
        <v>4694.8099999999977</v>
      </c>
      <c r="Y66" s="2"/>
      <c r="Z66" s="7">
        <f t="shared" si="30"/>
        <v>0.17966988388913968</v>
      </c>
    </row>
    <row r="67" spans="1:26" s="24" customFormat="1" hidden="1" outlineLevel="2" x14ac:dyDescent="0.25">
      <c r="A67" s="27"/>
      <c r="B67" s="11" t="str">
        <f>CONCATENATE("          ", "6004", " - ", "STAFF HOURLY")</f>
        <v xml:space="preserve">          6004 - STAFF HOURLY</v>
      </c>
      <c r="C67" s="11"/>
      <c r="D67" s="6"/>
      <c r="E67" s="2"/>
      <c r="F67" s="7">
        <f t="shared" si="23"/>
        <v>0</v>
      </c>
      <c r="G67" s="2"/>
      <c r="H67" s="6"/>
      <c r="I67" s="2"/>
      <c r="J67" s="7">
        <f t="shared" si="24"/>
        <v>0</v>
      </c>
      <c r="K67" s="2"/>
      <c r="L67" s="6">
        <f t="shared" si="25"/>
        <v>0</v>
      </c>
      <c r="M67" s="2"/>
      <c r="N67" s="7">
        <f t="shared" si="26"/>
        <v>0</v>
      </c>
      <c r="O67" s="11"/>
      <c r="P67" s="6">
        <v>-48</v>
      </c>
      <c r="Q67" s="2"/>
      <c r="R67" s="7">
        <f t="shared" si="27"/>
        <v>-1.1876763142603401E-4</v>
      </c>
      <c r="S67" s="2"/>
      <c r="T67" s="6"/>
      <c r="U67" s="2"/>
      <c r="V67" s="7">
        <f t="shared" si="28"/>
        <v>0</v>
      </c>
      <c r="W67" s="2"/>
      <c r="X67" s="6">
        <f t="shared" si="29"/>
        <v>-48</v>
      </c>
      <c r="Y67" s="2"/>
      <c r="Z67" s="7">
        <f t="shared" si="30"/>
        <v>0</v>
      </c>
    </row>
    <row r="68" spans="1:26" s="24" customFormat="1" hidden="1" outlineLevel="2" x14ac:dyDescent="0.25">
      <c r="A68" s="27"/>
      <c r="B68" s="11" t="str">
        <f>CONCATENATE("          ", "6006", " - ", "TEMPORARY PART TIME")</f>
        <v xml:space="preserve">          6006 - TEMPORARY PART TIME</v>
      </c>
      <c r="C68" s="11"/>
      <c r="D68" s="6"/>
      <c r="E68" s="2"/>
      <c r="F68" s="7">
        <f t="shared" si="23"/>
        <v>0</v>
      </c>
      <c r="G68" s="2"/>
      <c r="H68" s="6"/>
      <c r="I68" s="2"/>
      <c r="J68" s="7">
        <f t="shared" si="24"/>
        <v>0</v>
      </c>
      <c r="K68" s="2"/>
      <c r="L68" s="6">
        <f t="shared" si="25"/>
        <v>0</v>
      </c>
      <c r="M68" s="2"/>
      <c r="N68" s="7">
        <f t="shared" si="26"/>
        <v>0</v>
      </c>
      <c r="O68" s="11"/>
      <c r="P68" s="6"/>
      <c r="Q68" s="2"/>
      <c r="R68" s="7">
        <f t="shared" si="27"/>
        <v>0</v>
      </c>
      <c r="S68" s="2"/>
      <c r="T68" s="6">
        <v>58.75</v>
      </c>
      <c r="U68" s="2"/>
      <c r="V68" s="7">
        <f t="shared" si="28"/>
        <v>1.3899665894618097E-4</v>
      </c>
      <c r="W68" s="2"/>
      <c r="X68" s="6">
        <f t="shared" si="29"/>
        <v>-58.75</v>
      </c>
      <c r="Y68" s="2"/>
      <c r="Z68" s="7">
        <f t="shared" si="30"/>
        <v>-1</v>
      </c>
    </row>
    <row r="69" spans="1:26" s="24" customFormat="1" hidden="1" outlineLevel="2" x14ac:dyDescent="0.25">
      <c r="A69" s="27"/>
      <c r="B69" s="11" t="str">
        <f>CONCATENATE("          ", "6007", " - ", "STUDENT HOURLY")</f>
        <v xml:space="preserve">          6007 - STUDENT HOURLY</v>
      </c>
      <c r="C69" s="11"/>
      <c r="D69" s="6"/>
      <c r="E69" s="2"/>
      <c r="F69" s="7">
        <f t="shared" si="23"/>
        <v>0</v>
      </c>
      <c r="G69" s="2"/>
      <c r="H69" s="6">
        <v>3071.01</v>
      </c>
      <c r="I69" s="2"/>
      <c r="J69" s="7">
        <f t="shared" si="24"/>
        <v>0.12533240936182299</v>
      </c>
      <c r="K69" s="2"/>
      <c r="L69" s="6">
        <f t="shared" si="25"/>
        <v>-3071.01</v>
      </c>
      <c r="M69" s="2"/>
      <c r="N69" s="7">
        <f t="shared" si="26"/>
        <v>-1</v>
      </c>
      <c r="O69" s="11"/>
      <c r="P69" s="6">
        <v>44249.85</v>
      </c>
      <c r="Q69" s="2"/>
      <c r="R69" s="7">
        <f t="shared" si="27"/>
        <v>0.10948853907202691</v>
      </c>
      <c r="S69" s="2"/>
      <c r="T69" s="6">
        <v>31066.099999999995</v>
      </c>
      <c r="U69" s="2"/>
      <c r="V69" s="7">
        <f t="shared" si="28"/>
        <v>7.3499303940220459E-2</v>
      </c>
      <c r="W69" s="2"/>
      <c r="X69" s="6">
        <f t="shared" si="29"/>
        <v>13183.750000000004</v>
      </c>
      <c r="Y69" s="2"/>
      <c r="Z69" s="7">
        <f t="shared" si="30"/>
        <v>0.42437737598218012</v>
      </c>
    </row>
    <row r="70" spans="1:26" s="25" customFormat="1" outlineLevel="1" collapsed="1" x14ac:dyDescent="0.25">
      <c r="A70" s="26"/>
      <c r="B70" s="13" t="str">
        <f>CONCATENATE("     ","Advertising/Promo                                 ")</f>
        <v xml:space="preserve">     Advertising/Promo                                 </v>
      </c>
      <c r="C70" s="13"/>
      <c r="D70" s="1">
        <f>SUM(OSRRefD22_2x_0)</f>
        <v>0</v>
      </c>
      <c r="E70" s="1"/>
      <c r="F70" s="5">
        <f t="shared" ref="F70:F74" si="31">IF(D$12=0,0,D70/D$12)</f>
        <v>0</v>
      </c>
      <c r="G70" s="1"/>
      <c r="H70" s="1">
        <f>SUM(OSRRefH22_2x_0)</f>
        <v>381</v>
      </c>
      <c r="I70" s="1"/>
      <c r="J70" s="5">
        <f t="shared" ref="J70:J74" si="32">IF(H$12=0,0,H70/H$12)</f>
        <v>1.5549167201296824E-2</v>
      </c>
      <c r="K70" s="1"/>
      <c r="L70" s="1">
        <f t="shared" ref="L70:L74" si="33">+D70-H70</f>
        <v>-381</v>
      </c>
      <c r="M70" s="1"/>
      <c r="N70" s="5">
        <f t="shared" ref="N70:N74" si="34">IF(H70=0,0,L70/H70)</f>
        <v>-1</v>
      </c>
      <c r="O70" s="13"/>
      <c r="P70" s="1">
        <f>SUM(OSRRefP22_2x_0)</f>
        <v>1181.76</v>
      </c>
      <c r="Q70" s="1"/>
      <c r="R70" s="5">
        <f t="shared" ref="R70:R74" si="35">IF(P$12=0,0,P70/P$12)</f>
        <v>2.9240590857089574E-3</v>
      </c>
      <c r="S70" s="1"/>
      <c r="T70" s="1">
        <f>SUM(OSRRefT22_2x_0)</f>
        <v>1795.86</v>
      </c>
      <c r="U70" s="1"/>
      <c r="V70" s="5">
        <f t="shared" ref="V70:V74" si="36">IF(T$12=0,0,T70/T$12)</f>
        <v>4.2488262116610817E-3</v>
      </c>
      <c r="W70" s="1"/>
      <c r="X70" s="1">
        <f t="shared" ref="X70:X74" si="37">+P70-T70</f>
        <v>-614.09999999999991</v>
      </c>
      <c r="Y70" s="1"/>
      <c r="Z70" s="5">
        <f t="shared" ref="Z70:Z74" si="38">IF(T70=0,0,X70/T70)</f>
        <v>-0.34195315893221073</v>
      </c>
    </row>
    <row r="71" spans="1:26" s="24" customFormat="1" hidden="1" outlineLevel="2" x14ac:dyDescent="0.25">
      <c r="A71" s="27"/>
      <c r="B71" s="11" t="str">
        <f>CONCATENATE("          ", "6362", " - ", "ADVERTISING EXPENSE")</f>
        <v xml:space="preserve">          6362 - ADVERTISING EXPENSE</v>
      </c>
      <c r="C71" s="11"/>
      <c r="D71" s="6"/>
      <c r="E71" s="2"/>
      <c r="F71" s="7">
        <f t="shared" si="31"/>
        <v>0</v>
      </c>
      <c r="G71" s="2"/>
      <c r="H71" s="6">
        <v>381</v>
      </c>
      <c r="I71" s="2"/>
      <c r="J71" s="7">
        <f t="shared" si="32"/>
        <v>1.5549167201296824E-2</v>
      </c>
      <c r="K71" s="2"/>
      <c r="L71" s="6">
        <f t="shared" si="33"/>
        <v>-381</v>
      </c>
      <c r="M71" s="2"/>
      <c r="N71" s="7">
        <f t="shared" si="34"/>
        <v>-1</v>
      </c>
      <c r="O71" s="11"/>
      <c r="P71" s="6">
        <v>1181.76</v>
      </c>
      <c r="Q71" s="2"/>
      <c r="R71" s="7">
        <f t="shared" si="35"/>
        <v>2.9240590857089574E-3</v>
      </c>
      <c r="S71" s="2"/>
      <c r="T71" s="6">
        <v>1795.86</v>
      </c>
      <c r="U71" s="2"/>
      <c r="V71" s="7">
        <f t="shared" si="36"/>
        <v>4.2488262116610817E-3</v>
      </c>
      <c r="W71" s="2"/>
      <c r="X71" s="6">
        <f t="shared" si="37"/>
        <v>-614.09999999999991</v>
      </c>
      <c r="Y71" s="2"/>
      <c r="Z71" s="7">
        <f t="shared" si="38"/>
        <v>-0.34195315893221073</v>
      </c>
    </row>
    <row r="72" spans="1:26" s="25" customFormat="1" outlineLevel="1" collapsed="1" x14ac:dyDescent="0.25">
      <c r="A72" s="26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SUM(OSRRefD22_3x_0)</f>
        <v>425.01</v>
      </c>
      <c r="E72" s="1"/>
      <c r="F72" s="5">
        <f t="shared" si="31"/>
        <v>0.13450705116844319</v>
      </c>
      <c r="G72" s="1"/>
      <c r="H72" s="1">
        <f>SUM(OSRRefH22_3x_0)</f>
        <v>1634.1299999999999</v>
      </c>
      <c r="I72" s="1"/>
      <c r="J72" s="5">
        <f t="shared" si="32"/>
        <v>6.6691235167073953E-2</v>
      </c>
      <c r="K72" s="1"/>
      <c r="L72" s="1">
        <f t="shared" si="33"/>
        <v>-1209.1199999999999</v>
      </c>
      <c r="M72" s="1"/>
      <c r="N72" s="5">
        <f t="shared" si="34"/>
        <v>-0.73991665289787223</v>
      </c>
      <c r="O72" s="13"/>
      <c r="P72" s="1">
        <f>SUM(OSRRefP22_3x_0)</f>
        <v>10206.219999999999</v>
      </c>
      <c r="Q72" s="1"/>
      <c r="R72" s="5">
        <f t="shared" si="35"/>
        <v>2.5253511983604517E-2</v>
      </c>
      <c r="S72" s="1"/>
      <c r="T72" s="1">
        <f>SUM(OSRRefT22_3x_0)</f>
        <v>21776.39</v>
      </c>
      <c r="U72" s="1"/>
      <c r="V72" s="5">
        <f t="shared" si="36"/>
        <v>5.1520773683557883E-2</v>
      </c>
      <c r="W72" s="1"/>
      <c r="X72" s="1">
        <f t="shared" si="37"/>
        <v>-11570.17</v>
      </c>
      <c r="Y72" s="1"/>
      <c r="Z72" s="5">
        <f t="shared" si="38"/>
        <v>-0.53131717424237901</v>
      </c>
    </row>
    <row r="73" spans="1:26" s="24" customFormat="1" hidden="1" outlineLevel="2" x14ac:dyDescent="0.25">
      <c r="A73" s="27"/>
      <c r="B73" s="11" t="str">
        <f>CONCATENATE("          ", "6382", " - ", "DISCOUNTS/MARK DOWNS")</f>
        <v xml:space="preserve">          6382 - DISCOUNTS/MARK DOWNS</v>
      </c>
      <c r="C73" s="11"/>
      <c r="D73" s="6">
        <v>425.01</v>
      </c>
      <c r="E73" s="2"/>
      <c r="F73" s="7">
        <f t="shared" si="31"/>
        <v>0.13450705116844319</v>
      </c>
      <c r="G73" s="2"/>
      <c r="H73" s="6">
        <v>1655.01</v>
      </c>
      <c r="I73" s="2"/>
      <c r="J73" s="7">
        <f t="shared" si="32"/>
        <v>6.7543378503459997E-2</v>
      </c>
      <c r="K73" s="2"/>
      <c r="L73" s="6">
        <f t="shared" si="33"/>
        <v>-1230</v>
      </c>
      <c r="M73" s="2"/>
      <c r="N73" s="7">
        <f t="shared" si="34"/>
        <v>-0.74319792629651782</v>
      </c>
      <c r="O73" s="11"/>
      <c r="P73" s="6">
        <v>10206.219999999999</v>
      </c>
      <c r="Q73" s="2"/>
      <c r="R73" s="7">
        <f t="shared" si="35"/>
        <v>2.5253511983604517E-2</v>
      </c>
      <c r="S73" s="2"/>
      <c r="T73" s="6">
        <v>21162.36</v>
      </c>
      <c r="U73" s="2"/>
      <c r="V73" s="7">
        <f t="shared" si="36"/>
        <v>5.0068039751766852E-2</v>
      </c>
      <c r="W73" s="2"/>
      <c r="X73" s="6">
        <f t="shared" si="37"/>
        <v>-10956.140000000001</v>
      </c>
      <c r="Y73" s="2"/>
      <c r="Z73" s="7">
        <f t="shared" si="38"/>
        <v>-0.51771825070549793</v>
      </c>
    </row>
    <row r="74" spans="1:26" s="24" customFormat="1" hidden="1" outlineLevel="2" x14ac:dyDescent="0.25">
      <c r="A74" s="27"/>
      <c r="B74" s="11" t="str">
        <f>CONCATENATE("          ", "9175", " - ", "EARNED DISCOUNTS")</f>
        <v xml:space="preserve">          9175 - EARNED DISCOUNTS</v>
      </c>
      <c r="C74" s="11"/>
      <c r="D74" s="6"/>
      <c r="E74" s="2"/>
      <c r="F74" s="7">
        <f t="shared" si="31"/>
        <v>0</v>
      </c>
      <c r="G74" s="2"/>
      <c r="H74" s="6">
        <v>-20.88</v>
      </c>
      <c r="I74" s="2"/>
      <c r="J74" s="7">
        <f t="shared" si="32"/>
        <v>-8.5214333638603066E-4</v>
      </c>
      <c r="K74" s="2"/>
      <c r="L74" s="6">
        <f t="shared" si="33"/>
        <v>20.88</v>
      </c>
      <c r="M74" s="2"/>
      <c r="N74" s="7">
        <f t="shared" si="34"/>
        <v>-1</v>
      </c>
      <c r="O74" s="11"/>
      <c r="P74" s="6">
        <v>0</v>
      </c>
      <c r="Q74" s="2"/>
      <c r="R74" s="7">
        <f t="shared" si="35"/>
        <v>0</v>
      </c>
      <c r="S74" s="2"/>
      <c r="T74" s="6">
        <v>614.03</v>
      </c>
      <c r="U74" s="2"/>
      <c r="V74" s="7">
        <f t="shared" si="36"/>
        <v>1.4527339317910383E-3</v>
      </c>
      <c r="W74" s="2"/>
      <c r="X74" s="6">
        <f t="shared" si="37"/>
        <v>-614.03</v>
      </c>
      <c r="Y74" s="2"/>
      <c r="Z74" s="7">
        <f t="shared" si="38"/>
        <v>-1</v>
      </c>
    </row>
    <row r="75" spans="1:26" s="25" customFormat="1" outlineLevel="1" collapsed="1" x14ac:dyDescent="0.25">
      <c r="A75" s="26"/>
      <c r="B75" s="13" t="str">
        <f>CONCATENATE("     ","Employees' Appreciation                           ")</f>
        <v xml:space="preserve">     Employees' Appreciation                           </v>
      </c>
      <c r="C75" s="13"/>
      <c r="D75" s="1">
        <f>SUM(OSRRefD22_4x_0)</f>
        <v>0</v>
      </c>
      <c r="E75" s="1"/>
      <c r="F75" s="5">
        <f t="shared" ref="F75:F84" si="39">IF(D$12=0,0,D75/D$12)</f>
        <v>0</v>
      </c>
      <c r="G75" s="1"/>
      <c r="H75" s="1">
        <f>SUM(OSRRefH22_4x_0)</f>
        <v>0</v>
      </c>
      <c r="I75" s="1"/>
      <c r="J75" s="5">
        <f t="shared" ref="J75:J84" si="40">IF(H$12=0,0,H75/H$12)</f>
        <v>0</v>
      </c>
      <c r="K75" s="1"/>
      <c r="L75" s="1">
        <f t="shared" ref="L75:L84" si="41">+D75-H75</f>
        <v>0</v>
      </c>
      <c r="M75" s="1"/>
      <c r="N75" s="5">
        <f t="shared" ref="N75:N84" si="42">IF(H75=0,0,L75/H75)</f>
        <v>0</v>
      </c>
      <c r="O75" s="13"/>
      <c r="P75" s="1">
        <f>SUM(OSRRefP22_4x_0)</f>
        <v>0</v>
      </c>
      <c r="Q75" s="1"/>
      <c r="R75" s="5">
        <f t="shared" ref="R75:R84" si="43">IF(P$12=0,0,P75/P$12)</f>
        <v>0</v>
      </c>
      <c r="S75" s="1"/>
      <c r="T75" s="1">
        <f>SUM(OSRRefT22_4x_0)</f>
        <v>77.849999999999994</v>
      </c>
      <c r="U75" s="1"/>
      <c r="V75" s="5">
        <f t="shared" ref="V75:V84" si="44">IF(T$12=0,0,T75/T$12)</f>
        <v>1.8418535998230106E-4</v>
      </c>
      <c r="W75" s="1"/>
      <c r="X75" s="1">
        <f t="shared" ref="X75:X84" si="45">+P75-T75</f>
        <v>-77.849999999999994</v>
      </c>
      <c r="Y75" s="1"/>
      <c r="Z75" s="5">
        <f t="shared" ref="Z75:Z84" si="46">IF(T75=0,0,X75/T75)</f>
        <v>-1</v>
      </c>
    </row>
    <row r="76" spans="1:26" s="24" customFormat="1" hidden="1" outlineLevel="2" x14ac:dyDescent="0.25">
      <c r="A76" s="27"/>
      <c r="B76" s="11" t="str">
        <f>CONCATENATE("          ", "6277", " - ", "EMPLOYEE APPRECIATION")</f>
        <v xml:space="preserve">          6277 - EMPLOYEE APPRECIATION</v>
      </c>
      <c r="C76" s="11"/>
      <c r="D76" s="6"/>
      <c r="E76" s="2"/>
      <c r="F76" s="7">
        <f t="shared" si="39"/>
        <v>0</v>
      </c>
      <c r="G76" s="2"/>
      <c r="H76" s="6"/>
      <c r="I76" s="2"/>
      <c r="J76" s="7">
        <f t="shared" si="40"/>
        <v>0</v>
      </c>
      <c r="K76" s="2"/>
      <c r="L76" s="6">
        <f t="shared" si="41"/>
        <v>0</v>
      </c>
      <c r="M76" s="2"/>
      <c r="N76" s="7">
        <f t="shared" si="42"/>
        <v>0</v>
      </c>
      <c r="O76" s="11"/>
      <c r="P76" s="6"/>
      <c r="Q76" s="2"/>
      <c r="R76" s="7">
        <f t="shared" si="43"/>
        <v>0</v>
      </c>
      <c r="S76" s="2"/>
      <c r="T76" s="6">
        <v>77.849999999999994</v>
      </c>
      <c r="U76" s="2"/>
      <c r="V76" s="7">
        <f t="shared" si="44"/>
        <v>1.8418535998230106E-4</v>
      </c>
      <c r="W76" s="2"/>
      <c r="X76" s="6">
        <f t="shared" si="45"/>
        <v>-77.849999999999994</v>
      </c>
      <c r="Y76" s="2"/>
      <c r="Z76" s="7">
        <f t="shared" si="46"/>
        <v>-1</v>
      </c>
    </row>
    <row r="77" spans="1:26" s="25" customFormat="1" outlineLevel="1" collapsed="1" x14ac:dyDescent="0.25">
      <c r="A77" s="26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SUM(OSRRefD22_5x_0)</f>
        <v>0</v>
      </c>
      <c r="E77" s="1"/>
      <c r="F77" s="5">
        <f t="shared" si="39"/>
        <v>0</v>
      </c>
      <c r="G77" s="1"/>
      <c r="H77" s="1">
        <f>SUM(OSRRefH22_5x_0)</f>
        <v>0</v>
      </c>
      <c r="I77" s="1"/>
      <c r="J77" s="5">
        <f t="shared" si="40"/>
        <v>0</v>
      </c>
      <c r="K77" s="1"/>
      <c r="L77" s="1">
        <f t="shared" si="41"/>
        <v>0</v>
      </c>
      <c r="M77" s="1"/>
      <c r="N77" s="5">
        <f t="shared" si="42"/>
        <v>0</v>
      </c>
      <c r="O77" s="13"/>
      <c r="P77" s="1">
        <f>SUM(OSRRefP22_5x_0)</f>
        <v>15.81</v>
      </c>
      <c r="Q77" s="1"/>
      <c r="R77" s="5">
        <f t="shared" si="43"/>
        <v>3.9119088600949957E-5</v>
      </c>
      <c r="S77" s="1"/>
      <c r="T77" s="1">
        <f>SUM(OSRRefT22_5x_0)</f>
        <v>28.02</v>
      </c>
      <c r="U77" s="1"/>
      <c r="V77" s="5">
        <f t="shared" si="44"/>
        <v>6.6292534190161542E-5</v>
      </c>
      <c r="W77" s="1"/>
      <c r="X77" s="1">
        <f t="shared" si="45"/>
        <v>-12.209999999999999</v>
      </c>
      <c r="Y77" s="1"/>
      <c r="Z77" s="5">
        <f t="shared" si="46"/>
        <v>-0.43576017130620981</v>
      </c>
    </row>
    <row r="78" spans="1:26" s="24" customFormat="1" hidden="1" outlineLevel="2" x14ac:dyDescent="0.25">
      <c r="A78" s="27"/>
      <c r="B78" s="11" t="str">
        <f>CONCATENATE("          ", "6305", " - ", "FREIGHT OUT")</f>
        <v xml:space="preserve">          6305 - FREIGHT OUT</v>
      </c>
      <c r="C78" s="11"/>
      <c r="D78" s="6"/>
      <c r="E78" s="2"/>
      <c r="F78" s="7">
        <f t="shared" si="39"/>
        <v>0</v>
      </c>
      <c r="G78" s="2"/>
      <c r="H78" s="6"/>
      <c r="I78" s="2"/>
      <c r="J78" s="7">
        <f t="shared" si="40"/>
        <v>0</v>
      </c>
      <c r="K78" s="2"/>
      <c r="L78" s="6">
        <f t="shared" si="41"/>
        <v>0</v>
      </c>
      <c r="M78" s="2"/>
      <c r="N78" s="7">
        <f t="shared" si="42"/>
        <v>0</v>
      </c>
      <c r="O78" s="11"/>
      <c r="P78" s="6">
        <v>15.81</v>
      </c>
      <c r="Q78" s="2"/>
      <c r="R78" s="7">
        <f t="shared" si="43"/>
        <v>3.9119088600949957E-5</v>
      </c>
      <c r="S78" s="2"/>
      <c r="T78" s="6">
        <v>28.02</v>
      </c>
      <c r="U78" s="2"/>
      <c r="V78" s="7">
        <f t="shared" si="44"/>
        <v>6.6292534190161542E-5</v>
      </c>
      <c r="W78" s="2"/>
      <c r="X78" s="6">
        <f t="shared" si="45"/>
        <v>-12.209999999999999</v>
      </c>
      <c r="Y78" s="2"/>
      <c r="Z78" s="7">
        <f t="shared" si="46"/>
        <v>-0.43576017130620981</v>
      </c>
    </row>
    <row r="79" spans="1:26" s="25" customFormat="1" outlineLevel="1" collapsed="1" x14ac:dyDescent="0.25">
      <c r="A79" s="26"/>
      <c r="B79" s="13" t="str">
        <f>CONCATENATE("     ","Subscriptions &amp; Dues                              ")</f>
        <v xml:space="preserve">     Subscriptions &amp; Dues                              </v>
      </c>
      <c r="C79" s="13"/>
      <c r="D79" s="1">
        <f>SUM(OSRRefD22_6x_0)</f>
        <v>0</v>
      </c>
      <c r="E79" s="1"/>
      <c r="F79" s="5">
        <f t="shared" si="39"/>
        <v>0</v>
      </c>
      <c r="G79" s="1"/>
      <c r="H79" s="1">
        <f>SUM(OSRRefH22_6x_0)</f>
        <v>0</v>
      </c>
      <c r="I79" s="1"/>
      <c r="J79" s="5">
        <f t="shared" si="40"/>
        <v>0</v>
      </c>
      <c r="K79" s="1"/>
      <c r="L79" s="1">
        <f t="shared" si="41"/>
        <v>0</v>
      </c>
      <c r="M79" s="1"/>
      <c r="N79" s="5">
        <f t="shared" si="42"/>
        <v>0</v>
      </c>
      <c r="O79" s="13"/>
      <c r="P79" s="1">
        <f>SUM(OSRRefP22_6x_0)</f>
        <v>120</v>
      </c>
      <c r="Q79" s="1"/>
      <c r="R79" s="5">
        <f t="shared" si="43"/>
        <v>2.9691907856508503E-4</v>
      </c>
      <c r="S79" s="1"/>
      <c r="T79" s="1">
        <f>SUM(OSRRefT22_6x_0)</f>
        <v>172.34</v>
      </c>
      <c r="U79" s="1"/>
      <c r="V79" s="5">
        <f t="shared" si="44"/>
        <v>4.0773930557931625E-4</v>
      </c>
      <c r="W79" s="1"/>
      <c r="X79" s="1">
        <f t="shared" si="45"/>
        <v>-52.34</v>
      </c>
      <c r="Y79" s="1"/>
      <c r="Z79" s="5">
        <f t="shared" si="46"/>
        <v>-0.30370198444934432</v>
      </c>
    </row>
    <row r="80" spans="1:26" s="24" customFormat="1" hidden="1" outlineLevel="2" x14ac:dyDescent="0.25">
      <c r="A80" s="27"/>
      <c r="B80" s="11" t="str">
        <f>CONCATENATE("          ", "6258", " - ", "MEMBERSHIP DUES")</f>
        <v xml:space="preserve">          6258 - MEMBERSHIP DUES</v>
      </c>
      <c r="C80" s="11"/>
      <c r="D80" s="6"/>
      <c r="E80" s="2"/>
      <c r="F80" s="7">
        <f t="shared" si="39"/>
        <v>0</v>
      </c>
      <c r="G80" s="2"/>
      <c r="H80" s="6"/>
      <c r="I80" s="2"/>
      <c r="J80" s="7">
        <f t="shared" si="40"/>
        <v>0</v>
      </c>
      <c r="K80" s="2"/>
      <c r="L80" s="6">
        <f t="shared" si="41"/>
        <v>0</v>
      </c>
      <c r="M80" s="2"/>
      <c r="N80" s="7">
        <f t="shared" si="42"/>
        <v>0</v>
      </c>
      <c r="O80" s="11"/>
      <c r="P80" s="6">
        <v>120</v>
      </c>
      <c r="Q80" s="2"/>
      <c r="R80" s="7">
        <f t="shared" si="43"/>
        <v>2.9691907856508503E-4</v>
      </c>
      <c r="S80" s="2"/>
      <c r="T80" s="6">
        <v>172.34</v>
      </c>
      <c r="U80" s="2"/>
      <c r="V80" s="7">
        <f t="shared" si="44"/>
        <v>4.0773930557931625E-4</v>
      </c>
      <c r="W80" s="2"/>
      <c r="X80" s="6">
        <f t="shared" si="45"/>
        <v>-52.34</v>
      </c>
      <c r="Y80" s="2"/>
      <c r="Z80" s="7">
        <f t="shared" si="46"/>
        <v>-0.30370198444934432</v>
      </c>
    </row>
    <row r="81" spans="1:26" s="25" customFormat="1" outlineLevel="1" collapsed="1" x14ac:dyDescent="0.25">
      <c r="A81" s="26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SUM(OSRRefD22_7x_0)</f>
        <v>103.23</v>
      </c>
      <c r="E81" s="1"/>
      <c r="F81" s="5">
        <f t="shared" si="39"/>
        <v>3.2670202800212676E-2</v>
      </c>
      <c r="G81" s="1"/>
      <c r="H81" s="1">
        <f>SUM(OSRRefH22_7x_0)</f>
        <v>0</v>
      </c>
      <c r="I81" s="1"/>
      <c r="J81" s="5">
        <f t="shared" si="40"/>
        <v>0</v>
      </c>
      <c r="K81" s="1"/>
      <c r="L81" s="1">
        <f t="shared" si="41"/>
        <v>103.23</v>
      </c>
      <c r="M81" s="1"/>
      <c r="N81" s="5">
        <f t="shared" si="42"/>
        <v>0</v>
      </c>
      <c r="O81" s="13"/>
      <c r="P81" s="1">
        <f>SUM(OSRRefP22_7x_0)</f>
        <v>355.52</v>
      </c>
      <c r="Q81" s="1"/>
      <c r="R81" s="5">
        <f t="shared" si="43"/>
        <v>8.7967225676215859E-4</v>
      </c>
      <c r="S81" s="1"/>
      <c r="T81" s="1">
        <f>SUM(OSRRefT22_7x_0)</f>
        <v>544.76</v>
      </c>
      <c r="U81" s="1"/>
      <c r="V81" s="5">
        <f t="shared" si="44"/>
        <v>1.2888479987663241E-3</v>
      </c>
      <c r="W81" s="1"/>
      <c r="X81" s="1">
        <f t="shared" si="45"/>
        <v>-189.24</v>
      </c>
      <c r="Y81" s="1"/>
      <c r="Z81" s="5">
        <f t="shared" si="46"/>
        <v>-0.34738233350466263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39"/>
        <v>0</v>
      </c>
      <c r="G82" s="2"/>
      <c r="H82" s="6"/>
      <c r="I82" s="2"/>
      <c r="J82" s="7">
        <f t="shared" si="40"/>
        <v>0</v>
      </c>
      <c r="K82" s="2"/>
      <c r="L82" s="6">
        <f t="shared" si="41"/>
        <v>0</v>
      </c>
      <c r="M82" s="2"/>
      <c r="N82" s="7">
        <f t="shared" si="42"/>
        <v>0</v>
      </c>
      <c r="O82" s="11"/>
      <c r="P82" s="6">
        <v>252.29</v>
      </c>
      <c r="Q82" s="2"/>
      <c r="R82" s="7">
        <f t="shared" si="43"/>
        <v>6.2424761942654421E-4</v>
      </c>
      <c r="S82" s="2"/>
      <c r="T82" s="6">
        <v>541.23</v>
      </c>
      <c r="U82" s="2"/>
      <c r="V82" s="7">
        <f t="shared" si="44"/>
        <v>1.2804963697266643E-3</v>
      </c>
      <c r="W82" s="2"/>
      <c r="X82" s="6">
        <f t="shared" si="45"/>
        <v>-288.94000000000005</v>
      </c>
      <c r="Y82" s="2"/>
      <c r="Z82" s="7">
        <f t="shared" si="46"/>
        <v>-0.5338580640393179</v>
      </c>
    </row>
    <row r="83" spans="1:26" s="24" customFormat="1" hidden="1" outlineLevel="2" x14ac:dyDescent="0.25">
      <c r="A83" s="27"/>
      <c r="B83" s="11" t="str">
        <f>CONCATENATE("          ", "6245", " - ", "PRINTING")</f>
        <v xml:space="preserve">          6245 - PRINTING</v>
      </c>
      <c r="C83" s="11"/>
      <c r="D83" s="6"/>
      <c r="E83" s="2"/>
      <c r="F83" s="7">
        <f t="shared" si="39"/>
        <v>0</v>
      </c>
      <c r="G83" s="2"/>
      <c r="H83" s="6"/>
      <c r="I83" s="2"/>
      <c r="J83" s="7">
        <f t="shared" si="40"/>
        <v>0</v>
      </c>
      <c r="K83" s="2"/>
      <c r="L83" s="6">
        <f t="shared" si="41"/>
        <v>0</v>
      </c>
      <c r="M83" s="2"/>
      <c r="N83" s="7">
        <f t="shared" si="42"/>
        <v>0</v>
      </c>
      <c r="O83" s="11"/>
      <c r="P83" s="6"/>
      <c r="Q83" s="2"/>
      <c r="R83" s="7">
        <f t="shared" si="43"/>
        <v>0</v>
      </c>
      <c r="S83" s="2"/>
      <c r="T83" s="6">
        <v>3.53</v>
      </c>
      <c r="U83" s="2"/>
      <c r="V83" s="7">
        <f t="shared" si="44"/>
        <v>8.3516290396598944E-6</v>
      </c>
      <c r="W83" s="2"/>
      <c r="X83" s="6">
        <f t="shared" si="45"/>
        <v>-3.53</v>
      </c>
      <c r="Y83" s="2"/>
      <c r="Z83" s="7">
        <f t="shared" si="46"/>
        <v>-1</v>
      </c>
    </row>
    <row r="84" spans="1:26" s="24" customFormat="1" hidden="1" outlineLevel="2" x14ac:dyDescent="0.25">
      <c r="A84" s="27"/>
      <c r="B84" s="11" t="str">
        <f>CONCATENATE("          ", "6247", " - ", "STORE SUPPLIES")</f>
        <v xml:space="preserve">          6247 - STORE SUPPLIES</v>
      </c>
      <c r="C84" s="11"/>
      <c r="D84" s="6">
        <v>103.23</v>
      </c>
      <c r="E84" s="2"/>
      <c r="F84" s="7">
        <f t="shared" si="39"/>
        <v>3.2670202800212676E-2</v>
      </c>
      <c r="G84" s="2"/>
      <c r="H84" s="6"/>
      <c r="I84" s="2"/>
      <c r="J84" s="7">
        <f t="shared" si="40"/>
        <v>0</v>
      </c>
      <c r="K84" s="2"/>
      <c r="L84" s="6">
        <f t="shared" si="41"/>
        <v>103.23</v>
      </c>
      <c r="M84" s="2"/>
      <c r="N84" s="7">
        <f t="shared" si="42"/>
        <v>0</v>
      </c>
      <c r="O84" s="11"/>
      <c r="P84" s="6">
        <v>103.23</v>
      </c>
      <c r="Q84" s="2"/>
      <c r="R84" s="7">
        <f t="shared" si="43"/>
        <v>2.5542463733561443E-4</v>
      </c>
      <c r="S84" s="2"/>
      <c r="T84" s="6"/>
      <c r="U84" s="2"/>
      <c r="V84" s="7">
        <f t="shared" si="44"/>
        <v>0</v>
      </c>
      <c r="W84" s="2"/>
      <c r="X84" s="6">
        <f t="shared" si="45"/>
        <v>103.23</v>
      </c>
      <c r="Y84" s="2"/>
      <c r="Z84" s="7">
        <f t="shared" si="46"/>
        <v>0</v>
      </c>
    </row>
    <row r="85" spans="1:26" s="25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SUM(OSRRefD22_8x_0)</f>
        <v>0</v>
      </c>
      <c r="E85" s="1"/>
      <c r="F85" s="5">
        <f t="shared" ref="F85:F90" si="47">IF(D$12=0,0,D85/D$12)</f>
        <v>0</v>
      </c>
      <c r="G85" s="1"/>
      <c r="H85" s="1">
        <f>SUM(OSRRefH22_8x_0)</f>
        <v>0</v>
      </c>
      <c r="I85" s="1"/>
      <c r="J85" s="5">
        <f t="shared" ref="J85:J90" si="48">IF(H$12=0,0,H85/H$12)</f>
        <v>0</v>
      </c>
      <c r="K85" s="1"/>
      <c r="L85" s="1">
        <f t="shared" ref="L85:L90" si="49">+D85-H85</f>
        <v>0</v>
      </c>
      <c r="M85" s="1"/>
      <c r="N85" s="5">
        <f t="shared" ref="N85:N90" si="50">IF(H85=0,0,L85/H85)</f>
        <v>0</v>
      </c>
      <c r="O85" s="13"/>
      <c r="P85" s="1">
        <f>SUM(OSRRefP22_8x_0)</f>
        <v>0</v>
      </c>
      <c r="Q85" s="1"/>
      <c r="R85" s="5">
        <f t="shared" ref="R85:R90" si="51">IF(P$12=0,0,P85/P$12)</f>
        <v>0</v>
      </c>
      <c r="S85" s="1"/>
      <c r="T85" s="1">
        <f>SUM(OSRRefT22_8x_0)</f>
        <v>351.43</v>
      </c>
      <c r="U85" s="1"/>
      <c r="V85" s="5">
        <f t="shared" ref="V85:V90" si="52">IF(T$12=0,0,T85/T$12)</f>
        <v>8.3144844005883197E-4</v>
      </c>
      <c r="W85" s="1"/>
      <c r="X85" s="1">
        <f t="shared" ref="X85:X90" si="53">+P85-T85</f>
        <v>-351.43</v>
      </c>
      <c r="Y85" s="1"/>
      <c r="Z85" s="5">
        <f t="shared" ref="Z85:Z90" si="54">IF(T85=0,0,X85/T85)</f>
        <v>-1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6"/>
      <c r="E86" s="2"/>
      <c r="F86" s="7">
        <f t="shared" si="47"/>
        <v>0</v>
      </c>
      <c r="G86" s="2"/>
      <c r="H86" s="6"/>
      <c r="I86" s="2"/>
      <c r="J86" s="7">
        <f t="shared" si="48"/>
        <v>0</v>
      </c>
      <c r="K86" s="2"/>
      <c r="L86" s="6">
        <f t="shared" si="49"/>
        <v>0</v>
      </c>
      <c r="M86" s="2"/>
      <c r="N86" s="7">
        <f t="shared" si="50"/>
        <v>0</v>
      </c>
      <c r="O86" s="11"/>
      <c r="P86" s="6"/>
      <c r="Q86" s="2"/>
      <c r="R86" s="7">
        <f t="shared" si="51"/>
        <v>0</v>
      </c>
      <c r="S86" s="2"/>
      <c r="T86" s="6">
        <v>351.43</v>
      </c>
      <c r="U86" s="2"/>
      <c r="V86" s="7">
        <f t="shared" si="52"/>
        <v>8.3144844005883197E-4</v>
      </c>
      <c r="W86" s="2"/>
      <c r="X86" s="6">
        <f t="shared" si="53"/>
        <v>-351.43</v>
      </c>
      <c r="Y86" s="2"/>
      <c r="Z86" s="7">
        <f t="shared" si="54"/>
        <v>-1</v>
      </c>
    </row>
    <row r="87" spans="1:26" s="25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SUM(OSRRefD22_9x_0)</f>
        <v>0</v>
      </c>
      <c r="E87" s="1"/>
      <c r="F87" s="5">
        <f t="shared" si="47"/>
        <v>0</v>
      </c>
      <c r="G87" s="1"/>
      <c r="H87" s="1">
        <f>SUM(OSRRefH22_9x_0)</f>
        <v>0</v>
      </c>
      <c r="I87" s="1"/>
      <c r="J87" s="5">
        <f t="shared" si="48"/>
        <v>0</v>
      </c>
      <c r="K87" s="1"/>
      <c r="L87" s="1">
        <f t="shared" si="49"/>
        <v>0</v>
      </c>
      <c r="M87" s="1"/>
      <c r="N87" s="5">
        <f t="shared" si="50"/>
        <v>0</v>
      </c>
      <c r="O87" s="13"/>
      <c r="P87" s="1">
        <f>SUM(OSRRefP22_9x_0)</f>
        <v>60</v>
      </c>
      <c r="Q87" s="1"/>
      <c r="R87" s="5">
        <f t="shared" si="51"/>
        <v>1.4845953928254251E-4</v>
      </c>
      <c r="S87" s="1"/>
      <c r="T87" s="1">
        <f>SUM(OSRRefT22_9x_0)</f>
        <v>0</v>
      </c>
      <c r="U87" s="1"/>
      <c r="V87" s="5">
        <f t="shared" si="52"/>
        <v>0</v>
      </c>
      <c r="W87" s="1"/>
      <c r="X87" s="1">
        <f t="shared" si="53"/>
        <v>60</v>
      </c>
      <c r="Y87" s="1"/>
      <c r="Z87" s="5">
        <f t="shared" si="54"/>
        <v>0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47"/>
        <v>0</v>
      </c>
      <c r="G88" s="2"/>
      <c r="H88" s="6"/>
      <c r="I88" s="2"/>
      <c r="J88" s="7">
        <f t="shared" si="48"/>
        <v>0</v>
      </c>
      <c r="K88" s="2"/>
      <c r="L88" s="6">
        <f t="shared" si="49"/>
        <v>0</v>
      </c>
      <c r="M88" s="2"/>
      <c r="N88" s="7">
        <f t="shared" si="50"/>
        <v>0</v>
      </c>
      <c r="O88" s="11"/>
      <c r="P88" s="6">
        <v>60</v>
      </c>
      <c r="Q88" s="2"/>
      <c r="R88" s="7">
        <f t="shared" si="51"/>
        <v>1.4845953928254251E-4</v>
      </c>
      <c r="S88" s="2"/>
      <c r="T88" s="6"/>
      <c r="U88" s="2"/>
      <c r="V88" s="7">
        <f t="shared" si="52"/>
        <v>0</v>
      </c>
      <c r="W88" s="2"/>
      <c r="X88" s="6">
        <f t="shared" si="53"/>
        <v>60</v>
      </c>
      <c r="Y88" s="2"/>
      <c r="Z88" s="7">
        <f t="shared" si="54"/>
        <v>0</v>
      </c>
    </row>
    <row r="89" spans="1:26" s="25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SUM(OSRRefD22_10x_0)</f>
        <v>0</v>
      </c>
      <c r="E89" s="1"/>
      <c r="F89" s="5">
        <f t="shared" si="47"/>
        <v>0</v>
      </c>
      <c r="G89" s="1"/>
      <c r="H89" s="1">
        <f>SUM(OSRRefH22_10x_0)</f>
        <v>0</v>
      </c>
      <c r="I89" s="1"/>
      <c r="J89" s="5">
        <f t="shared" si="48"/>
        <v>0</v>
      </c>
      <c r="K89" s="1"/>
      <c r="L89" s="1">
        <f t="shared" si="49"/>
        <v>0</v>
      </c>
      <c r="M89" s="1"/>
      <c r="N89" s="5">
        <f t="shared" si="50"/>
        <v>0</v>
      </c>
      <c r="O89" s="13"/>
      <c r="P89" s="1">
        <f>SUM(OSRRefP22_10x_0)</f>
        <v>-323.01</v>
      </c>
      <c r="Q89" s="1"/>
      <c r="R89" s="5">
        <f t="shared" si="51"/>
        <v>-7.9923192972756768E-4</v>
      </c>
      <c r="S89" s="1"/>
      <c r="T89" s="1">
        <f>SUM(OSRRefT22_10x_0)</f>
        <v>0</v>
      </c>
      <c r="U89" s="1"/>
      <c r="V89" s="5">
        <f t="shared" si="52"/>
        <v>0</v>
      </c>
      <c r="W89" s="1"/>
      <c r="X89" s="1">
        <f t="shared" si="53"/>
        <v>-323.01</v>
      </c>
      <c r="Y89" s="1"/>
      <c r="Z89" s="5">
        <f t="shared" si="54"/>
        <v>0</v>
      </c>
    </row>
    <row r="90" spans="1:26" s="24" customFormat="1" hidden="1" outlineLevel="2" x14ac:dyDescent="0.25">
      <c r="A90" s="27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47"/>
        <v>0</v>
      </c>
      <c r="G90" s="2"/>
      <c r="H90" s="6"/>
      <c r="I90" s="2"/>
      <c r="J90" s="7">
        <f t="shared" si="48"/>
        <v>0</v>
      </c>
      <c r="K90" s="2"/>
      <c r="L90" s="6">
        <f t="shared" si="49"/>
        <v>0</v>
      </c>
      <c r="M90" s="2"/>
      <c r="N90" s="7">
        <f t="shared" si="50"/>
        <v>0</v>
      </c>
      <c r="O90" s="11"/>
      <c r="P90" s="6">
        <v>-323.01</v>
      </c>
      <c r="Q90" s="2"/>
      <c r="R90" s="7">
        <f t="shared" si="51"/>
        <v>-7.9923192972756768E-4</v>
      </c>
      <c r="S90" s="2"/>
      <c r="T90" s="6"/>
      <c r="U90" s="2"/>
      <c r="V90" s="7">
        <f t="shared" si="52"/>
        <v>0</v>
      </c>
      <c r="W90" s="2"/>
      <c r="X90" s="6">
        <f t="shared" si="53"/>
        <v>-323.01</v>
      </c>
      <c r="Y90" s="2"/>
      <c r="Z90" s="7">
        <f t="shared" si="54"/>
        <v>0</v>
      </c>
    </row>
    <row r="91" spans="1:26" s="53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9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8" t="s">
        <v>3</v>
      </c>
      <c r="C94" s="28"/>
      <c r="D94" s="21">
        <f>+D52-D54+D92</f>
        <v>-5484.7599999999993</v>
      </c>
      <c r="E94" s="14"/>
      <c r="F94" s="20">
        <f>IF(D$12=0,0,D94/D$12)</f>
        <v>-1.7358153783831682</v>
      </c>
      <c r="G94" s="14"/>
      <c r="H94" s="21">
        <f>+H52-H54+H92</f>
        <v>2589.3099999999995</v>
      </c>
      <c r="I94" s="14"/>
      <c r="J94" s="20">
        <f>IF(H$12=0,0,H94/H$12)</f>
        <v>0.10567352788973719</v>
      </c>
      <c r="K94" s="15"/>
      <c r="L94" s="21">
        <f>+D94-H94</f>
        <v>-8074.0699999999988</v>
      </c>
      <c r="M94" s="15"/>
      <c r="N94" s="20">
        <f>IF(H94=0,0,L94/H94)</f>
        <v>-3.1182322703731882</v>
      </c>
      <c r="O94" s="29"/>
      <c r="P94" s="21">
        <f>+P52-P54+P92</f>
        <v>112229.18000000011</v>
      </c>
      <c r="Q94" s="14"/>
      <c r="R94" s="20">
        <f>IF(P$12=0,0,P94/P$12)</f>
        <v>0.27769153928095919</v>
      </c>
      <c r="S94" s="14"/>
      <c r="T94" s="21">
        <f>+T52-T54+T92</f>
        <v>110629.48000000024</v>
      </c>
      <c r="U94" s="14"/>
      <c r="V94" s="20">
        <f>IF(T$12=0,0,T94/T$12)</f>
        <v>0.26173835065452566</v>
      </c>
      <c r="W94" s="15"/>
      <c r="X94" s="21">
        <f>+P94-T94</f>
        <v>1599.6999999998661</v>
      </c>
      <c r="Y94" s="15"/>
      <c r="Z94" s="20">
        <f>IF(T94=0,0,X94/T94)</f>
        <v>1.445997938343254E-2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1"/>
      <c r="B96" s="10" t="s">
        <v>13</v>
      </c>
      <c r="C96" s="10"/>
      <c r="D96" s="4">
        <v>2921.27</v>
      </c>
      <c r="E96" s="4"/>
      <c r="F96" s="12">
        <f>IF(D$12=0,0,D96/D$12)</f>
        <v>0.92452274856318206</v>
      </c>
      <c r="G96" s="4"/>
      <c r="H96" s="4">
        <v>2939.93</v>
      </c>
      <c r="I96" s="4"/>
      <c r="J96" s="12">
        <f>IF(H$12=0,0,H96/H$12)</f>
        <v>0.11998284286117734</v>
      </c>
      <c r="K96" s="4"/>
      <c r="L96" s="4">
        <f>+D96-H96</f>
        <v>-18.659999999999854</v>
      </c>
      <c r="M96" s="4"/>
      <c r="N96" s="12">
        <f>IF(H96=0,0,L96/H96)</f>
        <v>-6.3470898966981716E-3</v>
      </c>
      <c r="O96" s="10"/>
      <c r="P96" s="4">
        <v>45888.4</v>
      </c>
      <c r="Q96" s="4"/>
      <c r="R96" s="12">
        <f>IF(P$12=0,0,P96/P$12)</f>
        <v>0.11354284537355042</v>
      </c>
      <c r="S96" s="4"/>
      <c r="T96" s="4">
        <v>43940.369999999995</v>
      </c>
      <c r="U96" s="4"/>
      <c r="V96" s="12">
        <f>IF(T$12=0,0,T96/T$12)</f>
        <v>0.1039585467720681</v>
      </c>
      <c r="W96" s="4"/>
      <c r="X96" s="4">
        <f>+P96-T96</f>
        <v>1948.0300000000061</v>
      </c>
      <c r="Y96" s="4"/>
      <c r="Z96" s="12">
        <f>IF(T96=0,0,X96/T96)</f>
        <v>4.4333491047071433E-2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4</v>
      </c>
      <c r="C98" s="28"/>
      <c r="D98" s="30">
        <f>+D94-D96</f>
        <v>-8406.0299999999988</v>
      </c>
      <c r="E98" s="14"/>
      <c r="F98" s="36">
        <f>IF(D$12=0,0,D98/D$12)</f>
        <v>-2.6603381269463502</v>
      </c>
      <c r="G98" s="14"/>
      <c r="H98" s="30">
        <f>+H94-H96</f>
        <v>-350.62000000000035</v>
      </c>
      <c r="I98" s="14"/>
      <c r="J98" s="36">
        <f>IF(H$12=0,0,H98/H$12)</f>
        <v>-1.4309314971440152E-2</v>
      </c>
      <c r="K98" s="15"/>
      <c r="L98" s="30">
        <f>D98-H98</f>
        <v>-8055.409999999998</v>
      </c>
      <c r="M98" s="15"/>
      <c r="N98" s="36">
        <f>IF(H98=0,0,L98/H98)</f>
        <v>22.974758998345759</v>
      </c>
      <c r="O98" s="29"/>
      <c r="P98" s="30">
        <f>+P94-P96</f>
        <v>66340.780000000115</v>
      </c>
      <c r="Q98" s="14"/>
      <c r="R98" s="36">
        <f>IF(P$12=0,0,P98/P$12)</f>
        <v>0.1641486939074088</v>
      </c>
      <c r="S98" s="14"/>
      <c r="T98" s="30">
        <f>+T94-T96</f>
        <v>66689.110000000248</v>
      </c>
      <c r="U98" s="14"/>
      <c r="V98" s="36">
        <f>IF(T$12=0,0,T98/T$12)</f>
        <v>0.15777980388245755</v>
      </c>
      <c r="W98" s="15"/>
      <c r="X98" s="30">
        <f>P98-T98</f>
        <v>-348.33000000013271</v>
      </c>
      <c r="Y98" s="15"/>
      <c r="Z98" s="36">
        <f>IF(T98=0,0,X98/T98)</f>
        <v>-5.2231916125456074E-3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8" t="s">
        <v>5</v>
      </c>
      <c r="C101" s="28"/>
      <c r="D101" s="31">
        <f>SUM(D98:D100)</f>
        <v>-8406.0299999999988</v>
      </c>
      <c r="E101" s="14"/>
      <c r="F101" s="32">
        <f>IF(D$12=0,0,D101/D$12)</f>
        <v>-2.6603381269463502</v>
      </c>
      <c r="G101" s="14"/>
      <c r="H101" s="31">
        <f>SUM(H98:H100)</f>
        <v>-350.62000000000035</v>
      </c>
      <c r="I101" s="14"/>
      <c r="J101" s="32">
        <f>IF(H$12=0,0,H101/H$12)</f>
        <v>-1.4309314971440152E-2</v>
      </c>
      <c r="K101" s="15"/>
      <c r="L101" s="31">
        <f>+D101-H101</f>
        <v>-8055.409999999998</v>
      </c>
      <c r="M101" s="15"/>
      <c r="N101" s="32">
        <f>IF(H101=0,0,L101/H101)</f>
        <v>22.974758998345759</v>
      </c>
      <c r="O101" s="29"/>
      <c r="P101" s="31">
        <f>SUM(P98:P100)</f>
        <v>66340.780000000115</v>
      </c>
      <c r="Q101" s="14"/>
      <c r="R101" s="32">
        <f>IF(P$12=0,0,P101/P$12)</f>
        <v>0.1641486939074088</v>
      </c>
      <c r="S101" s="14"/>
      <c r="T101" s="31">
        <f>SUM(T98:T100)</f>
        <v>66689.110000000248</v>
      </c>
      <c r="U101" s="14"/>
      <c r="V101" s="32">
        <f>IF(T$12=0,0,T101/T$12)</f>
        <v>0.15777980388245755</v>
      </c>
      <c r="W101" s="15"/>
      <c r="X101" s="31">
        <f>+P101-T101</f>
        <v>-348.33000000013271</v>
      </c>
      <c r="Y101" s="15"/>
      <c r="Z101" s="32">
        <f>IF(T101=0,0,X101/T101)</f>
        <v>-5.2231916125456074E-3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4">
        <v>43965.470998958335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9" t="s">
        <v>313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61"/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32752.599999999995</v>
      </c>
      <c r="E12" s="4"/>
      <c r="F12" s="12"/>
      <c r="G12" s="4"/>
      <c r="H12" s="4">
        <f>SUM(OSRRefH13x_0)</f>
        <v>27007.84</v>
      </c>
      <c r="I12" s="4"/>
      <c r="J12" s="12"/>
      <c r="K12" s="4"/>
      <c r="L12" s="4">
        <f t="shared" ref="L12:L42" si="0">+D12-H12</f>
        <v>5744.7599999999948</v>
      </c>
      <c r="M12" s="4"/>
      <c r="N12" s="12">
        <f t="shared" ref="N12:N42" si="1">IF(H12=0,0,L12/H12)</f>
        <v>0.21270712504220976</v>
      </c>
      <c r="O12" s="10"/>
      <c r="P12" s="4">
        <f>SUM(OSRRefP13x_0)</f>
        <v>4868612.63</v>
      </c>
      <c r="Q12" s="4"/>
      <c r="R12" s="12"/>
      <c r="S12" s="4"/>
      <c r="T12" s="4">
        <f>SUM(OSRRefT13x_0)</f>
        <v>5901691.9900000002</v>
      </c>
      <c r="U12" s="4"/>
      <c r="V12" s="12"/>
      <c r="W12" s="4"/>
      <c r="X12" s="4">
        <f t="shared" ref="X12:X42" si="2">+P12-T12</f>
        <v>-1033079.3600000003</v>
      </c>
      <c r="Y12" s="4"/>
      <c r="Z12" s="12">
        <f t="shared" ref="Z12:Z42" si="3">IF(T12=0,0,X12/T12)</f>
        <v>-0.17504799670170526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--1084.45</f>
        <v>1084.45</v>
      </c>
      <c r="E13" s="2"/>
      <c r="F13" s="19"/>
      <c r="G13" s="2"/>
      <c r="H13" s="2">
        <f>--5639.51</f>
        <v>5639.51</v>
      </c>
      <c r="I13" s="2"/>
      <c r="J13" s="19"/>
      <c r="K13" s="2"/>
      <c r="L13" s="2">
        <f t="shared" si="0"/>
        <v>-4555.0600000000004</v>
      </c>
      <c r="M13" s="2"/>
      <c r="N13" s="19">
        <f t="shared" si="1"/>
        <v>-0.80770492471863697</v>
      </c>
      <c r="O13" s="11"/>
      <c r="P13" s="2">
        <f>--2397977.73</f>
        <v>2397977.73</v>
      </c>
      <c r="Q13" s="2"/>
      <c r="R13" s="19"/>
      <c r="S13" s="2"/>
      <c r="T13" s="2">
        <f>--3061354.17</f>
        <v>3061354.17</v>
      </c>
      <c r="U13" s="2"/>
      <c r="V13" s="19"/>
      <c r="W13" s="2"/>
      <c r="X13" s="2">
        <f t="shared" si="2"/>
        <v>-663376.43999999994</v>
      </c>
      <c r="Y13" s="2"/>
      <c r="Z13" s="19">
        <f t="shared" si="3"/>
        <v>-0.21669379077429646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--602.5</f>
        <v>602.5</v>
      </c>
      <c r="E14" s="2"/>
      <c r="F14" s="19"/>
      <c r="G14" s="2"/>
      <c r="H14" s="2">
        <f>--2522.75</f>
        <v>2522.75</v>
      </c>
      <c r="I14" s="2"/>
      <c r="J14" s="19"/>
      <c r="K14" s="2"/>
      <c r="L14" s="2">
        <f t="shared" si="0"/>
        <v>-1920.25</v>
      </c>
      <c r="M14" s="2"/>
      <c r="N14" s="19">
        <f t="shared" si="1"/>
        <v>-0.76117332276285798</v>
      </c>
      <c r="O14" s="11"/>
      <c r="P14" s="2">
        <f>--1244917.19</f>
        <v>1244917.19</v>
      </c>
      <c r="Q14" s="2"/>
      <c r="R14" s="19"/>
      <c r="S14" s="2"/>
      <c r="T14" s="2">
        <f>--1363656.39</f>
        <v>1363656.39</v>
      </c>
      <c r="U14" s="2"/>
      <c r="V14" s="19"/>
      <c r="W14" s="2"/>
      <c r="X14" s="2">
        <f t="shared" si="2"/>
        <v>-118739.19999999995</v>
      </c>
      <c r="Y14" s="2"/>
      <c r="Z14" s="19">
        <f t="shared" si="3"/>
        <v>-8.7074134562593122E-2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 t="shared" ref="D15:D17" si="4">0</f>
        <v>0</v>
      </c>
      <c r="E15" s="2"/>
      <c r="F15" s="19"/>
      <c r="G15" s="2"/>
      <c r="H15" s="2">
        <f t="shared" ref="H15:H17" si="5"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--33694.89</f>
        <v>33694.89</v>
      </c>
      <c r="Q15" s="2"/>
      <c r="R15" s="19"/>
      <c r="S15" s="2"/>
      <c r="T15" s="2">
        <f>--15147.65</f>
        <v>15147.65</v>
      </c>
      <c r="U15" s="2"/>
      <c r="V15" s="19"/>
      <c r="W15" s="2"/>
      <c r="X15" s="2">
        <f t="shared" si="2"/>
        <v>18547.239999999998</v>
      </c>
      <c r="Y15" s="2"/>
      <c r="Z15" s="19">
        <f t="shared" si="3"/>
        <v>1.2244301921420153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>
        <f>--70190.69</f>
        <v>70190.69</v>
      </c>
      <c r="U16" s="2"/>
      <c r="V16" s="19"/>
      <c r="W16" s="2"/>
      <c r="X16" s="2">
        <f t="shared" si="2"/>
        <v>-27995.39</v>
      </c>
      <c r="Y16" s="2"/>
      <c r="Z16" s="19">
        <f t="shared" si="3"/>
        <v>-0.39884762494855086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1046.6500000000001</v>
      </c>
      <c r="Y17" s="2"/>
      <c r="Z17" s="19">
        <f t="shared" si="3"/>
        <v>179.52830188679246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--18.36</f>
        <v>18.36</v>
      </c>
      <c r="E18" s="2"/>
      <c r="F18" s="19"/>
      <c r="G18" s="2"/>
      <c r="H18" s="2">
        <f>--2175.11</f>
        <v>2175.11</v>
      </c>
      <c r="I18" s="2"/>
      <c r="J18" s="19"/>
      <c r="K18" s="2"/>
      <c r="L18" s="2">
        <f t="shared" si="0"/>
        <v>-2156.75</v>
      </c>
      <c r="M18" s="2"/>
      <c r="N18" s="19">
        <f t="shared" si="1"/>
        <v>-0.99155904758839775</v>
      </c>
      <c r="O18" s="11"/>
      <c r="P18" s="2">
        <f>--2713.36</f>
        <v>2713.36</v>
      </c>
      <c r="Q18" s="2"/>
      <c r="R18" s="19"/>
      <c r="S18" s="2"/>
      <c r="T18" s="2">
        <f>--6231.22</f>
        <v>6231.22</v>
      </c>
      <c r="U18" s="2"/>
      <c r="V18" s="19"/>
      <c r="W18" s="2"/>
      <c r="X18" s="2">
        <f t="shared" si="2"/>
        <v>-3517.86</v>
      </c>
      <c r="Y18" s="2"/>
      <c r="Z18" s="19">
        <f t="shared" si="3"/>
        <v>-0.56455397177438771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0" si="6">0</f>
        <v>0</v>
      </c>
      <c r="E19" s="2"/>
      <c r="F19" s="19"/>
      <c r="G19" s="2"/>
      <c r="H19" s="2">
        <f>--151.13</f>
        <v>151.13</v>
      </c>
      <c r="I19" s="2"/>
      <c r="J19" s="19"/>
      <c r="K19" s="2"/>
      <c r="L19" s="2">
        <f t="shared" si="0"/>
        <v>-151.13</v>
      </c>
      <c r="M19" s="2"/>
      <c r="N19" s="19">
        <f t="shared" si="1"/>
        <v>-1</v>
      </c>
      <c r="O19" s="11"/>
      <c r="P19" s="2">
        <f>--1219.18</f>
        <v>1219.18</v>
      </c>
      <c r="Q19" s="2"/>
      <c r="R19" s="19"/>
      <c r="S19" s="2"/>
      <c r="T19" s="2">
        <f>--2032.27</f>
        <v>2032.27</v>
      </c>
      <c r="U19" s="2"/>
      <c r="V19" s="19"/>
      <c r="W19" s="2"/>
      <c r="X19" s="2">
        <f t="shared" si="2"/>
        <v>-813.08999999999992</v>
      </c>
      <c r="Y19" s="2"/>
      <c r="Z19" s="19">
        <f t="shared" si="3"/>
        <v>-0.40008955502959742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6"/>
        <v>0</v>
      </c>
      <c r="E20" s="2"/>
      <c r="F20" s="19"/>
      <c r="G20" s="2"/>
      <c r="H20" s="2">
        <f>--243.29</f>
        <v>243.29</v>
      </c>
      <c r="I20" s="2"/>
      <c r="J20" s="19"/>
      <c r="K20" s="2"/>
      <c r="L20" s="2">
        <f t="shared" si="0"/>
        <v>-243.29</v>
      </c>
      <c r="M20" s="2"/>
      <c r="N20" s="19">
        <f t="shared" si="1"/>
        <v>-1</v>
      </c>
      <c r="O20" s="11"/>
      <c r="P20" s="2">
        <f>--4154.31</f>
        <v>4154.3100000000004</v>
      </c>
      <c r="Q20" s="2"/>
      <c r="R20" s="19"/>
      <c r="S20" s="2"/>
      <c r="T20" s="2">
        <f>--6075.08</f>
        <v>6075.08</v>
      </c>
      <c r="U20" s="2"/>
      <c r="V20" s="19"/>
      <c r="W20" s="2"/>
      <c r="X20" s="2">
        <f t="shared" si="2"/>
        <v>-1920.7699999999995</v>
      </c>
      <c r="Y20" s="2"/>
      <c r="Z20" s="19">
        <f t="shared" si="3"/>
        <v>-0.31617196810576975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--27923.82</f>
        <v>27923.82</v>
      </c>
      <c r="E21" s="2"/>
      <c r="F21" s="19"/>
      <c r="G21" s="2"/>
      <c r="H21" s="2">
        <f>--776.32</f>
        <v>776.32</v>
      </c>
      <c r="I21" s="2"/>
      <c r="J21" s="19"/>
      <c r="K21" s="2"/>
      <c r="L21" s="2">
        <f t="shared" si="0"/>
        <v>27147.5</v>
      </c>
      <c r="M21" s="2"/>
      <c r="N21" s="19">
        <f t="shared" si="1"/>
        <v>34.969471352019781</v>
      </c>
      <c r="O21" s="11"/>
      <c r="P21" s="2">
        <f>--602236.47</f>
        <v>602236.47</v>
      </c>
      <c r="Q21" s="2"/>
      <c r="R21" s="19"/>
      <c r="S21" s="2"/>
      <c r="T21" s="2">
        <f>--779409.89</f>
        <v>779409.89</v>
      </c>
      <c r="U21" s="2"/>
      <c r="V21" s="19"/>
      <c r="W21" s="2"/>
      <c r="X21" s="2">
        <f t="shared" si="2"/>
        <v>-177173.42000000004</v>
      </c>
      <c r="Y21" s="2"/>
      <c r="Z21" s="19">
        <f t="shared" si="3"/>
        <v>-0.22731738751736913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--1972.02</f>
        <v>1972.02</v>
      </c>
      <c r="E22" s="2"/>
      <c r="F22" s="19"/>
      <c r="G22" s="2"/>
      <c r="H22" s="2">
        <f>--5697.7</f>
        <v>5697.7</v>
      </c>
      <c r="I22" s="2"/>
      <c r="J22" s="19"/>
      <c r="K22" s="2"/>
      <c r="L22" s="2">
        <f t="shared" si="0"/>
        <v>-3725.68</v>
      </c>
      <c r="M22" s="2"/>
      <c r="N22" s="19">
        <f t="shared" si="1"/>
        <v>-0.65389192130157781</v>
      </c>
      <c r="O22" s="11"/>
      <c r="P22" s="2">
        <f>--144163.44</f>
        <v>144163.44</v>
      </c>
      <c r="Q22" s="2"/>
      <c r="R22" s="19"/>
      <c r="S22" s="2"/>
      <c r="T22" s="2">
        <f>--266114.47</f>
        <v>266114.46999999997</v>
      </c>
      <c r="U22" s="2"/>
      <c r="V22" s="19"/>
      <c r="W22" s="2"/>
      <c r="X22" s="2">
        <f t="shared" si="2"/>
        <v>-121951.02999999997</v>
      </c>
      <c r="Y22" s="2"/>
      <c r="Z22" s="19">
        <f t="shared" si="3"/>
        <v>-0.45826530966166545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--804.2</f>
        <v>804.2</v>
      </c>
      <c r="E23" s="2"/>
      <c r="F23" s="19"/>
      <c r="G23" s="2"/>
      <c r="H23" s="2">
        <f>--6881.14</f>
        <v>6881.14</v>
      </c>
      <c r="I23" s="2"/>
      <c r="J23" s="19"/>
      <c r="K23" s="2"/>
      <c r="L23" s="2">
        <f t="shared" si="0"/>
        <v>-6076.9400000000005</v>
      </c>
      <c r="M23" s="2"/>
      <c r="N23" s="19">
        <f t="shared" si="1"/>
        <v>-0.88312983023161862</v>
      </c>
      <c r="O23" s="11"/>
      <c r="P23" s="2">
        <f>--69659.9</f>
        <v>69659.899999999994</v>
      </c>
      <c r="Q23" s="2"/>
      <c r="R23" s="19"/>
      <c r="S23" s="2"/>
      <c r="T23" s="2">
        <f>--92597.47</f>
        <v>92597.47</v>
      </c>
      <c r="U23" s="2"/>
      <c r="V23" s="19"/>
      <c r="W23" s="2"/>
      <c r="X23" s="2">
        <f t="shared" si="2"/>
        <v>-22937.570000000007</v>
      </c>
      <c r="Y23" s="2"/>
      <c r="Z23" s="19">
        <f t="shared" si="3"/>
        <v>-0.24771270748542057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>
        <f>--509.85</f>
        <v>509.85</v>
      </c>
      <c r="U24" s="2"/>
      <c r="V24" s="19"/>
      <c r="W24" s="2"/>
      <c r="X24" s="2">
        <f t="shared" si="2"/>
        <v>155.12</v>
      </c>
      <c r="Y24" s="2"/>
      <c r="Z24" s="19">
        <f t="shared" si="3"/>
        <v>0.30424634696479358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--2502.44</f>
        <v>2502.44</v>
      </c>
      <c r="E25" s="2"/>
      <c r="F25" s="19"/>
      <c r="G25" s="2"/>
      <c r="H25" s="2">
        <f>--2347.02</f>
        <v>2347.02</v>
      </c>
      <c r="I25" s="2"/>
      <c r="J25" s="19"/>
      <c r="K25" s="2"/>
      <c r="L25" s="2">
        <f t="shared" si="0"/>
        <v>155.42000000000007</v>
      </c>
      <c r="M25" s="2"/>
      <c r="N25" s="19">
        <f t="shared" si="1"/>
        <v>6.6220142989833947E-2</v>
      </c>
      <c r="O25" s="11"/>
      <c r="P25" s="2">
        <f>--526854.09</f>
        <v>526854.09</v>
      </c>
      <c r="Q25" s="2"/>
      <c r="R25" s="19"/>
      <c r="S25" s="2"/>
      <c r="T25" s="2">
        <f>--528735.29</f>
        <v>528735.29</v>
      </c>
      <c r="U25" s="2"/>
      <c r="V25" s="19"/>
      <c r="W25" s="2"/>
      <c r="X25" s="2">
        <f t="shared" si="2"/>
        <v>-1881.2000000000698</v>
      </c>
      <c r="Y25" s="2"/>
      <c r="Z25" s="19">
        <f t="shared" si="3"/>
        <v>-3.5579240417261911E-3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--593.67</f>
        <v>593.66999999999996</v>
      </c>
      <c r="E26" s="2"/>
      <c r="F26" s="19"/>
      <c r="G26" s="2"/>
      <c r="H26" s="2">
        <f>--2525.72</f>
        <v>2525.7199999999998</v>
      </c>
      <c r="I26" s="2"/>
      <c r="J26" s="19"/>
      <c r="K26" s="2"/>
      <c r="L26" s="2">
        <f t="shared" si="0"/>
        <v>-1932.0499999999997</v>
      </c>
      <c r="M26" s="2"/>
      <c r="N26" s="19">
        <f t="shared" si="1"/>
        <v>-0.76495019242037909</v>
      </c>
      <c r="O26" s="11"/>
      <c r="P26" s="2">
        <f>--15323</f>
        <v>15323</v>
      </c>
      <c r="Q26" s="2"/>
      <c r="R26" s="19"/>
      <c r="S26" s="2"/>
      <c r="T26" s="2">
        <f>--19614.24</f>
        <v>19614.240000000002</v>
      </c>
      <c r="U26" s="2"/>
      <c r="V26" s="19"/>
      <c r="W26" s="2"/>
      <c r="X26" s="2">
        <f t="shared" si="2"/>
        <v>-4291.2400000000016</v>
      </c>
      <c r="Y26" s="2"/>
      <c r="Z26" s="19">
        <f t="shared" si="3"/>
        <v>-0.2187818646044915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--2440</f>
        <v>2440</v>
      </c>
      <c r="E27" s="2"/>
      <c r="F27" s="19"/>
      <c r="G27" s="2"/>
      <c r="H27" s="2">
        <f>--378</f>
        <v>378</v>
      </c>
      <c r="I27" s="2"/>
      <c r="J27" s="19"/>
      <c r="K27" s="2"/>
      <c r="L27" s="2">
        <f t="shared" si="0"/>
        <v>2062</v>
      </c>
      <c r="M27" s="2"/>
      <c r="N27" s="19">
        <f t="shared" si="1"/>
        <v>5.4550264550264549</v>
      </c>
      <c r="O27" s="11"/>
      <c r="P27" s="2">
        <f>--8241.92</f>
        <v>8241.92</v>
      </c>
      <c r="Q27" s="2"/>
      <c r="R27" s="19"/>
      <c r="S27" s="2"/>
      <c r="T27" s="2">
        <f>--3773</f>
        <v>3773</v>
      </c>
      <c r="U27" s="2"/>
      <c r="V27" s="19"/>
      <c r="W27" s="2"/>
      <c r="X27" s="2">
        <f t="shared" si="2"/>
        <v>4468.92</v>
      </c>
      <c r="Y27" s="2"/>
      <c r="Z27" s="19">
        <f t="shared" si="3"/>
        <v>1.1844473893453487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--7.02</f>
        <v>7.02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7.02</v>
      </c>
      <c r="M28" s="2"/>
      <c r="N28" s="19">
        <f t="shared" si="1"/>
        <v>0</v>
      </c>
      <c r="O28" s="11"/>
      <c r="P28" s="2">
        <f>--75.94</f>
        <v>75.94</v>
      </c>
      <c r="Q28" s="2"/>
      <c r="R28" s="19"/>
      <c r="S28" s="2"/>
      <c r="T28" s="2">
        <f>--266.48</f>
        <v>266.48</v>
      </c>
      <c r="U28" s="2"/>
      <c r="V28" s="19"/>
      <c r="W28" s="2"/>
      <c r="X28" s="2">
        <f t="shared" si="2"/>
        <v>-190.54000000000002</v>
      </c>
      <c r="Y28" s="2"/>
      <c r="Z28" s="19">
        <f t="shared" si="3"/>
        <v>-0.71502551786250379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-62.3</f>
        <v>-62.3</v>
      </c>
      <c r="E29" s="2"/>
      <c r="F29" s="19"/>
      <c r="G29" s="2"/>
      <c r="H29" s="2">
        <f>-295.04</f>
        <v>-295.04000000000002</v>
      </c>
      <c r="I29" s="2"/>
      <c r="J29" s="19"/>
      <c r="K29" s="2"/>
      <c r="L29" s="2">
        <f t="shared" si="0"/>
        <v>232.74</v>
      </c>
      <c r="M29" s="2"/>
      <c r="N29" s="19">
        <f t="shared" si="1"/>
        <v>-0.78884219088937091</v>
      </c>
      <c r="O29" s="11"/>
      <c r="P29" s="2">
        <f>-121223.01</f>
        <v>-121223.01</v>
      </c>
      <c r="Q29" s="2"/>
      <c r="R29" s="19"/>
      <c r="S29" s="2"/>
      <c r="T29" s="2">
        <f>-175695.6</f>
        <v>-175695.6</v>
      </c>
      <c r="U29" s="2"/>
      <c r="V29" s="19"/>
      <c r="W29" s="2"/>
      <c r="X29" s="2">
        <f t="shared" si="2"/>
        <v>54472.590000000011</v>
      </c>
      <c r="Y29" s="2"/>
      <c r="Z29" s="19">
        <f t="shared" si="3"/>
        <v>-0.31003957981873198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-31.95</f>
        <v>-31.95</v>
      </c>
      <c r="E30" s="2"/>
      <c r="F30" s="19"/>
      <c r="G30" s="2"/>
      <c r="H30" s="2">
        <f>-238.1</f>
        <v>-238.1</v>
      </c>
      <c r="I30" s="2"/>
      <c r="J30" s="19"/>
      <c r="K30" s="2"/>
      <c r="L30" s="2">
        <f t="shared" si="0"/>
        <v>206.15</v>
      </c>
      <c r="M30" s="2"/>
      <c r="N30" s="19">
        <f t="shared" si="1"/>
        <v>-0.86581268374632514</v>
      </c>
      <c r="O30" s="11"/>
      <c r="P30" s="2">
        <f>-45552.71</f>
        <v>-45552.71</v>
      </c>
      <c r="Q30" s="2"/>
      <c r="R30" s="19"/>
      <c r="S30" s="2"/>
      <c r="T30" s="2">
        <f>-45639.95</f>
        <v>-45639.95</v>
      </c>
      <c r="U30" s="2"/>
      <c r="V30" s="19"/>
      <c r="W30" s="2"/>
      <c r="X30" s="2">
        <f t="shared" si="2"/>
        <v>87.239999999997963</v>
      </c>
      <c r="Y30" s="2"/>
      <c r="Z30" s="19">
        <f t="shared" si="3"/>
        <v>-1.9114832509675836E-3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2" si="7">0</f>
        <v>0</v>
      </c>
      <c r="E31" s="2"/>
      <c r="F31" s="19"/>
      <c r="G31" s="2"/>
      <c r="H31" s="2">
        <f t="shared" ref="H31:H32" si="8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>
        <f>-1699.5</f>
        <v>-1699.5</v>
      </c>
      <c r="U31" s="2"/>
      <c r="V31" s="19"/>
      <c r="W31" s="2"/>
      <c r="X31" s="2">
        <f t="shared" si="2"/>
        <v>1554.51</v>
      </c>
      <c r="Y31" s="2"/>
      <c r="Z31" s="19">
        <f t="shared" si="3"/>
        <v>-0.9146866725507502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7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-17255.33</f>
        <v>-17255.330000000002</v>
      </c>
      <c r="Q32" s="2"/>
      <c r="R32" s="19"/>
      <c r="S32" s="2"/>
      <c r="T32" s="2">
        <f>-27059.65</f>
        <v>-27059.65</v>
      </c>
      <c r="U32" s="2"/>
      <c r="V32" s="19"/>
      <c r="W32" s="2"/>
      <c r="X32" s="2">
        <f t="shared" si="2"/>
        <v>9804.32</v>
      </c>
      <c r="Y32" s="2"/>
      <c r="Z32" s="19">
        <f t="shared" si="3"/>
        <v>-0.36232249862803101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-2173.76</f>
        <v>-2173.7600000000002</v>
      </c>
      <c r="E33" s="2"/>
      <c r="F33" s="19"/>
      <c r="G33" s="2"/>
      <c r="H33" s="2">
        <f>-899.64</f>
        <v>-899.64</v>
      </c>
      <c r="I33" s="2"/>
      <c r="J33" s="19"/>
      <c r="K33" s="2"/>
      <c r="L33" s="2">
        <f t="shared" si="0"/>
        <v>-1274.1200000000003</v>
      </c>
      <c r="M33" s="2"/>
      <c r="N33" s="19">
        <f t="shared" si="1"/>
        <v>1.4162553910453075</v>
      </c>
      <c r="O33" s="11"/>
      <c r="P33" s="2">
        <f>-2768.67</f>
        <v>-2768.67</v>
      </c>
      <c r="Q33" s="2"/>
      <c r="R33" s="19"/>
      <c r="S33" s="2"/>
      <c r="T33" s="2">
        <f>-1548.35</f>
        <v>-1548.35</v>
      </c>
      <c r="U33" s="2"/>
      <c r="V33" s="19"/>
      <c r="W33" s="2"/>
      <c r="X33" s="2">
        <f t="shared" si="2"/>
        <v>-1220.3200000000002</v>
      </c>
      <c r="Y33" s="2"/>
      <c r="Z33" s="19">
        <f t="shared" si="3"/>
        <v>0.7881422159072563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5" si="9">0</f>
        <v>0</v>
      </c>
      <c r="E34" s="2"/>
      <c r="F34" s="19"/>
      <c r="G34" s="2"/>
      <c r="H34" s="2">
        <f t="shared" ref="H34:H35" si="10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>
        <f>-19.84</f>
        <v>-19.84</v>
      </c>
      <c r="U34" s="2"/>
      <c r="V34" s="19"/>
      <c r="W34" s="2"/>
      <c r="X34" s="2">
        <f t="shared" si="2"/>
        <v>7.9</v>
      </c>
      <c r="Y34" s="2"/>
      <c r="Z34" s="19">
        <f t="shared" si="3"/>
        <v>-0.39818548387096775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9"/>
        <v>0</v>
      </c>
      <c r="E35" s="2"/>
      <c r="F35" s="19"/>
      <c r="G35" s="2"/>
      <c r="H35" s="2">
        <f t="shared" si="10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>
        <f>-67.6</f>
        <v>-67.599999999999994</v>
      </c>
      <c r="U35" s="2"/>
      <c r="V35" s="19"/>
      <c r="W35" s="2"/>
      <c r="X35" s="2">
        <f t="shared" si="2"/>
        <v>28.349999999999994</v>
      </c>
      <c r="Y35" s="2"/>
      <c r="Z35" s="19">
        <f t="shared" si="3"/>
        <v>-0.41937869822485202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-357.81</f>
        <v>-357.81</v>
      </c>
      <c r="E36" s="2"/>
      <c r="F36" s="19"/>
      <c r="G36" s="2"/>
      <c r="H36" s="2">
        <f>-367.54</f>
        <v>-367.54</v>
      </c>
      <c r="I36" s="2"/>
      <c r="J36" s="19"/>
      <c r="K36" s="2"/>
      <c r="L36" s="2">
        <f t="shared" si="0"/>
        <v>9.7300000000000182</v>
      </c>
      <c r="M36" s="2"/>
      <c r="N36" s="19">
        <f t="shared" si="1"/>
        <v>-2.6473309027588883E-2</v>
      </c>
      <c r="O36" s="11"/>
      <c r="P36" s="2">
        <f>-15579.43</f>
        <v>-15579.43</v>
      </c>
      <c r="Q36" s="2"/>
      <c r="R36" s="19"/>
      <c r="S36" s="2"/>
      <c r="T36" s="2">
        <f>-49571.09</f>
        <v>-49571.09</v>
      </c>
      <c r="U36" s="2"/>
      <c r="V36" s="19"/>
      <c r="W36" s="2"/>
      <c r="X36" s="2">
        <f t="shared" si="2"/>
        <v>33991.659999999996</v>
      </c>
      <c r="Y36" s="2"/>
      <c r="Z36" s="19">
        <f t="shared" si="3"/>
        <v>-0.68571540387754226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ref="D37:D39" si="11">0</f>
        <v>0</v>
      </c>
      <c r="E37" s="2"/>
      <c r="F37" s="19"/>
      <c r="G37" s="2"/>
      <c r="H37" s="2">
        <f>-285.45</f>
        <v>-285.45</v>
      </c>
      <c r="I37" s="2"/>
      <c r="J37" s="19"/>
      <c r="K37" s="2"/>
      <c r="L37" s="2">
        <f t="shared" si="0"/>
        <v>285.45</v>
      </c>
      <c r="M37" s="2"/>
      <c r="N37" s="19">
        <f t="shared" si="1"/>
        <v>-1</v>
      </c>
      <c r="O37" s="11"/>
      <c r="P37" s="2">
        <f>-1312.37</f>
        <v>-1312.37</v>
      </c>
      <c r="Q37" s="2"/>
      <c r="R37" s="19"/>
      <c r="S37" s="2"/>
      <c r="T37" s="2">
        <f>-4788.7</f>
        <v>-4788.7</v>
      </c>
      <c r="U37" s="2"/>
      <c r="V37" s="19"/>
      <c r="W37" s="2"/>
      <c r="X37" s="2">
        <f t="shared" si="2"/>
        <v>3476.33</v>
      </c>
      <c r="Y37" s="2"/>
      <c r="Z37" s="19">
        <f t="shared" si="3"/>
        <v>-0.72594441080042604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11"/>
        <v>0</v>
      </c>
      <c r="E38" s="2"/>
      <c r="F38" s="19"/>
      <c r="G38" s="2"/>
      <c r="H38" s="2">
        <f t="shared" ref="H38:H39" si="12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>
        <f>-509.85</f>
        <v>-509.85</v>
      </c>
      <c r="U38" s="2"/>
      <c r="V38" s="19"/>
      <c r="W38" s="2"/>
      <c r="X38" s="2">
        <f t="shared" si="2"/>
        <v>324.86</v>
      </c>
      <c r="Y38" s="2"/>
      <c r="Z38" s="19">
        <f t="shared" si="3"/>
        <v>-0.63716779444934779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 t="shared" si="11"/>
        <v>0</v>
      </c>
      <c r="E39" s="2"/>
      <c r="F39" s="19"/>
      <c r="G39" s="2"/>
      <c r="H39" s="2">
        <f t="shared" si="12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-19036.13</f>
        <v>-19036.13</v>
      </c>
      <c r="Q39" s="2"/>
      <c r="R39" s="19"/>
      <c r="S39" s="2"/>
      <c r="T39" s="2">
        <f>-5668</f>
        <v>-5668</v>
      </c>
      <c r="U39" s="2"/>
      <c r="V39" s="19"/>
      <c r="W39" s="2"/>
      <c r="X39" s="2">
        <f t="shared" si="2"/>
        <v>-13368.130000000001</v>
      </c>
      <c r="Y39" s="2"/>
      <c r="Z39" s="19">
        <f t="shared" si="3"/>
        <v>2.3585268172194778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-88.62</f>
        <v>-88.62</v>
      </c>
      <c r="E40" s="2"/>
      <c r="F40" s="19"/>
      <c r="G40" s="2"/>
      <c r="H40" s="2">
        <f>-244.08</f>
        <v>-244.08</v>
      </c>
      <c r="I40" s="2"/>
      <c r="J40" s="19"/>
      <c r="K40" s="2"/>
      <c r="L40" s="2">
        <f t="shared" si="0"/>
        <v>155.46</v>
      </c>
      <c r="M40" s="2"/>
      <c r="N40" s="19">
        <f t="shared" si="1"/>
        <v>-0.63692232055063913</v>
      </c>
      <c r="O40" s="11"/>
      <c r="P40" s="2">
        <f>-941.28</f>
        <v>-941.28</v>
      </c>
      <c r="Q40" s="2"/>
      <c r="R40" s="19"/>
      <c r="S40" s="2"/>
      <c r="T40" s="2">
        <f>-1748.83</f>
        <v>-1748.83</v>
      </c>
      <c r="U40" s="2"/>
      <c r="V40" s="19"/>
      <c r="W40" s="2"/>
      <c r="X40" s="2">
        <f t="shared" si="2"/>
        <v>807.55</v>
      </c>
      <c r="Y40" s="2"/>
      <c r="Z40" s="19">
        <f t="shared" si="3"/>
        <v>-0.4617658663220553</v>
      </c>
    </row>
    <row r="41" spans="1:26" s="24" customFormat="1" hidden="1" outlineLevel="1" x14ac:dyDescent="0.25">
      <c r="A41" s="44"/>
      <c r="B41" s="11" t="str">
        <f>CONCATENATE("          ", "4313", " - ", "SALES RETURN NON TAXABLE-TRADE")</f>
        <v xml:space="preserve">          4313 - SALES RETURN NON TAXABLE-TRADE</v>
      </c>
      <c r="C41" s="11"/>
      <c r="D41" s="2">
        <f>-2481.44</f>
        <v>-2481.44</v>
      </c>
      <c r="E41" s="2"/>
      <c r="F41" s="19"/>
      <c r="G41" s="2"/>
      <c r="H41" s="2">
        <f t="shared" ref="H41:H42" si="13">0</f>
        <v>0</v>
      </c>
      <c r="I41" s="2"/>
      <c r="J41" s="19"/>
      <c r="K41" s="2"/>
      <c r="L41" s="2">
        <f t="shared" si="0"/>
        <v>-2481.44</v>
      </c>
      <c r="M41" s="2"/>
      <c r="N41" s="19">
        <f t="shared" si="1"/>
        <v>0</v>
      </c>
      <c r="O41" s="11"/>
      <c r="P41" s="2">
        <f>-2481.44</f>
        <v>-2481.44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-2481.44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"4318", " - ", "SALES RETURN NON TAXABLE-STUDY")</f>
        <v xml:space="preserve">          4318 - SALES RETURN NON TAXABLE-STUDY</v>
      </c>
      <c r="C42" s="11"/>
      <c r="D42" s="2">
        <f>0</f>
        <v>0</v>
      </c>
      <c r="E42" s="2"/>
      <c r="F42" s="19"/>
      <c r="G42" s="2"/>
      <c r="H42" s="2">
        <f t="shared" si="13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0</f>
        <v>0</v>
      </c>
      <c r="Q42" s="2"/>
      <c r="R42" s="19"/>
      <c r="S42" s="2"/>
      <c r="T42" s="2">
        <f>-5.04</f>
        <v>-5.04</v>
      </c>
      <c r="U42" s="2"/>
      <c r="V42" s="19"/>
      <c r="W42" s="2"/>
      <c r="X42" s="2">
        <f t="shared" si="2"/>
        <v>5.04</v>
      </c>
      <c r="Y42" s="2"/>
      <c r="Z42" s="19">
        <f t="shared" si="3"/>
        <v>-1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9" t="s">
        <v>8</v>
      </c>
      <c r="C44" s="10"/>
      <c r="D44" s="4">
        <f>SUM(OSRRefD16x_0)</f>
        <v>19660.769999999997</v>
      </c>
      <c r="E44" s="4"/>
      <c r="F44" s="12">
        <f t="shared" ref="F44:F60" si="14">IF(D$12=0,0,D44/D$12)</f>
        <v>0.60028119904984645</v>
      </c>
      <c r="G44" s="4"/>
      <c r="H44" s="4">
        <f>SUM(OSRRefH16x_0)</f>
        <v>10282.849999999997</v>
      </c>
      <c r="I44" s="4"/>
      <c r="J44" s="12">
        <f t="shared" ref="J44:J60" si="15">IF(H$12=0,0,H44/H$12)</f>
        <v>0.38073574191790222</v>
      </c>
      <c r="K44" s="4"/>
      <c r="L44" s="4">
        <f t="shared" ref="L44:L60" si="16">+D44-H44</f>
        <v>9377.92</v>
      </c>
      <c r="M44" s="4"/>
      <c r="N44" s="12">
        <f t="shared" ref="N44:N60" si="17">IF(H44=0,0,L44/H44)</f>
        <v>0.91199618782730496</v>
      </c>
      <c r="O44" s="10"/>
      <c r="P44" s="4">
        <f>SUM(OSRRefP16x_0)</f>
        <v>3484043.99</v>
      </c>
      <c r="Q44" s="4"/>
      <c r="R44" s="12">
        <f t="shared" ref="R44:R60" si="18">IF(P$12=0,0,P44/P$12)</f>
        <v>0.71561330809758839</v>
      </c>
      <c r="S44" s="4"/>
      <c r="T44" s="4">
        <f>SUM(OSRRefT16x_0)</f>
        <v>4261642.0599999996</v>
      </c>
      <c r="U44" s="4"/>
      <c r="V44" s="12">
        <f t="shared" ref="V44:V60" si="19">IF(T$12=0,0,T44/T$12)</f>
        <v>0.7221051297189095</v>
      </c>
      <c r="W44" s="4"/>
      <c r="X44" s="4">
        <f t="shared" ref="X44:X60" si="20">+P44-T44</f>
        <v>-777598.06999999937</v>
      </c>
      <c r="Y44" s="4"/>
      <c r="Z44" s="12">
        <f t="shared" ref="Z44:Z60" si="21">IF(T44=0,0,X44/T44)</f>
        <v>-0.18246442546139116</v>
      </c>
    </row>
    <row r="45" spans="1:26" s="24" customFormat="1" hidden="1" outlineLevel="1" x14ac:dyDescent="0.25">
      <c r="A45" s="44"/>
      <c r="B45" s="11" t="str">
        <f>CONCATENATE("          ", "5001", " - ", "PURCHASES @ COST-NEW TEXT")</f>
        <v xml:space="preserve">          5001 - PURCHASES @ COST-NEW TEXT</v>
      </c>
      <c r="C45" s="11"/>
      <c r="D45" s="2">
        <v>-24912.870000000003</v>
      </c>
      <c r="E45" s="2"/>
      <c r="F45" s="19">
        <f t="shared" si="14"/>
        <v>-0.76063793408767566</v>
      </c>
      <c r="G45" s="2"/>
      <c r="H45" s="2">
        <v>-221136.5</v>
      </c>
      <c r="I45" s="2"/>
      <c r="J45" s="19">
        <f t="shared" si="15"/>
        <v>-8.1878632278627244</v>
      </c>
      <c r="K45" s="2"/>
      <c r="L45" s="2">
        <f t="shared" si="16"/>
        <v>196223.63</v>
      </c>
      <c r="M45" s="2"/>
      <c r="N45" s="19">
        <f t="shared" si="17"/>
        <v>-0.88734166453751417</v>
      </c>
      <c r="O45" s="11"/>
      <c r="P45" s="2">
        <v>1569752.25</v>
      </c>
      <c r="Q45" s="2"/>
      <c r="R45" s="19">
        <f t="shared" si="18"/>
        <v>0.32242290962466652</v>
      </c>
      <c r="S45" s="2"/>
      <c r="T45" s="2">
        <v>2325728.42</v>
      </c>
      <c r="U45" s="2"/>
      <c r="V45" s="19">
        <f t="shared" si="19"/>
        <v>0.39407824466962732</v>
      </c>
      <c r="W45" s="2"/>
      <c r="X45" s="2">
        <f t="shared" si="20"/>
        <v>-755976.16999999993</v>
      </c>
      <c r="Y45" s="2"/>
      <c r="Z45" s="19">
        <f t="shared" si="21"/>
        <v>-0.32504920329433817</v>
      </c>
    </row>
    <row r="46" spans="1:26" s="24" customFormat="1" hidden="1" outlineLevel="1" x14ac:dyDescent="0.25">
      <c r="A46" s="44"/>
      <c r="B46" s="11" t="str">
        <f>CONCATENATE("          ", "5002", " - ", "PURCHASES @ COST-USED TEXT")</f>
        <v xml:space="preserve">          5002 - PURCHASES @ COST-USED TEXT</v>
      </c>
      <c r="C46" s="11"/>
      <c r="D46" s="2">
        <v>-3117.33</v>
      </c>
      <c r="E46" s="2"/>
      <c r="F46" s="19">
        <f t="shared" si="14"/>
        <v>-9.5178092731569408E-2</v>
      </c>
      <c r="G46" s="2"/>
      <c r="H46" s="2">
        <v>-70912.89</v>
      </c>
      <c r="I46" s="2"/>
      <c r="J46" s="19">
        <f t="shared" si="15"/>
        <v>-2.62564092500548</v>
      </c>
      <c r="K46" s="2"/>
      <c r="L46" s="2">
        <f t="shared" si="16"/>
        <v>67795.56</v>
      </c>
      <c r="M46" s="2"/>
      <c r="N46" s="19">
        <f t="shared" si="17"/>
        <v>-0.95604000908720543</v>
      </c>
      <c r="O46" s="11"/>
      <c r="P46" s="2">
        <v>595582.78</v>
      </c>
      <c r="Q46" s="2"/>
      <c r="R46" s="19">
        <f t="shared" si="18"/>
        <v>0.12233110852362063</v>
      </c>
      <c r="S46" s="2"/>
      <c r="T46" s="2">
        <v>408043.55</v>
      </c>
      <c r="U46" s="2"/>
      <c r="V46" s="19">
        <f t="shared" si="19"/>
        <v>6.9140095872743099E-2</v>
      </c>
      <c r="W46" s="2"/>
      <c r="X46" s="2">
        <f t="shared" si="20"/>
        <v>187539.23000000004</v>
      </c>
      <c r="Y46" s="2"/>
      <c r="Z46" s="19">
        <f t="shared" si="21"/>
        <v>0.45960591706448994</v>
      </c>
    </row>
    <row r="47" spans="1:26" s="24" customFormat="1" hidden="1" outlineLevel="1" x14ac:dyDescent="0.25">
      <c r="A47" s="44"/>
      <c r="B47" s="11" t="str">
        <f>CONCATENATE("          ", "5003", " - ", "PURCHASES @ COST-RENTAL TEXT")</f>
        <v xml:space="preserve">          5003 - PURCHASES @ COST-RENTAL TEXT</v>
      </c>
      <c r="C47" s="11"/>
      <c r="D47" s="2"/>
      <c r="E47" s="2"/>
      <c r="F47" s="19">
        <f t="shared" si="14"/>
        <v>0</v>
      </c>
      <c r="G47" s="2"/>
      <c r="H47" s="2">
        <v>811.08</v>
      </c>
      <c r="I47" s="2"/>
      <c r="J47" s="19">
        <f t="shared" si="15"/>
        <v>3.003127980615999E-2</v>
      </c>
      <c r="K47" s="2"/>
      <c r="L47" s="2">
        <f t="shared" si="16"/>
        <v>-811.08</v>
      </c>
      <c r="M47" s="2"/>
      <c r="N47" s="19">
        <f t="shared" si="17"/>
        <v>-1</v>
      </c>
      <c r="O47" s="11"/>
      <c r="P47" s="2">
        <v>-78.400000000000006</v>
      </c>
      <c r="Q47" s="2"/>
      <c r="R47" s="19">
        <f t="shared" si="18"/>
        <v>-1.6103150108288655E-5</v>
      </c>
      <c r="S47" s="2"/>
      <c r="T47" s="2">
        <v>15629.58</v>
      </c>
      <c r="U47" s="2"/>
      <c r="V47" s="19">
        <f t="shared" si="19"/>
        <v>2.6483218755711442E-3</v>
      </c>
      <c r="W47" s="2"/>
      <c r="X47" s="2">
        <f t="shared" si="20"/>
        <v>-15707.98</v>
      </c>
      <c r="Y47" s="2"/>
      <c r="Z47" s="19">
        <f t="shared" si="21"/>
        <v>-1.0050161296720705</v>
      </c>
    </row>
    <row r="48" spans="1:26" s="24" customFormat="1" hidden="1" outlineLevel="1" x14ac:dyDescent="0.25">
      <c r="A48" s="44"/>
      <c r="B48" s="11" t="str">
        <f>CONCATENATE("          ", "5004", " - ", "PURCHASES @ COST-DIGITAL TEXT")</f>
        <v xml:space="preserve">          5004 - PURCHASES @ COST-DIGITAL TEXT</v>
      </c>
      <c r="C48" s="11"/>
      <c r="D48" s="2">
        <v>54465.03</v>
      </c>
      <c r="E48" s="2"/>
      <c r="F48" s="19">
        <f t="shared" si="14"/>
        <v>1.6629223328834966</v>
      </c>
      <c r="G48" s="2"/>
      <c r="H48" s="2">
        <v>-10175.74</v>
      </c>
      <c r="I48" s="2"/>
      <c r="J48" s="19">
        <f t="shared" si="15"/>
        <v>-0.37676985645649558</v>
      </c>
      <c r="K48" s="2"/>
      <c r="L48" s="2">
        <f t="shared" si="16"/>
        <v>64640.77</v>
      </c>
      <c r="M48" s="2"/>
      <c r="N48" s="19">
        <f t="shared" si="17"/>
        <v>-6.352439232920652</v>
      </c>
      <c r="O48" s="11"/>
      <c r="P48" s="2">
        <v>492787.91</v>
      </c>
      <c r="Q48" s="2"/>
      <c r="R48" s="19">
        <f t="shared" si="18"/>
        <v>0.10121731742703875</v>
      </c>
      <c r="S48" s="2"/>
      <c r="T48" s="2">
        <v>483690.86000000004</v>
      </c>
      <c r="U48" s="2"/>
      <c r="V48" s="19">
        <f t="shared" si="19"/>
        <v>8.1957997946958266E-2</v>
      </c>
      <c r="W48" s="2"/>
      <c r="X48" s="2">
        <f t="shared" si="20"/>
        <v>9097.0499999999302</v>
      </c>
      <c r="Y48" s="2"/>
      <c r="Z48" s="19">
        <f t="shared" si="21"/>
        <v>1.8807570604083626E-2</v>
      </c>
    </row>
    <row r="49" spans="1:26" s="24" customFormat="1" hidden="1" outlineLevel="1" x14ac:dyDescent="0.25">
      <c r="A49" s="44"/>
      <c r="B49" s="11" t="str">
        <f>CONCATENATE("          ", "5011", " - ", "PURCHASES @ COST-NO VALUE TEXT")</f>
        <v xml:space="preserve">          5011 - PURCHASES @ COST-NO VALUE TEXT</v>
      </c>
      <c r="C49" s="11"/>
      <c r="D49" s="2">
        <v>42</v>
      </c>
      <c r="E49" s="2"/>
      <c r="F49" s="19">
        <f t="shared" si="14"/>
        <v>1.2823409439250625E-3</v>
      </c>
      <c r="G49" s="2"/>
      <c r="H49" s="2">
        <v>339</v>
      </c>
      <c r="I49" s="2"/>
      <c r="J49" s="19">
        <f t="shared" si="15"/>
        <v>1.2551910852552445E-2</v>
      </c>
      <c r="K49" s="2"/>
      <c r="L49" s="2">
        <f t="shared" si="16"/>
        <v>-297</v>
      </c>
      <c r="M49" s="2"/>
      <c r="N49" s="19">
        <f t="shared" si="17"/>
        <v>-0.87610619469026552</v>
      </c>
      <c r="O49" s="11"/>
      <c r="P49" s="2">
        <v>6363</v>
      </c>
      <c r="Q49" s="2"/>
      <c r="R49" s="19">
        <f t="shared" si="18"/>
        <v>1.3069431650387844E-3</v>
      </c>
      <c r="S49" s="2"/>
      <c r="T49" s="2">
        <v>3507</v>
      </c>
      <c r="U49" s="2"/>
      <c r="V49" s="19">
        <f t="shared" si="19"/>
        <v>5.9423636576465928E-4</v>
      </c>
      <c r="W49" s="2"/>
      <c r="X49" s="2">
        <f t="shared" si="20"/>
        <v>2856</v>
      </c>
      <c r="Y49" s="2"/>
      <c r="Z49" s="19">
        <f t="shared" si="21"/>
        <v>0.81437125748502992</v>
      </c>
    </row>
    <row r="50" spans="1:26" s="24" customFormat="1" hidden="1" outlineLevel="1" x14ac:dyDescent="0.25">
      <c r="A50" s="44"/>
      <c r="B50" s="11" t="str">
        <f>CONCATENATE("          ", "5013", " - ", "PURCHASES @ COST-TRADE BOOKS")</f>
        <v xml:space="preserve">          5013 - PURCHASES @ COST-TRADE BOOKS</v>
      </c>
      <c r="C50" s="11"/>
      <c r="D50" s="2">
        <v>-3150.69</v>
      </c>
      <c r="E50" s="2"/>
      <c r="F50" s="19">
        <f t="shared" si="14"/>
        <v>-9.6196637824172759E-2</v>
      </c>
      <c r="G50" s="2"/>
      <c r="H50" s="2">
        <v>501.57</v>
      </c>
      <c r="I50" s="2"/>
      <c r="J50" s="19">
        <f t="shared" si="15"/>
        <v>1.8571274118922506E-2</v>
      </c>
      <c r="K50" s="2"/>
      <c r="L50" s="2">
        <f t="shared" si="16"/>
        <v>-3652.26</v>
      </c>
      <c r="M50" s="2"/>
      <c r="N50" s="19">
        <f t="shared" si="17"/>
        <v>-7.2816556014115683</v>
      </c>
      <c r="O50" s="11"/>
      <c r="P50" s="2">
        <v>3197.85</v>
      </c>
      <c r="Q50" s="2"/>
      <c r="R50" s="19">
        <f t="shared" si="18"/>
        <v>6.5682982874733253E-4</v>
      </c>
      <c r="S50" s="2"/>
      <c r="T50" s="2">
        <v>6141.67</v>
      </c>
      <c r="U50" s="2"/>
      <c r="V50" s="19">
        <f t="shared" si="19"/>
        <v>1.0406625778516781E-3</v>
      </c>
      <c r="W50" s="2"/>
      <c r="X50" s="2">
        <f t="shared" si="20"/>
        <v>-2943.82</v>
      </c>
      <c r="Y50" s="2"/>
      <c r="Z50" s="19">
        <f t="shared" si="21"/>
        <v>-0.47931914283899985</v>
      </c>
    </row>
    <row r="51" spans="1:26" s="24" customFormat="1" hidden="1" outlineLevel="1" x14ac:dyDescent="0.25">
      <c r="A51" s="44"/>
      <c r="B51" s="11" t="str">
        <f>CONCATENATE("          ", "5014", " - ", "PURCHASES @ COST-REMAINDERS")</f>
        <v xml:space="preserve">          5014 - PURCHASES @ COST-REMAINDERS</v>
      </c>
      <c r="C51" s="11"/>
      <c r="D51" s="2"/>
      <c r="E51" s="2"/>
      <c r="F51" s="19">
        <f t="shared" si="14"/>
        <v>0</v>
      </c>
      <c r="G51" s="2"/>
      <c r="H51" s="2">
        <v>64.849999999999994</v>
      </c>
      <c r="I51" s="2"/>
      <c r="J51" s="19">
        <f t="shared" si="15"/>
        <v>2.4011546276932918E-3</v>
      </c>
      <c r="K51" s="2"/>
      <c r="L51" s="2">
        <f t="shared" si="16"/>
        <v>-64.849999999999994</v>
      </c>
      <c r="M51" s="2"/>
      <c r="N51" s="19">
        <f t="shared" si="17"/>
        <v>-1</v>
      </c>
      <c r="O51" s="11"/>
      <c r="P51" s="2">
        <v>600.61</v>
      </c>
      <c r="Q51" s="2"/>
      <c r="R51" s="19">
        <f t="shared" si="18"/>
        <v>1.2336368605279653E-4</v>
      </c>
      <c r="S51" s="2"/>
      <c r="T51" s="2">
        <v>1122.1600000000001</v>
      </c>
      <c r="U51" s="2"/>
      <c r="V51" s="19">
        <f t="shared" si="19"/>
        <v>1.9014208161005706E-4</v>
      </c>
      <c r="W51" s="2"/>
      <c r="X51" s="2">
        <f t="shared" si="20"/>
        <v>-521.55000000000007</v>
      </c>
      <c r="Y51" s="2"/>
      <c r="Z51" s="19">
        <f t="shared" si="21"/>
        <v>-0.4647732943608755</v>
      </c>
    </row>
    <row r="52" spans="1:26" s="24" customFormat="1" hidden="1" outlineLevel="1" x14ac:dyDescent="0.25">
      <c r="A52" s="44"/>
      <c r="B52" s="11" t="str">
        <f>CONCATENATE("          ", "5018", " - ", "PURCHASES @ COST-STUDY GUIDES")</f>
        <v xml:space="preserve">          5018 - PURCHASES @ COST-STUDY GUIDES</v>
      </c>
      <c r="C52" s="11"/>
      <c r="D52" s="2">
        <v>-2582.4699999999998</v>
      </c>
      <c r="E52" s="2"/>
      <c r="F52" s="19">
        <f t="shared" si="14"/>
        <v>-7.8847786129956104E-2</v>
      </c>
      <c r="G52" s="2"/>
      <c r="H52" s="2"/>
      <c r="I52" s="2"/>
      <c r="J52" s="19">
        <f t="shared" si="15"/>
        <v>0</v>
      </c>
      <c r="K52" s="2"/>
      <c r="L52" s="2">
        <f t="shared" si="16"/>
        <v>-2582.4699999999998</v>
      </c>
      <c r="M52" s="2"/>
      <c r="N52" s="19">
        <f t="shared" si="17"/>
        <v>0</v>
      </c>
      <c r="O52" s="11"/>
      <c r="P52" s="2">
        <v>-205.14</v>
      </c>
      <c r="Q52" s="2"/>
      <c r="R52" s="19">
        <f t="shared" si="18"/>
        <v>-4.2135206801203239E-5</v>
      </c>
      <c r="S52" s="2"/>
      <c r="T52" s="2">
        <v>2393.92</v>
      </c>
      <c r="U52" s="2"/>
      <c r="V52" s="19">
        <f t="shared" si="19"/>
        <v>4.0563282598555264E-4</v>
      </c>
      <c r="W52" s="2"/>
      <c r="X52" s="2">
        <f t="shared" si="20"/>
        <v>-2599.06</v>
      </c>
      <c r="Y52" s="2"/>
      <c r="Z52" s="19">
        <f t="shared" si="21"/>
        <v>-1.0856920866194359</v>
      </c>
    </row>
    <row r="53" spans="1:26" s="24" customFormat="1" hidden="1" outlineLevel="1" x14ac:dyDescent="0.2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-6867</v>
      </c>
      <c r="E53" s="2"/>
      <c r="F53" s="19">
        <f t="shared" si="14"/>
        <v>-0.20966274433174775</v>
      </c>
      <c r="G53" s="2"/>
      <c r="H53" s="2">
        <v>296623</v>
      </c>
      <c r="I53" s="2"/>
      <c r="J53" s="19">
        <f t="shared" si="15"/>
        <v>10.982847943411986</v>
      </c>
      <c r="K53" s="2"/>
      <c r="L53" s="2">
        <f t="shared" si="16"/>
        <v>-303490</v>
      </c>
      <c r="M53" s="2"/>
      <c r="N53" s="19">
        <f t="shared" si="17"/>
        <v>-1.0231505985712503</v>
      </c>
      <c r="O53" s="11"/>
      <c r="P53" s="2">
        <v>-1586767</v>
      </c>
      <c r="Q53" s="2"/>
      <c r="R53" s="19">
        <f t="shared" si="18"/>
        <v>-0.32591769372294466</v>
      </c>
      <c r="S53" s="2"/>
      <c r="T53" s="2">
        <v>-1804018</v>
      </c>
      <c r="U53" s="2"/>
      <c r="V53" s="19">
        <f t="shared" si="19"/>
        <v>-0.30567810096778703</v>
      </c>
      <c r="W53" s="2"/>
      <c r="X53" s="2">
        <f t="shared" si="20"/>
        <v>217251</v>
      </c>
      <c r="Y53" s="2"/>
      <c r="Z53" s="19">
        <f t="shared" si="21"/>
        <v>-0.12042618200040132</v>
      </c>
    </row>
    <row r="54" spans="1:26" s="24" customFormat="1" hidden="1" outlineLevel="1" x14ac:dyDescent="0.25">
      <c r="A54" s="44"/>
      <c r="B54" s="11" t="str">
        <f>CONCATENATE("          ", "5300", " - ", "COG$ OFFSET")</f>
        <v xml:space="preserve">          5300 - COG$ OFFSET</v>
      </c>
      <c r="C54" s="11"/>
      <c r="D54" s="2">
        <v>3319</v>
      </c>
      <c r="E54" s="2"/>
      <c r="F54" s="19">
        <f t="shared" si="14"/>
        <v>0.10133546649731626</v>
      </c>
      <c r="G54" s="2"/>
      <c r="H54" s="2">
        <v>13915</v>
      </c>
      <c r="I54" s="2"/>
      <c r="J54" s="19">
        <f t="shared" si="15"/>
        <v>0.51522076552586216</v>
      </c>
      <c r="K54" s="2"/>
      <c r="L54" s="2">
        <f t="shared" si="16"/>
        <v>-10596</v>
      </c>
      <c r="M54" s="2"/>
      <c r="N54" s="19">
        <f t="shared" si="17"/>
        <v>-0.76148041681638523</v>
      </c>
      <c r="O54" s="11"/>
      <c r="P54" s="2">
        <v>2317528.4699999997</v>
      </c>
      <c r="Q54" s="2"/>
      <c r="R54" s="19">
        <f t="shared" si="18"/>
        <v>0.47601414327350167</v>
      </c>
      <c r="S54" s="2"/>
      <c r="T54" s="2">
        <v>2742426</v>
      </c>
      <c r="U54" s="2"/>
      <c r="V54" s="19">
        <f t="shared" si="19"/>
        <v>0.46468470476718321</v>
      </c>
      <c r="W54" s="2"/>
      <c r="X54" s="2">
        <f t="shared" si="20"/>
        <v>-424897.53000000026</v>
      </c>
      <c r="Y54" s="2"/>
      <c r="Z54" s="19">
        <f t="shared" si="21"/>
        <v>-0.15493491164392412</v>
      </c>
    </row>
    <row r="55" spans="1:26" s="24" customFormat="1" hidden="1" outlineLevel="1" x14ac:dyDescent="0.25">
      <c r="A55" s="44"/>
      <c r="B55" s="11" t="str">
        <f>CONCATENATE("          ", "5500", " - ", "FREIGHT-IN")</f>
        <v xml:space="preserve">          5500 - FREIGHT-IN</v>
      </c>
      <c r="C55" s="11"/>
      <c r="D55" s="2"/>
      <c r="E55" s="2"/>
      <c r="F55" s="19">
        <f t="shared" si="14"/>
        <v>0</v>
      </c>
      <c r="G55" s="2"/>
      <c r="H55" s="2"/>
      <c r="I55" s="2"/>
      <c r="J55" s="19">
        <f t="shared" si="15"/>
        <v>0</v>
      </c>
      <c r="K55" s="2"/>
      <c r="L55" s="2">
        <f t="shared" si="16"/>
        <v>0</v>
      </c>
      <c r="M55" s="2"/>
      <c r="N55" s="19">
        <f t="shared" si="17"/>
        <v>0</v>
      </c>
      <c r="O55" s="11"/>
      <c r="P55" s="2">
        <v>41.25</v>
      </c>
      <c r="Q55" s="2"/>
      <c r="R55" s="19">
        <f t="shared" si="18"/>
        <v>8.4726395659044256E-6</v>
      </c>
      <c r="S55" s="2"/>
      <c r="T55" s="2">
        <v>174.83</v>
      </c>
      <c r="U55" s="2"/>
      <c r="V55" s="19">
        <f t="shared" si="19"/>
        <v>2.9623707963112458E-5</v>
      </c>
      <c r="W55" s="2"/>
      <c r="X55" s="2">
        <f t="shared" si="20"/>
        <v>-133.58000000000001</v>
      </c>
      <c r="Y55" s="2"/>
      <c r="Z55" s="19">
        <f t="shared" si="21"/>
        <v>-0.7640565120402677</v>
      </c>
    </row>
    <row r="56" spans="1:26" s="24" customFormat="1" hidden="1" outlineLevel="1" x14ac:dyDescent="0.25">
      <c r="A56" s="44"/>
      <c r="B56" s="11" t="str">
        <f>CONCATENATE("          ", "5501", " - ", "FREIGHT-IN-NEW TEXT")</f>
        <v xml:space="preserve">          5501 - FREIGHT-IN-NEW TEXT</v>
      </c>
      <c r="C56" s="11"/>
      <c r="D56" s="2">
        <v>2428.4</v>
      </c>
      <c r="E56" s="2"/>
      <c r="F56" s="19">
        <f t="shared" si="14"/>
        <v>7.4143732100657667E-2</v>
      </c>
      <c r="G56" s="2"/>
      <c r="H56" s="2">
        <v>105.61</v>
      </c>
      <c r="I56" s="2"/>
      <c r="J56" s="19">
        <f t="shared" si="15"/>
        <v>3.9103460328556447E-3</v>
      </c>
      <c r="K56" s="2"/>
      <c r="L56" s="2">
        <f t="shared" si="16"/>
        <v>2322.79</v>
      </c>
      <c r="M56" s="2"/>
      <c r="N56" s="19">
        <f t="shared" si="17"/>
        <v>21.994034655809109</v>
      </c>
      <c r="O56" s="11"/>
      <c r="P56" s="2">
        <v>69768.95</v>
      </c>
      <c r="Q56" s="2"/>
      <c r="R56" s="19">
        <f t="shared" si="18"/>
        <v>1.433035554525109E-2</v>
      </c>
      <c r="S56" s="2"/>
      <c r="T56" s="2">
        <v>62766.54</v>
      </c>
      <c r="U56" s="2"/>
      <c r="V56" s="19">
        <f t="shared" si="19"/>
        <v>1.0635346627094986E-2</v>
      </c>
      <c r="W56" s="2"/>
      <c r="X56" s="2">
        <f t="shared" si="20"/>
        <v>7002.4099999999962</v>
      </c>
      <c r="Y56" s="2"/>
      <c r="Z56" s="19">
        <f t="shared" si="21"/>
        <v>0.11156278488506768</v>
      </c>
    </row>
    <row r="57" spans="1:26" s="24" customFormat="1" hidden="1" outlineLevel="1" x14ac:dyDescent="0.25">
      <c r="A57" s="44"/>
      <c r="B57" s="11" t="str">
        <f>CONCATENATE("          ", "5502", " - ", "FREIGHT-IN-USED TEXT")</f>
        <v xml:space="preserve">          5502 - FREIGHT-IN-USED TEXT</v>
      </c>
      <c r="C57" s="11"/>
      <c r="D57" s="2">
        <v>36.700000000000003</v>
      </c>
      <c r="E57" s="2"/>
      <c r="F57" s="19">
        <f t="shared" si="14"/>
        <v>1.1205217295726143E-3</v>
      </c>
      <c r="G57" s="2"/>
      <c r="H57" s="2">
        <v>107.69</v>
      </c>
      <c r="I57" s="2"/>
      <c r="J57" s="19">
        <f t="shared" si="15"/>
        <v>3.9873607071131941E-3</v>
      </c>
      <c r="K57" s="2"/>
      <c r="L57" s="2">
        <f t="shared" si="16"/>
        <v>-70.989999999999995</v>
      </c>
      <c r="M57" s="2"/>
      <c r="N57" s="19">
        <f t="shared" si="17"/>
        <v>-0.65920698300677871</v>
      </c>
      <c r="O57" s="11"/>
      <c r="P57" s="2">
        <v>15301.34</v>
      </c>
      <c r="Q57" s="2"/>
      <c r="R57" s="19">
        <f t="shared" si="18"/>
        <v>3.1428542714025702E-3</v>
      </c>
      <c r="S57" s="2"/>
      <c r="T57" s="2">
        <v>13737.1</v>
      </c>
      <c r="U57" s="2"/>
      <c r="V57" s="19">
        <f t="shared" si="19"/>
        <v>2.3276545138710297E-3</v>
      </c>
      <c r="W57" s="2"/>
      <c r="X57" s="2">
        <f t="shared" si="20"/>
        <v>1564.2399999999998</v>
      </c>
      <c r="Y57" s="2"/>
      <c r="Z57" s="19">
        <f t="shared" si="21"/>
        <v>0.11386973961025251</v>
      </c>
    </row>
    <row r="58" spans="1:26" s="24" customFormat="1" hidden="1" outlineLevel="1" x14ac:dyDescent="0.25">
      <c r="A58" s="44"/>
      <c r="B58" s="11" t="str">
        <f>CONCATENATE("          ", "5504", " - ", "FREIGHT-IN-DIGITAL TEXT")</f>
        <v xml:space="preserve">          5504 - FREIGHT-IN-DIGITAL TEXT</v>
      </c>
      <c r="C58" s="11"/>
      <c r="D58" s="2"/>
      <c r="E58" s="2"/>
      <c r="F58" s="19">
        <f t="shared" si="14"/>
        <v>0</v>
      </c>
      <c r="G58" s="2"/>
      <c r="H58" s="2"/>
      <c r="I58" s="2"/>
      <c r="J58" s="19">
        <f t="shared" si="15"/>
        <v>0</v>
      </c>
      <c r="K58" s="2"/>
      <c r="L58" s="2">
        <f t="shared" si="16"/>
        <v>0</v>
      </c>
      <c r="M58" s="2"/>
      <c r="N58" s="19">
        <f t="shared" si="17"/>
        <v>0</v>
      </c>
      <c r="O58" s="11"/>
      <c r="P58" s="2">
        <v>118.75</v>
      </c>
      <c r="Q58" s="2"/>
      <c r="R58" s="19">
        <f t="shared" si="18"/>
        <v>2.4390932083664254E-5</v>
      </c>
      <c r="S58" s="2"/>
      <c r="T58" s="2">
        <v>243.53</v>
      </c>
      <c r="U58" s="2"/>
      <c r="V58" s="19">
        <f t="shared" si="19"/>
        <v>4.1264437454995002E-5</v>
      </c>
      <c r="W58" s="2"/>
      <c r="X58" s="2">
        <f t="shared" si="20"/>
        <v>-124.78</v>
      </c>
      <c r="Y58" s="2"/>
      <c r="Z58" s="19">
        <f t="shared" si="21"/>
        <v>-0.5123804048782491</v>
      </c>
    </row>
    <row r="59" spans="1:26" s="24" customFormat="1" hidden="1" outlineLevel="1" x14ac:dyDescent="0.25">
      <c r="A59" s="44"/>
      <c r="B59" s="11" t="str">
        <f>CONCATENATE("          ", "5513", " - ", "FREIGHT-IN-TRADE BOOKS")</f>
        <v xml:space="preserve">          5513 - FREIGHT-IN-TRADE BOOKS</v>
      </c>
      <c r="C59" s="11"/>
      <c r="D59" s="2"/>
      <c r="E59" s="2"/>
      <c r="F59" s="19">
        <f t="shared" si="14"/>
        <v>0</v>
      </c>
      <c r="G59" s="2"/>
      <c r="H59" s="2">
        <v>40.18</v>
      </c>
      <c r="I59" s="2"/>
      <c r="J59" s="19">
        <f t="shared" si="15"/>
        <v>1.4877161594559209E-3</v>
      </c>
      <c r="K59" s="2"/>
      <c r="L59" s="2">
        <f t="shared" si="16"/>
        <v>-40.18</v>
      </c>
      <c r="M59" s="2"/>
      <c r="N59" s="19">
        <f t="shared" si="17"/>
        <v>-1</v>
      </c>
      <c r="O59" s="11"/>
      <c r="P59" s="2">
        <v>30.24</v>
      </c>
      <c r="Q59" s="2"/>
      <c r="R59" s="19">
        <f t="shared" si="18"/>
        <v>6.2112150417684797E-6</v>
      </c>
      <c r="S59" s="2"/>
      <c r="T59" s="2">
        <v>54.9</v>
      </c>
      <c r="U59" s="2"/>
      <c r="V59" s="19">
        <f t="shared" si="19"/>
        <v>9.3024170175305944E-6</v>
      </c>
      <c r="W59" s="2"/>
      <c r="X59" s="2">
        <f t="shared" si="20"/>
        <v>-24.66</v>
      </c>
      <c r="Y59" s="2"/>
      <c r="Z59" s="19">
        <f t="shared" si="21"/>
        <v>-0.44918032786885248</v>
      </c>
    </row>
    <row r="60" spans="1:26" s="24" customFormat="1" hidden="1" outlineLevel="1" x14ac:dyDescent="0.25">
      <c r="A60" s="44"/>
      <c r="B60" s="11" t="str">
        <f>CONCATENATE("          ", "5518", " - ", "FREIGHT-IN-STUDY GUIDES")</f>
        <v xml:space="preserve">          5518 - FREIGHT-IN-STUDY GUIDES</v>
      </c>
      <c r="C60" s="11"/>
      <c r="D60" s="2"/>
      <c r="E60" s="2"/>
      <c r="F60" s="19">
        <f t="shared" si="14"/>
        <v>0</v>
      </c>
      <c r="G60" s="2"/>
      <c r="H60" s="2"/>
      <c r="I60" s="2"/>
      <c r="J60" s="19">
        <f t="shared" si="15"/>
        <v>0</v>
      </c>
      <c r="K60" s="2"/>
      <c r="L60" s="2">
        <f t="shared" si="16"/>
        <v>0</v>
      </c>
      <c r="M60" s="2"/>
      <c r="N60" s="19">
        <f t="shared" si="17"/>
        <v>0</v>
      </c>
      <c r="O60" s="11"/>
      <c r="P60" s="2">
        <v>21.13</v>
      </c>
      <c r="Q60" s="2"/>
      <c r="R60" s="19">
        <f t="shared" si="18"/>
        <v>4.3400454309711637E-6</v>
      </c>
      <c r="S60" s="2"/>
      <c r="T60" s="2"/>
      <c r="U60" s="2"/>
      <c r="V60" s="19">
        <f t="shared" si="19"/>
        <v>0</v>
      </c>
      <c r="W60" s="2"/>
      <c r="X60" s="2">
        <f t="shared" si="20"/>
        <v>21.13</v>
      </c>
      <c r="Y60" s="2"/>
      <c r="Z60" s="19">
        <f t="shared" si="21"/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8" t="s">
        <v>6</v>
      </c>
      <c r="C62" s="28"/>
      <c r="D62" s="21">
        <f>D12-D44</f>
        <v>13091.829999999998</v>
      </c>
      <c r="E62" s="14"/>
      <c r="F62" s="20">
        <f>IF(D$12=0,0,D62/D$12)</f>
        <v>0.39971880095015361</v>
      </c>
      <c r="G62" s="14"/>
      <c r="H62" s="21">
        <f>H12-H44</f>
        <v>16724.990000000005</v>
      </c>
      <c r="I62" s="14"/>
      <c r="J62" s="20">
        <f>IF(H$12=0,0,H62/H$12)</f>
        <v>0.61926425808209784</v>
      </c>
      <c r="K62" s="15"/>
      <c r="L62" s="21">
        <f>+D62-H62</f>
        <v>-3633.1600000000071</v>
      </c>
      <c r="M62" s="15"/>
      <c r="N62" s="20">
        <f>IF(H62=0,0,L62/H62)</f>
        <v>-0.21722942734195991</v>
      </c>
      <c r="O62" s="29"/>
      <c r="P62" s="21">
        <f>P12-P44</f>
        <v>1384568.6399999997</v>
      </c>
      <c r="Q62" s="14"/>
      <c r="R62" s="20">
        <f>IF(P$12=0,0,P62/P$12)</f>
        <v>0.28438669190241156</v>
      </c>
      <c r="S62" s="14"/>
      <c r="T62" s="21">
        <f>T12-T44</f>
        <v>1640049.9300000006</v>
      </c>
      <c r="U62" s="14"/>
      <c r="V62" s="20">
        <f>IF(T$12=0,0,T62/T$12)</f>
        <v>0.27789487028109044</v>
      </c>
      <c r="W62" s="15"/>
      <c r="X62" s="21">
        <f>+P62-T62</f>
        <v>-255481.29000000097</v>
      </c>
      <c r="Y62" s="15"/>
      <c r="Z62" s="20">
        <f>IF(T62=0,0,X62/T62)</f>
        <v>-0.15577653175473802</v>
      </c>
    </row>
    <row r="63" spans="1:26" x14ac:dyDescent="0.25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9" t="s">
        <v>9</v>
      </c>
      <c r="C64" s="10"/>
      <c r="D64" s="22">
        <f>SUM(OSRRefD22x_0)</f>
        <v>51861.900000000009</v>
      </c>
      <c r="E64" s="22"/>
      <c r="F64" s="35">
        <f t="shared" ref="F64:F74" si="22">IF(D$12=0,0,D64/D$12)</f>
        <v>1.5834437571368385</v>
      </c>
      <c r="G64" s="22"/>
      <c r="H64" s="22">
        <f>SUM(OSRRefH22x_0)</f>
        <v>68988.149999999994</v>
      </c>
      <c r="I64" s="22"/>
      <c r="J64" s="35">
        <f t="shared" ref="J64:J74" si="23">IF(H$12=0,0,H64/H$12)</f>
        <v>2.5543749518658285</v>
      </c>
      <c r="K64" s="4"/>
      <c r="L64" s="22">
        <f t="shared" ref="L64:L74" si="24">+D64-H64</f>
        <v>-17126.249999999985</v>
      </c>
      <c r="M64" s="4"/>
      <c r="N64" s="35">
        <f t="shared" ref="N64:N74" si="25">IF(H64=0,0,L64/H64)</f>
        <v>-0.24824915583328422</v>
      </c>
      <c r="O64" s="10"/>
      <c r="P64" s="22">
        <f>SUM(OSRRefP22x_0)</f>
        <v>470997.50000000006</v>
      </c>
      <c r="Q64" s="22"/>
      <c r="R64" s="35">
        <f t="shared" ref="R64:R74" si="26">IF(P$12=0,0,P64/P$12)</f>
        <v>9.6741625550110788E-2</v>
      </c>
      <c r="S64" s="22"/>
      <c r="T64" s="22">
        <f>SUM(OSRRefT22x_0)</f>
        <v>600917.54999999981</v>
      </c>
      <c r="U64" s="22"/>
      <c r="V64" s="35">
        <f t="shared" ref="V64:V74" si="27">IF(T$12=0,0,T64/T$12)</f>
        <v>0.10182123211753716</v>
      </c>
      <c r="W64" s="4"/>
      <c r="X64" s="22">
        <f t="shared" ref="X64:X74" si="28">+P64-T64</f>
        <v>-129920.04999999976</v>
      </c>
      <c r="Y64" s="4"/>
      <c r="Z64" s="35">
        <f t="shared" ref="Z64:Z74" si="29">IF(T64=0,0,X64/T64)</f>
        <v>-0.21620278855227276</v>
      </c>
    </row>
    <row r="65" spans="1:26" s="25" customFormat="1" outlineLevel="1" collapsed="1" x14ac:dyDescent="0.25">
      <c r="A65" s="26"/>
      <c r="B65" s="13" t="str">
        <f>CONCATENATE("     ","*Benefits                                         ")</f>
        <v xml:space="preserve">     *Benefits                                         </v>
      </c>
      <c r="C65" s="13"/>
      <c r="D65" s="1">
        <f>SUM(OSRRefD22_0x_0)</f>
        <v>12230.73</v>
      </c>
      <c r="E65" s="1"/>
      <c r="F65" s="5">
        <f t="shared" si="22"/>
        <v>0.37342775840696618</v>
      </c>
      <c r="G65" s="1"/>
      <c r="H65" s="1">
        <f>SUM(OSRRefH22_0x_0)</f>
        <v>11894</v>
      </c>
      <c r="I65" s="1"/>
      <c r="J65" s="5">
        <f t="shared" si="23"/>
        <v>0.44039064212465712</v>
      </c>
      <c r="K65" s="1"/>
      <c r="L65" s="1">
        <f t="shared" si="24"/>
        <v>336.72999999999956</v>
      </c>
      <c r="M65" s="1"/>
      <c r="N65" s="5">
        <f t="shared" si="25"/>
        <v>2.8310913065411093E-2</v>
      </c>
      <c r="O65" s="13"/>
      <c r="P65" s="1">
        <f>SUM(OSRRefP22_0x_0)</f>
        <v>106386.24999999999</v>
      </c>
      <c r="Q65" s="1"/>
      <c r="R65" s="5">
        <f t="shared" si="26"/>
        <v>2.1851450933774535E-2</v>
      </c>
      <c r="S65" s="1"/>
      <c r="T65" s="1">
        <f>SUM(OSRRefT22_0x_0)</f>
        <v>125708.68999999999</v>
      </c>
      <c r="U65" s="1"/>
      <c r="V65" s="5">
        <f t="shared" si="27"/>
        <v>2.1300449127640765E-2</v>
      </c>
      <c r="W65" s="1"/>
      <c r="X65" s="1">
        <f t="shared" si="28"/>
        <v>-19322.440000000002</v>
      </c>
      <c r="Y65" s="1"/>
      <c r="Z65" s="5">
        <f t="shared" si="29"/>
        <v>-0.15370806902848166</v>
      </c>
    </row>
    <row r="66" spans="1:26" s="24" customFormat="1" hidden="1" outlineLevel="2" x14ac:dyDescent="0.25">
      <c r="A66" s="27"/>
      <c r="B66" s="11" t="str">
        <f>CONCATENATE("          ", "6111", " - ", "F.I.C.A.")</f>
        <v xml:space="preserve">          6111 - F.I.C.A.</v>
      </c>
      <c r="C66" s="11"/>
      <c r="D66" s="6">
        <v>2530.4499999999998</v>
      </c>
      <c r="E66" s="2"/>
      <c r="F66" s="7">
        <f t="shared" si="22"/>
        <v>7.7259515275123203E-2</v>
      </c>
      <c r="G66" s="2"/>
      <c r="H66" s="6">
        <v>1640.54</v>
      </c>
      <c r="I66" s="2"/>
      <c r="J66" s="7">
        <f t="shared" si="23"/>
        <v>6.0743102743499665E-2</v>
      </c>
      <c r="K66" s="2"/>
      <c r="L66" s="6">
        <f t="shared" si="24"/>
        <v>889.90999999999985</v>
      </c>
      <c r="M66" s="2"/>
      <c r="N66" s="7">
        <f t="shared" si="25"/>
        <v>0.54244943738037465</v>
      </c>
      <c r="O66" s="11"/>
      <c r="P66" s="6">
        <v>18289.75</v>
      </c>
      <c r="Q66" s="2"/>
      <c r="R66" s="7">
        <f t="shared" si="26"/>
        <v>3.7566656848606172E-3</v>
      </c>
      <c r="S66" s="2"/>
      <c r="T66" s="6">
        <v>19622.05</v>
      </c>
      <c r="U66" s="2"/>
      <c r="V66" s="7">
        <f t="shared" si="27"/>
        <v>3.3248177019824443E-3</v>
      </c>
      <c r="W66" s="2"/>
      <c r="X66" s="6">
        <f t="shared" si="28"/>
        <v>-1332.2999999999993</v>
      </c>
      <c r="Y66" s="2"/>
      <c r="Z66" s="7">
        <f t="shared" si="29"/>
        <v>-6.7898104428436343E-2</v>
      </c>
    </row>
    <row r="67" spans="1:26" s="24" customFormat="1" hidden="1" outlineLevel="2" x14ac:dyDescent="0.25">
      <c r="A67" s="27"/>
      <c r="B67" s="11" t="str">
        <f>CONCATENATE("          ", "6112", " - ", "COMPENSATION INSURANCE")</f>
        <v xml:space="preserve">          6112 - COMPENSATION INSURANCE</v>
      </c>
      <c r="C67" s="11"/>
      <c r="D67" s="6">
        <v>155.25</v>
      </c>
      <c r="E67" s="2"/>
      <c r="F67" s="7">
        <f t="shared" si="22"/>
        <v>4.7400817034372851E-3</v>
      </c>
      <c r="G67" s="2"/>
      <c r="H67" s="6">
        <v>75.33</v>
      </c>
      <c r="I67" s="2"/>
      <c r="J67" s="7">
        <f t="shared" si="23"/>
        <v>2.789190101837096E-3</v>
      </c>
      <c r="K67" s="2"/>
      <c r="L67" s="6">
        <f t="shared" si="24"/>
        <v>79.92</v>
      </c>
      <c r="M67" s="2"/>
      <c r="N67" s="7">
        <f t="shared" si="25"/>
        <v>1.0609318996415771</v>
      </c>
      <c r="O67" s="11"/>
      <c r="P67" s="6">
        <v>865.6</v>
      </c>
      <c r="Q67" s="2"/>
      <c r="R67" s="7">
        <f t="shared" si="26"/>
        <v>1.7779192262416655E-4</v>
      </c>
      <c r="S67" s="2"/>
      <c r="T67" s="6">
        <v>788.03</v>
      </c>
      <c r="U67" s="2"/>
      <c r="V67" s="7">
        <f t="shared" si="27"/>
        <v>1.3352611443214268E-4</v>
      </c>
      <c r="W67" s="2"/>
      <c r="X67" s="6">
        <f t="shared" si="28"/>
        <v>77.57000000000005</v>
      </c>
      <c r="Y67" s="2"/>
      <c r="Z67" s="7">
        <f t="shared" si="29"/>
        <v>9.8435338756138788E-2</v>
      </c>
    </row>
    <row r="68" spans="1:26" s="24" customFormat="1" hidden="1" outlineLevel="2" x14ac:dyDescent="0.25">
      <c r="A68" s="27"/>
      <c r="B68" s="11" t="str">
        <f>CONCATENATE("          ", "6113", " - ", "GROUP INSURANCE")</f>
        <v xml:space="preserve">          6113 - GROUP INSURANCE</v>
      </c>
      <c r="C68" s="11"/>
      <c r="D68" s="6">
        <v>4248.21</v>
      </c>
      <c r="E68" s="2"/>
      <c r="F68" s="7">
        <f t="shared" si="22"/>
        <v>0.12970603860456881</v>
      </c>
      <c r="G68" s="2"/>
      <c r="H68" s="6">
        <v>5576.65</v>
      </c>
      <c r="I68" s="2"/>
      <c r="J68" s="7">
        <f t="shared" si="23"/>
        <v>0.20648263615305776</v>
      </c>
      <c r="K68" s="2"/>
      <c r="L68" s="6">
        <f t="shared" si="24"/>
        <v>-1328.4399999999996</v>
      </c>
      <c r="M68" s="2"/>
      <c r="N68" s="7">
        <f t="shared" si="25"/>
        <v>-0.23821469878869925</v>
      </c>
      <c r="O68" s="11"/>
      <c r="P68" s="6">
        <v>42004.259999999995</v>
      </c>
      <c r="Q68" s="2"/>
      <c r="R68" s="7">
        <f t="shared" si="26"/>
        <v>8.6275625506069473E-3</v>
      </c>
      <c r="S68" s="2"/>
      <c r="T68" s="6">
        <v>52540.04</v>
      </c>
      <c r="U68" s="2"/>
      <c r="V68" s="7">
        <f t="shared" si="27"/>
        <v>8.9025384735471422E-3</v>
      </c>
      <c r="W68" s="2"/>
      <c r="X68" s="6">
        <f t="shared" si="28"/>
        <v>-10535.780000000006</v>
      </c>
      <c r="Y68" s="2"/>
      <c r="Z68" s="7">
        <f t="shared" si="29"/>
        <v>-0.20052858734024576</v>
      </c>
    </row>
    <row r="69" spans="1:26" s="24" customFormat="1" hidden="1" outlineLevel="2" x14ac:dyDescent="0.25">
      <c r="A69" s="27"/>
      <c r="B69" s="11" t="str">
        <f>CONCATENATE("          ", "6114", " - ", "STATE UNEMPLOYMENT INSURANCE")</f>
        <v xml:space="preserve">          6114 - STATE UNEMPLOYMENT INSURANCE</v>
      </c>
      <c r="C69" s="11"/>
      <c r="D69" s="6">
        <v>64.3</v>
      </c>
      <c r="E69" s="2"/>
      <c r="F69" s="7">
        <f t="shared" si="22"/>
        <v>1.9632029212947981E-3</v>
      </c>
      <c r="G69" s="2"/>
      <c r="H69" s="6">
        <v>63.18</v>
      </c>
      <c r="I69" s="2"/>
      <c r="J69" s="7">
        <f t="shared" si="23"/>
        <v>2.3393207305730484E-3</v>
      </c>
      <c r="K69" s="2"/>
      <c r="L69" s="6">
        <f t="shared" si="24"/>
        <v>1.1199999999999974</v>
      </c>
      <c r="M69" s="2"/>
      <c r="N69" s="7">
        <f t="shared" si="25"/>
        <v>1.772712883823991E-2</v>
      </c>
      <c r="O69" s="11"/>
      <c r="P69" s="6">
        <v>654.03</v>
      </c>
      <c r="Q69" s="2"/>
      <c r="R69" s="7">
        <f t="shared" si="26"/>
        <v>1.3433601103729628E-4</v>
      </c>
      <c r="S69" s="2"/>
      <c r="T69" s="6">
        <v>759.7</v>
      </c>
      <c r="U69" s="2"/>
      <c r="V69" s="7">
        <f t="shared" si="27"/>
        <v>1.2872579614240425E-4</v>
      </c>
      <c r="W69" s="2"/>
      <c r="X69" s="6">
        <f t="shared" si="28"/>
        <v>-105.67000000000007</v>
      </c>
      <c r="Y69" s="2"/>
      <c r="Z69" s="7">
        <f t="shared" si="29"/>
        <v>-0.13909437936027388</v>
      </c>
    </row>
    <row r="70" spans="1:26" s="24" customFormat="1" hidden="1" outlineLevel="2" x14ac:dyDescent="0.25">
      <c r="A70" s="27"/>
      <c r="B70" s="11" t="str">
        <f>CONCATENATE("          ", "6115", " - ", "P.E.R.S.")</f>
        <v xml:space="preserve">          6115 - P.E.R.S.</v>
      </c>
      <c r="C70" s="11"/>
      <c r="D70" s="6">
        <v>1363.4</v>
      </c>
      <c r="E70" s="2"/>
      <c r="F70" s="7">
        <f t="shared" si="22"/>
        <v>4.1627229593986438E-2</v>
      </c>
      <c r="G70" s="2"/>
      <c r="H70" s="6">
        <v>1209.17</v>
      </c>
      <c r="I70" s="2"/>
      <c r="J70" s="7">
        <f t="shared" si="23"/>
        <v>4.4771073880769438E-2</v>
      </c>
      <c r="K70" s="2"/>
      <c r="L70" s="6">
        <f t="shared" si="24"/>
        <v>154.23000000000002</v>
      </c>
      <c r="M70" s="2"/>
      <c r="N70" s="7">
        <f t="shared" si="25"/>
        <v>0.12755030310047388</v>
      </c>
      <c r="O70" s="11"/>
      <c r="P70" s="6">
        <v>14476.29</v>
      </c>
      <c r="Q70" s="2"/>
      <c r="R70" s="7">
        <f t="shared" si="26"/>
        <v>2.9733912102183411E-3</v>
      </c>
      <c r="S70" s="2"/>
      <c r="T70" s="6">
        <v>13810.76</v>
      </c>
      <c r="U70" s="2"/>
      <c r="V70" s="7">
        <f t="shared" si="27"/>
        <v>2.3401356803102154E-3</v>
      </c>
      <c r="W70" s="2"/>
      <c r="X70" s="6">
        <f t="shared" si="28"/>
        <v>665.53000000000065</v>
      </c>
      <c r="Y70" s="2"/>
      <c r="Z70" s="7">
        <f t="shared" si="29"/>
        <v>4.8189237956491944E-2</v>
      </c>
    </row>
    <row r="71" spans="1:26" s="24" customFormat="1" hidden="1" outlineLevel="2" x14ac:dyDescent="0.25">
      <c r="A71" s="27"/>
      <c r="B71" s="11" t="str">
        <f>CONCATENATE("          ", "6117", " - ", "RETIREMENT STAFF HOURLY")</f>
        <v xml:space="preserve">          6117 - RETIREMENT STAFF HOURLY</v>
      </c>
      <c r="C71" s="11"/>
      <c r="D71" s="6">
        <v>395.56</v>
      </c>
      <c r="E71" s="2"/>
      <c r="F71" s="7">
        <f t="shared" si="22"/>
        <v>1.2077209137595185E-2</v>
      </c>
      <c r="G71" s="2"/>
      <c r="H71" s="6">
        <v>386.43</v>
      </c>
      <c r="I71" s="2"/>
      <c r="J71" s="7">
        <f t="shared" si="23"/>
        <v>1.4308067583338763E-2</v>
      </c>
      <c r="K71" s="2"/>
      <c r="L71" s="6">
        <f t="shared" si="24"/>
        <v>9.1299999999999955</v>
      </c>
      <c r="M71" s="2"/>
      <c r="N71" s="7">
        <f t="shared" si="25"/>
        <v>2.3626530031312258E-2</v>
      </c>
      <c r="O71" s="11"/>
      <c r="P71" s="6">
        <v>1569.67</v>
      </c>
      <c r="Q71" s="2"/>
      <c r="R71" s="7">
        <f t="shared" si="26"/>
        <v>3.2240601569486545E-4</v>
      </c>
      <c r="S71" s="2"/>
      <c r="T71" s="6">
        <v>2646.15</v>
      </c>
      <c r="U71" s="2"/>
      <c r="V71" s="7">
        <f t="shared" si="27"/>
        <v>4.4837141695698693E-4</v>
      </c>
      <c r="W71" s="2"/>
      <c r="X71" s="6">
        <f t="shared" si="28"/>
        <v>-1076.48</v>
      </c>
      <c r="Y71" s="2"/>
      <c r="Z71" s="7">
        <f t="shared" si="29"/>
        <v>-0.40680989361903142</v>
      </c>
    </row>
    <row r="72" spans="1:26" s="24" customFormat="1" hidden="1" outlineLevel="2" x14ac:dyDescent="0.25">
      <c r="A72" s="27"/>
      <c r="B72" s="11" t="str">
        <f>CONCATENATE("          ", "6118", " - ", "VACATION")</f>
        <v xml:space="preserve">          6118 - VACATION</v>
      </c>
      <c r="C72" s="11"/>
      <c r="D72" s="6">
        <v>1819.28</v>
      </c>
      <c r="E72" s="2"/>
      <c r="F72" s="7">
        <f t="shared" si="22"/>
        <v>5.5546124582475903E-2</v>
      </c>
      <c r="G72" s="2"/>
      <c r="H72" s="6">
        <v>1303.99</v>
      </c>
      <c r="I72" s="2"/>
      <c r="J72" s="7">
        <f t="shared" si="23"/>
        <v>4.8281906290914049E-2</v>
      </c>
      <c r="K72" s="2"/>
      <c r="L72" s="6">
        <f t="shared" si="24"/>
        <v>515.29</v>
      </c>
      <c r="M72" s="2"/>
      <c r="N72" s="7">
        <f t="shared" si="25"/>
        <v>0.39516407334412068</v>
      </c>
      <c r="O72" s="11"/>
      <c r="P72" s="6">
        <v>10643.06</v>
      </c>
      <c r="Q72" s="2"/>
      <c r="R72" s="7">
        <f t="shared" si="26"/>
        <v>2.1860560305041149E-3</v>
      </c>
      <c r="S72" s="2"/>
      <c r="T72" s="6">
        <v>15514.750000000002</v>
      </c>
      <c r="U72" s="2"/>
      <c r="V72" s="7">
        <f t="shared" si="27"/>
        <v>2.6288647435834755E-3</v>
      </c>
      <c r="W72" s="2"/>
      <c r="X72" s="6">
        <f t="shared" si="28"/>
        <v>-4871.6900000000023</v>
      </c>
      <c r="Y72" s="2"/>
      <c r="Z72" s="7">
        <f t="shared" si="29"/>
        <v>-0.31400377060539175</v>
      </c>
    </row>
    <row r="73" spans="1:26" s="24" customFormat="1" hidden="1" outlineLevel="2" x14ac:dyDescent="0.25">
      <c r="A73" s="27"/>
      <c r="B73" s="11" t="str">
        <f>CONCATENATE("          ", "6119", " - ", "SICK LEAVE")</f>
        <v xml:space="preserve">          6119 - SICK LEAVE</v>
      </c>
      <c r="C73" s="11"/>
      <c r="D73" s="6">
        <v>1416.9</v>
      </c>
      <c r="E73" s="2"/>
      <c r="F73" s="7">
        <f t="shared" si="22"/>
        <v>4.3260687701129077E-2</v>
      </c>
      <c r="G73" s="2"/>
      <c r="H73" s="6">
        <v>937.96</v>
      </c>
      <c r="I73" s="2"/>
      <c r="J73" s="7">
        <f t="shared" si="23"/>
        <v>3.4729174935870473E-2</v>
      </c>
      <c r="K73" s="2"/>
      <c r="L73" s="6">
        <f t="shared" si="24"/>
        <v>478.94000000000005</v>
      </c>
      <c r="M73" s="2"/>
      <c r="N73" s="7">
        <f t="shared" si="25"/>
        <v>0.51061878971384711</v>
      </c>
      <c r="O73" s="11"/>
      <c r="P73" s="6">
        <v>12014.29</v>
      </c>
      <c r="Q73" s="2"/>
      <c r="R73" s="7">
        <f t="shared" si="26"/>
        <v>2.4677030014606033E-3</v>
      </c>
      <c r="S73" s="2"/>
      <c r="T73" s="6">
        <v>13002.75</v>
      </c>
      <c r="U73" s="2"/>
      <c r="V73" s="7">
        <f t="shared" si="27"/>
        <v>2.2032240960782501E-3</v>
      </c>
      <c r="W73" s="2"/>
      <c r="X73" s="6">
        <f t="shared" si="28"/>
        <v>-988.45999999999913</v>
      </c>
      <c r="Y73" s="2"/>
      <c r="Z73" s="7">
        <f t="shared" si="29"/>
        <v>-7.601930360885191E-2</v>
      </c>
    </row>
    <row r="74" spans="1:26" s="24" customFormat="1" hidden="1" outlineLevel="2" x14ac:dyDescent="0.25">
      <c r="A74" s="27"/>
      <c r="B74" s="11" t="str">
        <f>CONCATENATE("          ", "6156", " - ", "EMPLOYEE MEALS")</f>
        <v xml:space="preserve">          6156 - EMPLOYEE MEALS</v>
      </c>
      <c r="C74" s="11"/>
      <c r="D74" s="6">
        <v>237.38</v>
      </c>
      <c r="E74" s="2"/>
      <c r="F74" s="7">
        <f t="shared" si="22"/>
        <v>7.247668887355509E-3</v>
      </c>
      <c r="G74" s="2"/>
      <c r="H74" s="6">
        <v>700.75</v>
      </c>
      <c r="I74" s="2"/>
      <c r="J74" s="7">
        <f t="shared" si="23"/>
        <v>2.594616970479683E-2</v>
      </c>
      <c r="K74" s="2"/>
      <c r="L74" s="6">
        <f t="shared" si="24"/>
        <v>-463.37</v>
      </c>
      <c r="M74" s="2"/>
      <c r="N74" s="7">
        <f t="shared" si="25"/>
        <v>-0.66124866214769895</v>
      </c>
      <c r="O74" s="11"/>
      <c r="P74" s="6">
        <v>5869.3</v>
      </c>
      <c r="Q74" s="2"/>
      <c r="R74" s="7">
        <f t="shared" si="26"/>
        <v>1.205538506767584E-3</v>
      </c>
      <c r="S74" s="2"/>
      <c r="T74" s="6">
        <v>7024.46</v>
      </c>
      <c r="U74" s="2"/>
      <c r="V74" s="7">
        <f t="shared" si="27"/>
        <v>1.1902451046077042E-3</v>
      </c>
      <c r="W74" s="2"/>
      <c r="X74" s="6">
        <f t="shared" si="28"/>
        <v>-1155.1599999999999</v>
      </c>
      <c r="Y74" s="2"/>
      <c r="Z74" s="7">
        <f t="shared" si="29"/>
        <v>-0.16444822804884643</v>
      </c>
    </row>
    <row r="75" spans="1:26" s="25" customFormat="1" outlineLevel="1" collapsed="1" x14ac:dyDescent="0.25">
      <c r="A75" s="26"/>
      <c r="B75" s="13" t="str">
        <f>CONCATENATE("     ","*Payroll                                          ")</f>
        <v xml:space="preserve">     *Payroll                                          </v>
      </c>
      <c r="C75" s="13"/>
      <c r="D75" s="1">
        <f>SUM(OSRRefD22_1x_0)</f>
        <v>27174.410000000003</v>
      </c>
      <c r="E75" s="1"/>
      <c r="F75" s="5">
        <f t="shared" ref="F75:F80" si="30">IF(D$12=0,0,D75/D$12)</f>
        <v>0.82968710880968255</v>
      </c>
      <c r="G75" s="1"/>
      <c r="H75" s="1">
        <f>SUM(OSRRefH22_1x_0)</f>
        <v>25118.839999999997</v>
      </c>
      <c r="I75" s="1"/>
      <c r="J75" s="5">
        <f t="shared" ref="J75:J80" si="31">IF(H$12=0,0,H75/H$12)</f>
        <v>0.93005734631129322</v>
      </c>
      <c r="K75" s="1"/>
      <c r="L75" s="1">
        <f t="shared" ref="L75:L80" si="32">+D75-H75</f>
        <v>2055.570000000007</v>
      </c>
      <c r="M75" s="1"/>
      <c r="N75" s="5">
        <f t="shared" ref="N75:N80" si="33">IF(H75=0,0,L75/H75)</f>
        <v>8.1833794872693461E-2</v>
      </c>
      <c r="O75" s="13"/>
      <c r="P75" s="1">
        <f>SUM(OSRRefP22_1x_0)</f>
        <v>283988.5</v>
      </c>
      <c r="Q75" s="1"/>
      <c r="R75" s="5">
        <f t="shared" ref="R75:R80" si="34">IF(P$12=0,0,P75/P$12)</f>
        <v>5.8330477608772094E-2</v>
      </c>
      <c r="S75" s="1"/>
      <c r="T75" s="1">
        <f>SUM(OSRRefT22_1x_0)</f>
        <v>288849.74</v>
      </c>
      <c r="U75" s="1"/>
      <c r="V75" s="5">
        <f t="shared" ref="V75:V80" si="35">IF(T$12=0,0,T75/T$12)</f>
        <v>4.8943547119950595E-2</v>
      </c>
      <c r="W75" s="1"/>
      <c r="X75" s="1">
        <f t="shared" ref="X75:X80" si="36">+P75-T75</f>
        <v>-4861.2399999999907</v>
      </c>
      <c r="Y75" s="1"/>
      <c r="Z75" s="5">
        <f t="shared" ref="Z75:Z80" si="37">IF(T75=0,0,X75/T75)</f>
        <v>-1.6829649907249323E-2</v>
      </c>
    </row>
    <row r="76" spans="1:26" s="24" customFormat="1" hidden="1" outlineLevel="2" x14ac:dyDescent="0.25">
      <c r="A76" s="27"/>
      <c r="B76" s="11" t="str">
        <f>CONCATENATE("          ", "6002", " - ", "STAFF SALARIES")</f>
        <v xml:space="preserve">          6002 - STAFF SALARIES</v>
      </c>
      <c r="C76" s="11"/>
      <c r="D76" s="6">
        <v>14885.710000000001</v>
      </c>
      <c r="E76" s="2"/>
      <c r="F76" s="7">
        <f t="shared" si="30"/>
        <v>0.45448941458082726</v>
      </c>
      <c r="G76" s="2"/>
      <c r="H76" s="6">
        <v>13422.92</v>
      </c>
      <c r="I76" s="2"/>
      <c r="J76" s="7">
        <f t="shared" si="31"/>
        <v>0.49700087085823969</v>
      </c>
      <c r="K76" s="2"/>
      <c r="L76" s="6">
        <f t="shared" si="32"/>
        <v>1462.7900000000009</v>
      </c>
      <c r="M76" s="2"/>
      <c r="N76" s="7">
        <f t="shared" si="33"/>
        <v>0.10897703331316888</v>
      </c>
      <c r="O76" s="11"/>
      <c r="P76" s="6">
        <v>157422.13</v>
      </c>
      <c r="Q76" s="2"/>
      <c r="R76" s="7">
        <f t="shared" si="34"/>
        <v>3.2334084053016972E-2</v>
      </c>
      <c r="S76" s="2"/>
      <c r="T76" s="6">
        <v>137657.1</v>
      </c>
      <c r="U76" s="2"/>
      <c r="V76" s="7">
        <f t="shared" si="35"/>
        <v>2.3325022761819868E-2</v>
      </c>
      <c r="W76" s="2"/>
      <c r="X76" s="6">
        <f t="shared" si="36"/>
        <v>19765.03</v>
      </c>
      <c r="Y76" s="2"/>
      <c r="Z76" s="7">
        <f t="shared" si="37"/>
        <v>0.14358162419519224</v>
      </c>
    </row>
    <row r="77" spans="1:26" s="24" customFormat="1" hidden="1" outlineLevel="2" x14ac:dyDescent="0.25">
      <c r="A77" s="27"/>
      <c r="B77" s="11" t="str">
        <f>CONCATENATE("          ", "6004", " - ", "STAFF HOURLY")</f>
        <v xml:space="preserve">          6004 - STAFF HOURLY</v>
      </c>
      <c r="C77" s="11"/>
      <c r="D77" s="6">
        <v>8370.3799999999992</v>
      </c>
      <c r="E77" s="2"/>
      <c r="F77" s="7">
        <f t="shared" si="30"/>
        <v>0.25556383310027297</v>
      </c>
      <c r="G77" s="2"/>
      <c r="H77" s="6">
        <v>5731.18</v>
      </c>
      <c r="I77" s="2"/>
      <c r="J77" s="7">
        <f t="shared" si="31"/>
        <v>0.21220430808239385</v>
      </c>
      <c r="K77" s="2"/>
      <c r="L77" s="6">
        <f t="shared" si="32"/>
        <v>2639.1999999999989</v>
      </c>
      <c r="M77" s="2"/>
      <c r="N77" s="7">
        <f t="shared" si="33"/>
        <v>0.46049853607808494</v>
      </c>
      <c r="O77" s="11"/>
      <c r="P77" s="6">
        <v>40231.160000000003</v>
      </c>
      <c r="Q77" s="2"/>
      <c r="R77" s="7">
        <f t="shared" si="34"/>
        <v>8.2633725575328842E-3</v>
      </c>
      <c r="S77" s="2"/>
      <c r="T77" s="6">
        <v>59561.880000000005</v>
      </c>
      <c r="U77" s="2"/>
      <c r="V77" s="7">
        <f t="shared" si="35"/>
        <v>1.0092339637670587E-2</v>
      </c>
      <c r="W77" s="2"/>
      <c r="X77" s="6">
        <f t="shared" si="36"/>
        <v>-19330.72</v>
      </c>
      <c r="Y77" s="2"/>
      <c r="Z77" s="7">
        <f t="shared" si="37"/>
        <v>-0.32454851995941025</v>
      </c>
    </row>
    <row r="78" spans="1:26" s="24" customFormat="1" hidden="1" outlineLevel="2" x14ac:dyDescent="0.25">
      <c r="A78" s="27"/>
      <c r="B78" s="11" t="str">
        <f>CONCATENATE("          ", "6005", " - ", "TEMPORARY WAGES-HOURLY")</f>
        <v xml:space="preserve">          6005 - TEMPORARY WAGES-HOURLY</v>
      </c>
      <c r="C78" s="11"/>
      <c r="D78" s="6">
        <v>1821.22</v>
      </c>
      <c r="E78" s="2"/>
      <c r="F78" s="7">
        <f t="shared" si="30"/>
        <v>5.5605356521314347E-2</v>
      </c>
      <c r="G78" s="2"/>
      <c r="H78" s="6">
        <v>2302.71</v>
      </c>
      <c r="I78" s="2"/>
      <c r="J78" s="7">
        <f t="shared" si="31"/>
        <v>8.5260798345961772E-2</v>
      </c>
      <c r="K78" s="2"/>
      <c r="L78" s="6">
        <f t="shared" si="32"/>
        <v>-481.49</v>
      </c>
      <c r="M78" s="2"/>
      <c r="N78" s="7">
        <f t="shared" si="33"/>
        <v>-0.20909710732137352</v>
      </c>
      <c r="O78" s="11"/>
      <c r="P78" s="6">
        <v>24213.510000000002</v>
      </c>
      <c r="Q78" s="2"/>
      <c r="R78" s="7">
        <f t="shared" si="34"/>
        <v>4.9733901298284235E-3</v>
      </c>
      <c r="S78" s="2"/>
      <c r="T78" s="6">
        <v>36055.17</v>
      </c>
      <c r="U78" s="2"/>
      <c r="V78" s="7">
        <f t="shared" si="35"/>
        <v>6.1092937518753831E-3</v>
      </c>
      <c r="W78" s="2"/>
      <c r="X78" s="6">
        <f t="shared" si="36"/>
        <v>-11841.659999999996</v>
      </c>
      <c r="Y78" s="2"/>
      <c r="Z78" s="7">
        <f t="shared" si="37"/>
        <v>-0.32843167845277105</v>
      </c>
    </row>
    <row r="79" spans="1:26" s="24" customFormat="1" hidden="1" outlineLevel="2" x14ac:dyDescent="0.25">
      <c r="A79" s="27"/>
      <c r="B79" s="11" t="str">
        <f>CONCATENATE("          ", "6006", " - ", "TEMPORARY PART TIME")</f>
        <v xml:space="preserve">          6006 - TEMPORARY PART TIME</v>
      </c>
      <c r="C79" s="11"/>
      <c r="D79" s="6">
        <v>1818.04</v>
      </c>
      <c r="E79" s="2"/>
      <c r="F79" s="7">
        <f t="shared" si="30"/>
        <v>5.550826499270288E-2</v>
      </c>
      <c r="G79" s="2"/>
      <c r="H79" s="6"/>
      <c r="I79" s="2"/>
      <c r="J79" s="7">
        <f t="shared" si="31"/>
        <v>0</v>
      </c>
      <c r="K79" s="2"/>
      <c r="L79" s="6">
        <f t="shared" si="32"/>
        <v>1818.04</v>
      </c>
      <c r="M79" s="2"/>
      <c r="N79" s="7">
        <f t="shared" si="33"/>
        <v>0</v>
      </c>
      <c r="O79" s="11"/>
      <c r="P79" s="6">
        <v>4127.25</v>
      </c>
      <c r="Q79" s="2"/>
      <c r="R79" s="7">
        <f t="shared" si="34"/>
        <v>8.4772610056676459E-4</v>
      </c>
      <c r="S79" s="2"/>
      <c r="T79" s="6">
        <v>3834.31</v>
      </c>
      <c r="U79" s="2"/>
      <c r="V79" s="7">
        <f t="shared" si="35"/>
        <v>6.4969673214003161E-4</v>
      </c>
      <c r="W79" s="2"/>
      <c r="X79" s="6">
        <f t="shared" si="36"/>
        <v>292.94000000000005</v>
      </c>
      <c r="Y79" s="2"/>
      <c r="Z79" s="7">
        <f t="shared" si="37"/>
        <v>7.6399665128797631E-2</v>
      </c>
    </row>
    <row r="80" spans="1:26" s="24" customFormat="1" hidden="1" outlineLevel="2" x14ac:dyDescent="0.25">
      <c r="A80" s="27"/>
      <c r="B80" s="11" t="str">
        <f>CONCATENATE("          ", "6007", " - ", "STUDENT HOURLY")</f>
        <v xml:space="preserve">          6007 - STUDENT HOURLY</v>
      </c>
      <c r="C80" s="11"/>
      <c r="D80" s="6">
        <v>279.06</v>
      </c>
      <c r="E80" s="2"/>
      <c r="F80" s="7">
        <f t="shared" si="30"/>
        <v>8.5202396145649516E-3</v>
      </c>
      <c r="G80" s="2"/>
      <c r="H80" s="6">
        <v>3662.03</v>
      </c>
      <c r="I80" s="2"/>
      <c r="J80" s="7">
        <f t="shared" si="31"/>
        <v>0.13559136902469801</v>
      </c>
      <c r="K80" s="2"/>
      <c r="L80" s="6">
        <f t="shared" si="32"/>
        <v>-3382.9700000000003</v>
      </c>
      <c r="M80" s="2"/>
      <c r="N80" s="7">
        <f t="shared" si="33"/>
        <v>-0.92379636431159773</v>
      </c>
      <c r="O80" s="11"/>
      <c r="P80" s="6">
        <v>57994.45</v>
      </c>
      <c r="Q80" s="2"/>
      <c r="R80" s="7">
        <f t="shared" si="34"/>
        <v>1.1911904767827051E-2</v>
      </c>
      <c r="S80" s="2"/>
      <c r="T80" s="6">
        <v>51741.279999999999</v>
      </c>
      <c r="U80" s="2"/>
      <c r="V80" s="7">
        <f t="shared" si="35"/>
        <v>8.7671942364447239E-3</v>
      </c>
      <c r="W80" s="2"/>
      <c r="X80" s="6">
        <f t="shared" si="36"/>
        <v>6253.1699999999983</v>
      </c>
      <c r="Y80" s="2"/>
      <c r="Z80" s="7">
        <f t="shared" si="37"/>
        <v>0.12085456718504062</v>
      </c>
    </row>
    <row r="81" spans="1:26" s="25" customFormat="1" outlineLevel="1" collapsed="1" x14ac:dyDescent="0.25">
      <c r="A81" s="26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0</v>
      </c>
      <c r="E81" s="1"/>
      <c r="F81" s="5">
        <f t="shared" ref="F81:F85" si="38">IF(D$12=0,0,D81/D$12)</f>
        <v>0</v>
      </c>
      <c r="G81" s="1"/>
      <c r="H81" s="1">
        <f>SUM(OSRRefH22_2x_0)</f>
        <v>1140.9000000000001</v>
      </c>
      <c r="I81" s="1"/>
      <c r="J81" s="5">
        <f t="shared" ref="J81:J85" si="39">IF(H$12=0,0,H81/H$12)</f>
        <v>4.2243289355979603E-2</v>
      </c>
      <c r="K81" s="1"/>
      <c r="L81" s="1">
        <f t="shared" ref="L81:L85" si="40">+D81-H81</f>
        <v>-1140.9000000000001</v>
      </c>
      <c r="M81" s="1"/>
      <c r="N81" s="5">
        <f t="shared" ref="N81:N85" si="41">IF(H81=0,0,L81/H81)</f>
        <v>-1</v>
      </c>
      <c r="O81" s="13"/>
      <c r="P81" s="1">
        <f>SUM(OSRRefP22_2x_0)</f>
        <v>3981.59</v>
      </c>
      <c r="Q81" s="1"/>
      <c r="R81" s="5">
        <f t="shared" ref="R81:R85" si="42">IF(P$12=0,0,P81/P$12)</f>
        <v>8.1780792652628846E-4</v>
      </c>
      <c r="S81" s="1"/>
      <c r="T81" s="1">
        <f>SUM(OSRRefT22_2x_0)</f>
        <v>5829.54</v>
      </c>
      <c r="U81" s="1"/>
      <c r="V81" s="5">
        <f t="shared" ref="V81:V85" si="43">IF(T$12=0,0,T81/T$12)</f>
        <v>9.877743551980928E-4</v>
      </c>
      <c r="W81" s="1"/>
      <c r="X81" s="1">
        <f t="shared" ref="X81:X85" si="44">+P81-T81</f>
        <v>-1847.9499999999998</v>
      </c>
      <c r="Y81" s="1"/>
      <c r="Z81" s="5">
        <f t="shared" ref="Z81:Z85" si="45">IF(T81=0,0,X81/T81)</f>
        <v>-0.31699756756107683</v>
      </c>
    </row>
    <row r="82" spans="1:26" s="24" customFormat="1" hidden="1" outlineLevel="2" x14ac:dyDescent="0.25">
      <c r="A82" s="27"/>
      <c r="B82" s="11" t="str">
        <f>CONCATENATE("          ", "6362", " - ", "ADVERTISING EXPENSE")</f>
        <v xml:space="preserve">          6362 - ADVERTISING EXPENSE</v>
      </c>
      <c r="C82" s="11"/>
      <c r="D82" s="6"/>
      <c r="E82" s="2"/>
      <c r="F82" s="7">
        <f t="shared" si="38"/>
        <v>0</v>
      </c>
      <c r="G82" s="2"/>
      <c r="H82" s="6">
        <v>1140.9000000000001</v>
      </c>
      <c r="I82" s="2"/>
      <c r="J82" s="7">
        <f t="shared" si="39"/>
        <v>4.2243289355979603E-2</v>
      </c>
      <c r="K82" s="2"/>
      <c r="L82" s="6">
        <f t="shared" si="40"/>
        <v>-1140.9000000000001</v>
      </c>
      <c r="M82" s="2"/>
      <c r="N82" s="7">
        <f t="shared" si="41"/>
        <v>-1</v>
      </c>
      <c r="O82" s="11"/>
      <c r="P82" s="6">
        <v>3981.59</v>
      </c>
      <c r="Q82" s="2"/>
      <c r="R82" s="7">
        <f t="shared" si="42"/>
        <v>8.1780792652628846E-4</v>
      </c>
      <c r="S82" s="2"/>
      <c r="T82" s="6">
        <v>5829.54</v>
      </c>
      <c r="U82" s="2"/>
      <c r="V82" s="7">
        <f t="shared" si="43"/>
        <v>9.877743551980928E-4</v>
      </c>
      <c r="W82" s="2"/>
      <c r="X82" s="6">
        <f t="shared" si="44"/>
        <v>-1847.9499999999998</v>
      </c>
      <c r="Y82" s="2"/>
      <c r="Z82" s="7">
        <f t="shared" si="45"/>
        <v>-0.31699756756107683</v>
      </c>
    </row>
    <row r="83" spans="1:26" s="25" customFormat="1" outlineLevel="1" collapsed="1" x14ac:dyDescent="0.25">
      <c r="A83" s="26"/>
      <c r="B83" s="13" t="str">
        <f>CONCATENATE("     ","Discounts and Markdowns                           ")</f>
        <v xml:space="preserve">     Discounts and Markdowns                           </v>
      </c>
      <c r="C83" s="13"/>
      <c r="D83" s="1">
        <f>SUM(OSRRefD22_3x_0)</f>
        <v>271.08</v>
      </c>
      <c r="E83" s="1"/>
      <c r="F83" s="5">
        <f t="shared" si="38"/>
        <v>8.2765948352191889E-3</v>
      </c>
      <c r="G83" s="1"/>
      <c r="H83" s="1">
        <f>SUM(OSRRefH22_3x_0)</f>
        <v>4169.46</v>
      </c>
      <c r="I83" s="1"/>
      <c r="J83" s="5">
        <f t="shared" si="39"/>
        <v>0.15437961717782689</v>
      </c>
      <c r="K83" s="1"/>
      <c r="L83" s="1">
        <f t="shared" si="40"/>
        <v>-3898.38</v>
      </c>
      <c r="M83" s="1"/>
      <c r="N83" s="5">
        <f t="shared" si="41"/>
        <v>-0.9349843864673123</v>
      </c>
      <c r="O83" s="13"/>
      <c r="P83" s="1">
        <f>SUM(OSRRefP22_3x_0)</f>
        <v>21.100000000000023</v>
      </c>
      <c r="Q83" s="1"/>
      <c r="R83" s="5">
        <f t="shared" si="42"/>
        <v>4.3338835112868741E-6</v>
      </c>
      <c r="S83" s="1"/>
      <c r="T83" s="1">
        <f>SUM(OSRRefT22_3x_0)</f>
        <v>29495.370000000003</v>
      </c>
      <c r="U83" s="1"/>
      <c r="V83" s="5">
        <f t="shared" si="43"/>
        <v>4.9977820004801707E-3</v>
      </c>
      <c r="W83" s="1"/>
      <c r="X83" s="1">
        <f t="shared" si="44"/>
        <v>-29474.270000000004</v>
      </c>
      <c r="Y83" s="1"/>
      <c r="Z83" s="5">
        <f t="shared" si="45"/>
        <v>-0.99928463348654384</v>
      </c>
    </row>
    <row r="84" spans="1:26" s="24" customFormat="1" hidden="1" outlineLevel="2" x14ac:dyDescent="0.25">
      <c r="A84" s="27"/>
      <c r="B84" s="11" t="str">
        <f>CONCATENATE("          ", "6382", " - ", "DISCOUNTS/MARK DOWNS")</f>
        <v xml:space="preserve">          6382 - DISCOUNTS/MARK DOWNS</v>
      </c>
      <c r="C84" s="11"/>
      <c r="D84" s="6">
        <v>271.08</v>
      </c>
      <c r="E84" s="2"/>
      <c r="F84" s="7">
        <f t="shared" si="38"/>
        <v>8.2765948352191889E-3</v>
      </c>
      <c r="G84" s="2"/>
      <c r="H84" s="6">
        <v>4172.62</v>
      </c>
      <c r="I84" s="2"/>
      <c r="J84" s="7">
        <f t="shared" si="39"/>
        <v>0.15449662024064123</v>
      </c>
      <c r="K84" s="2"/>
      <c r="L84" s="6">
        <f t="shared" si="40"/>
        <v>-3901.54</v>
      </c>
      <c r="M84" s="2"/>
      <c r="N84" s="7">
        <f t="shared" si="41"/>
        <v>-0.93503362395808864</v>
      </c>
      <c r="O84" s="11"/>
      <c r="P84" s="6">
        <v>473.37</v>
      </c>
      <c r="Q84" s="2"/>
      <c r="R84" s="7">
        <f t="shared" si="42"/>
        <v>9.7228930698477038E-5</v>
      </c>
      <c r="S84" s="2"/>
      <c r="T84" s="6">
        <v>29709.79</v>
      </c>
      <c r="U84" s="2"/>
      <c r="V84" s="7">
        <f t="shared" si="43"/>
        <v>5.0341139541577465E-3</v>
      </c>
      <c r="W84" s="2"/>
      <c r="X84" s="6">
        <f t="shared" si="44"/>
        <v>-29236.420000000002</v>
      </c>
      <c r="Y84" s="2"/>
      <c r="Z84" s="7">
        <f t="shared" si="45"/>
        <v>-0.98406686819395228</v>
      </c>
    </row>
    <row r="85" spans="1:26" s="24" customFormat="1" hidden="1" outlineLevel="2" x14ac:dyDescent="0.25">
      <c r="A85" s="27"/>
      <c r="B85" s="11" t="str">
        <f>CONCATENATE("          ", "9175", " - ", "EARNED DISCOUNTS")</f>
        <v xml:space="preserve">          9175 - EARNED DISCOUNTS</v>
      </c>
      <c r="C85" s="11"/>
      <c r="D85" s="6"/>
      <c r="E85" s="2"/>
      <c r="F85" s="7">
        <f t="shared" si="38"/>
        <v>0</v>
      </c>
      <c r="G85" s="2"/>
      <c r="H85" s="6">
        <v>-3.16</v>
      </c>
      <c r="I85" s="2"/>
      <c r="J85" s="7">
        <f t="shared" si="39"/>
        <v>-1.1700306281435317E-4</v>
      </c>
      <c r="K85" s="2"/>
      <c r="L85" s="6">
        <f t="shared" si="40"/>
        <v>3.16</v>
      </c>
      <c r="M85" s="2"/>
      <c r="N85" s="7">
        <f t="shared" si="41"/>
        <v>-1</v>
      </c>
      <c r="O85" s="11"/>
      <c r="P85" s="6">
        <v>-452.27</v>
      </c>
      <c r="Q85" s="2"/>
      <c r="R85" s="7">
        <f t="shared" si="42"/>
        <v>-9.2895047187190161E-5</v>
      </c>
      <c r="S85" s="2"/>
      <c r="T85" s="6">
        <v>-214.42</v>
      </c>
      <c r="U85" s="2"/>
      <c r="V85" s="7">
        <f t="shared" si="43"/>
        <v>-3.6331953677575775E-5</v>
      </c>
      <c r="W85" s="2"/>
      <c r="X85" s="6">
        <f t="shared" si="44"/>
        <v>-237.85</v>
      </c>
      <c r="Y85" s="2"/>
      <c r="Z85" s="7">
        <f t="shared" si="45"/>
        <v>1.1092715231788079</v>
      </c>
    </row>
    <row r="86" spans="1:26" s="25" customFormat="1" outlineLevel="1" collapsed="1" x14ac:dyDescent="0.25">
      <c r="A86" s="26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SUM(OSRRefD22_4x_0)</f>
        <v>0</v>
      </c>
      <c r="E86" s="1"/>
      <c r="F86" s="5">
        <f t="shared" ref="F86:F92" si="46">IF(D$12=0,0,D86/D$12)</f>
        <v>0</v>
      </c>
      <c r="G86" s="1"/>
      <c r="H86" s="1">
        <f>SUM(OSRRefH22_4x_0)</f>
        <v>0</v>
      </c>
      <c r="I86" s="1"/>
      <c r="J86" s="5">
        <f t="shared" ref="J86:J92" si="47">IF(H$12=0,0,H86/H$12)</f>
        <v>0</v>
      </c>
      <c r="K86" s="1"/>
      <c r="L86" s="1">
        <f t="shared" ref="L86:L92" si="48">+D86-H86</f>
        <v>0</v>
      </c>
      <c r="M86" s="1"/>
      <c r="N86" s="5">
        <f t="shared" ref="N86:N92" si="49">IF(H86=0,0,L86/H86)</f>
        <v>0</v>
      </c>
      <c r="O86" s="13"/>
      <c r="P86" s="1">
        <f>SUM(OSRRefP22_4x_0)</f>
        <v>120.18</v>
      </c>
      <c r="Q86" s="1"/>
      <c r="R86" s="5">
        <f t="shared" ref="R86:R92" si="50">IF(P$12=0,0,P86/P$12)</f>
        <v>2.4684650255282277E-5</v>
      </c>
      <c r="S86" s="1"/>
      <c r="T86" s="1">
        <f>SUM(OSRRefT22_4x_0)</f>
        <v>499.97</v>
      </c>
      <c r="U86" s="1"/>
      <c r="V86" s="5">
        <f t="shared" ref="V86:V92" si="51">IF(T$12=0,0,T86/T$12)</f>
        <v>8.4716383174039556E-5</v>
      </c>
      <c r="W86" s="1"/>
      <c r="X86" s="1">
        <f t="shared" ref="X86:X92" si="52">+P86-T86</f>
        <v>-379.79</v>
      </c>
      <c r="Y86" s="1"/>
      <c r="Z86" s="5">
        <f t="shared" ref="Z86:Z92" si="53">IF(T86=0,0,X86/T86)</f>
        <v>-0.7596255775346521</v>
      </c>
    </row>
    <row r="87" spans="1:26" s="24" customFormat="1" hidden="1" outlineLevel="2" x14ac:dyDescent="0.25">
      <c r="A87" s="27"/>
      <c r="B87" s="11" t="str">
        <f>CONCATENATE("          ", "6277", " - ", "EMPLOYEE APPRECIATION")</f>
        <v xml:space="preserve">          6277 - EMPLOYEE APPRECIATION</v>
      </c>
      <c r="C87" s="11"/>
      <c r="D87" s="6"/>
      <c r="E87" s="2"/>
      <c r="F87" s="7">
        <f t="shared" si="46"/>
        <v>0</v>
      </c>
      <c r="G87" s="2"/>
      <c r="H87" s="6"/>
      <c r="I87" s="2"/>
      <c r="J87" s="7">
        <f t="shared" si="47"/>
        <v>0</v>
      </c>
      <c r="K87" s="2"/>
      <c r="L87" s="6">
        <f t="shared" si="48"/>
        <v>0</v>
      </c>
      <c r="M87" s="2"/>
      <c r="N87" s="7">
        <f t="shared" si="49"/>
        <v>0</v>
      </c>
      <c r="O87" s="11"/>
      <c r="P87" s="6">
        <v>120.18</v>
      </c>
      <c r="Q87" s="2"/>
      <c r="R87" s="7">
        <f t="shared" si="50"/>
        <v>2.4684650255282277E-5</v>
      </c>
      <c r="S87" s="2"/>
      <c r="T87" s="6">
        <v>499.97</v>
      </c>
      <c r="U87" s="2"/>
      <c r="V87" s="7">
        <f t="shared" si="51"/>
        <v>8.4716383174039556E-5</v>
      </c>
      <c r="W87" s="2"/>
      <c r="X87" s="6">
        <f t="shared" si="52"/>
        <v>-379.79</v>
      </c>
      <c r="Y87" s="2"/>
      <c r="Z87" s="7">
        <f t="shared" si="53"/>
        <v>-0.7596255775346521</v>
      </c>
    </row>
    <row r="88" spans="1:26" s="25" customFormat="1" outlineLevel="1" collapsed="1" x14ac:dyDescent="0.25">
      <c r="A88" s="26"/>
      <c r="B88" s="13" t="str">
        <f>CONCATENATE("     ","Equipment Rental                                  ")</f>
        <v xml:space="preserve">     Equipment Rental                                  </v>
      </c>
      <c r="C88" s="13"/>
      <c r="D88" s="1">
        <f>SUM(OSRRefD22_5x_0)</f>
        <v>91.26</v>
      </c>
      <c r="E88" s="1"/>
      <c r="F88" s="5">
        <f t="shared" si="46"/>
        <v>2.7863436795857433E-3</v>
      </c>
      <c r="G88" s="1"/>
      <c r="H88" s="1">
        <f>SUM(OSRRefH22_5x_0)</f>
        <v>91.26</v>
      </c>
      <c r="I88" s="1"/>
      <c r="J88" s="5">
        <f t="shared" si="47"/>
        <v>3.379018833049959E-3</v>
      </c>
      <c r="K88" s="1"/>
      <c r="L88" s="1">
        <f t="shared" si="48"/>
        <v>0</v>
      </c>
      <c r="M88" s="1"/>
      <c r="N88" s="5">
        <f t="shared" si="49"/>
        <v>0</v>
      </c>
      <c r="O88" s="13"/>
      <c r="P88" s="1">
        <f>SUM(OSRRefP22_5x_0)</f>
        <v>912.6</v>
      </c>
      <c r="Q88" s="1"/>
      <c r="R88" s="5">
        <f t="shared" si="50"/>
        <v>1.8744559679622735E-4</v>
      </c>
      <c r="S88" s="1"/>
      <c r="T88" s="1">
        <f>SUM(OSRRefT22_5x_0)</f>
        <v>912.6</v>
      </c>
      <c r="U88" s="1"/>
      <c r="V88" s="5">
        <f t="shared" si="51"/>
        <v>1.5463362058649218E-4</v>
      </c>
      <c r="W88" s="1"/>
      <c r="X88" s="1">
        <f t="shared" si="52"/>
        <v>0</v>
      </c>
      <c r="Y88" s="1"/>
      <c r="Z88" s="5">
        <f t="shared" si="53"/>
        <v>0</v>
      </c>
    </row>
    <row r="89" spans="1:26" s="24" customFormat="1" hidden="1" outlineLevel="2" x14ac:dyDescent="0.25">
      <c r="A89" s="27"/>
      <c r="B89" s="11" t="str">
        <f>CONCATENATE("          ", "6351", " - ", "EQUIPMENT RENTAL")</f>
        <v xml:space="preserve">          6351 - EQUIPMENT RENTAL</v>
      </c>
      <c r="C89" s="11"/>
      <c r="D89" s="6">
        <v>91.26</v>
      </c>
      <c r="E89" s="2"/>
      <c r="F89" s="7">
        <f t="shared" si="46"/>
        <v>2.7863436795857433E-3</v>
      </c>
      <c r="G89" s="2"/>
      <c r="H89" s="6">
        <v>91.26</v>
      </c>
      <c r="I89" s="2"/>
      <c r="J89" s="7">
        <f t="shared" si="47"/>
        <v>3.379018833049959E-3</v>
      </c>
      <c r="K89" s="2"/>
      <c r="L89" s="6">
        <f t="shared" si="48"/>
        <v>0</v>
      </c>
      <c r="M89" s="2"/>
      <c r="N89" s="7">
        <f t="shared" si="49"/>
        <v>0</v>
      </c>
      <c r="O89" s="11"/>
      <c r="P89" s="6">
        <v>912.6</v>
      </c>
      <c r="Q89" s="2"/>
      <c r="R89" s="7">
        <f t="shared" si="50"/>
        <v>1.8744559679622735E-4</v>
      </c>
      <c r="S89" s="2"/>
      <c r="T89" s="6">
        <v>912.6</v>
      </c>
      <c r="U89" s="2"/>
      <c r="V89" s="7">
        <f t="shared" si="51"/>
        <v>1.5463362058649218E-4</v>
      </c>
      <c r="W89" s="2"/>
      <c r="X89" s="6">
        <f t="shared" si="52"/>
        <v>0</v>
      </c>
      <c r="Y89" s="2"/>
      <c r="Z89" s="7">
        <f t="shared" si="53"/>
        <v>0</v>
      </c>
    </row>
    <row r="90" spans="1:26" s="25" customFormat="1" outlineLevel="1" collapsed="1" x14ac:dyDescent="0.25">
      <c r="A90" s="26"/>
      <c r="B90" s="13" t="str">
        <f>CONCATENATE("     ","Freight out/Postage                               ")</f>
        <v xml:space="preserve">     Freight out/Postage                               </v>
      </c>
      <c r="C90" s="13"/>
      <c r="D90" s="1">
        <f>SUM(OSRRefD22_6x_0)</f>
        <v>7517.84</v>
      </c>
      <c r="E90" s="1"/>
      <c r="F90" s="5">
        <f t="shared" si="46"/>
        <v>0.22953414385422841</v>
      </c>
      <c r="G90" s="1"/>
      <c r="H90" s="1">
        <f>SUM(OSRRefH22_6x_0)</f>
        <v>5725.56</v>
      </c>
      <c r="I90" s="1"/>
      <c r="J90" s="5">
        <f t="shared" si="47"/>
        <v>0.21199622035675569</v>
      </c>
      <c r="K90" s="1"/>
      <c r="L90" s="1">
        <f t="shared" si="48"/>
        <v>1792.2799999999997</v>
      </c>
      <c r="M90" s="1"/>
      <c r="N90" s="5">
        <f t="shared" si="49"/>
        <v>0.31303138906936606</v>
      </c>
      <c r="O90" s="13"/>
      <c r="P90" s="1">
        <f>SUM(OSRRefP22_6x_0)</f>
        <v>22766.239999999998</v>
      </c>
      <c r="Q90" s="1"/>
      <c r="R90" s="5">
        <f t="shared" si="50"/>
        <v>4.6761247464454777E-3</v>
      </c>
      <c r="S90" s="1"/>
      <c r="T90" s="1">
        <f>SUM(OSRRefT22_6x_0)</f>
        <v>28405.9</v>
      </c>
      <c r="U90" s="1"/>
      <c r="V90" s="5">
        <f t="shared" si="51"/>
        <v>4.8131790083474008E-3</v>
      </c>
      <c r="W90" s="1"/>
      <c r="X90" s="1">
        <f t="shared" si="52"/>
        <v>-5639.6600000000035</v>
      </c>
      <c r="Y90" s="1"/>
      <c r="Z90" s="5">
        <f t="shared" si="53"/>
        <v>-0.19853833182543074</v>
      </c>
    </row>
    <row r="91" spans="1:26" s="24" customFormat="1" hidden="1" outlineLevel="2" x14ac:dyDescent="0.25">
      <c r="A91" s="27"/>
      <c r="B91" s="11" t="str">
        <f>CONCATENATE("          ", "6305", " - ", "FREIGHT OUT")</f>
        <v xml:space="preserve">          6305 - FREIGHT OUT</v>
      </c>
      <c r="C91" s="11"/>
      <c r="D91" s="6">
        <v>7517.84</v>
      </c>
      <c r="E91" s="2"/>
      <c r="F91" s="7">
        <f t="shared" si="46"/>
        <v>0.22953414385422841</v>
      </c>
      <c r="G91" s="2"/>
      <c r="H91" s="6">
        <v>5725.56</v>
      </c>
      <c r="I91" s="2"/>
      <c r="J91" s="7">
        <f t="shared" si="47"/>
        <v>0.21199622035675569</v>
      </c>
      <c r="K91" s="2"/>
      <c r="L91" s="6">
        <f t="shared" si="48"/>
        <v>1792.2799999999997</v>
      </c>
      <c r="M91" s="2"/>
      <c r="N91" s="7">
        <f t="shared" si="49"/>
        <v>0.31303138906936606</v>
      </c>
      <c r="O91" s="11"/>
      <c r="P91" s="6">
        <v>22764.289999999997</v>
      </c>
      <c r="Q91" s="2"/>
      <c r="R91" s="7">
        <f t="shared" si="50"/>
        <v>4.6757242216659981E-3</v>
      </c>
      <c r="S91" s="2"/>
      <c r="T91" s="6">
        <v>28401.11</v>
      </c>
      <c r="U91" s="2"/>
      <c r="V91" s="7">
        <f t="shared" si="51"/>
        <v>4.8123673766986945E-3</v>
      </c>
      <c r="W91" s="2"/>
      <c r="X91" s="6">
        <f t="shared" si="52"/>
        <v>-5636.8200000000033</v>
      </c>
      <c r="Y91" s="2"/>
      <c r="Z91" s="7">
        <f t="shared" si="53"/>
        <v>-0.19847182029153096</v>
      </c>
    </row>
    <row r="92" spans="1:26" s="24" customFormat="1" hidden="1" outlineLevel="2" x14ac:dyDescent="0.25">
      <c r="A92" s="27"/>
      <c r="B92" s="11" t="str">
        <f>CONCATENATE("          ", "6307", " - ", "POSTAGE")</f>
        <v xml:space="preserve">          6307 - POSTAGE</v>
      </c>
      <c r="C92" s="11"/>
      <c r="D92" s="6"/>
      <c r="E92" s="2"/>
      <c r="F92" s="7">
        <f t="shared" si="46"/>
        <v>0</v>
      </c>
      <c r="G92" s="2"/>
      <c r="H92" s="6"/>
      <c r="I92" s="2"/>
      <c r="J92" s="7">
        <f t="shared" si="47"/>
        <v>0</v>
      </c>
      <c r="K92" s="2"/>
      <c r="L92" s="6">
        <f t="shared" si="48"/>
        <v>0</v>
      </c>
      <c r="M92" s="2"/>
      <c r="N92" s="7">
        <f t="shared" si="49"/>
        <v>0</v>
      </c>
      <c r="O92" s="11"/>
      <c r="P92" s="6">
        <v>1.95</v>
      </c>
      <c r="Q92" s="2"/>
      <c r="R92" s="7">
        <f t="shared" si="50"/>
        <v>4.0052477947911827E-7</v>
      </c>
      <c r="S92" s="2"/>
      <c r="T92" s="6">
        <v>4.79</v>
      </c>
      <c r="U92" s="2"/>
      <c r="V92" s="7">
        <f t="shared" si="51"/>
        <v>8.1163164870622126E-7</v>
      </c>
      <c r="W92" s="2"/>
      <c r="X92" s="6">
        <f t="shared" si="52"/>
        <v>-2.84</v>
      </c>
      <c r="Y92" s="2"/>
      <c r="Z92" s="7">
        <f t="shared" si="53"/>
        <v>-0.59290187891440493</v>
      </c>
    </row>
    <row r="93" spans="1:26" s="25" customFormat="1" outlineLevel="1" collapsed="1" x14ac:dyDescent="0.25">
      <c r="A93" s="26"/>
      <c r="B93" s="13" t="str">
        <f>CONCATENATE("     ","General                                           ")</f>
        <v xml:space="preserve">     General                                           </v>
      </c>
      <c r="C93" s="13"/>
      <c r="D93" s="1">
        <f>SUM(OSRRefD22_7x_0)</f>
        <v>-660.03</v>
      </c>
      <c r="E93" s="1"/>
      <c r="F93" s="5">
        <f t="shared" ref="F93:F100" si="54">IF(D$12=0,0,D93/D$12)</f>
        <v>-2.015198793378236E-2</v>
      </c>
      <c r="G93" s="1"/>
      <c r="H93" s="1">
        <f>SUM(OSRRefH22_7x_0)</f>
        <v>10872.69</v>
      </c>
      <c r="I93" s="1"/>
      <c r="J93" s="5">
        <f t="shared" ref="J93:J100" si="55">IF(H$12=0,0,H93/H$12)</f>
        <v>0.40257532627562959</v>
      </c>
      <c r="K93" s="1"/>
      <c r="L93" s="1">
        <f t="shared" ref="L93:L100" si="56">+D93-H93</f>
        <v>-11532.720000000001</v>
      </c>
      <c r="M93" s="1"/>
      <c r="N93" s="5">
        <f t="shared" ref="N93:N100" si="57">IF(H93=0,0,L93/H93)</f>
        <v>-1.0607053084379303</v>
      </c>
      <c r="O93" s="13"/>
      <c r="P93" s="1">
        <f>SUM(OSRRefP22_7x_0)</f>
        <v>7593.03</v>
      </c>
      <c r="Q93" s="1"/>
      <c r="R93" s="5">
        <f t="shared" ref="R93:R100" si="58">IF(P$12=0,0,P93/P$12)</f>
        <v>1.5595880340145279E-3</v>
      </c>
      <c r="S93" s="1"/>
      <c r="T93" s="1">
        <f>SUM(OSRRefT22_7x_0)</f>
        <v>21707.11</v>
      </c>
      <c r="U93" s="1"/>
      <c r="V93" s="5">
        <f t="shared" ref="V93:V100" si="59">IF(T$12=0,0,T93/T$12)</f>
        <v>3.6781163837050737E-3</v>
      </c>
      <c r="W93" s="1"/>
      <c r="X93" s="1">
        <f t="shared" ref="X93:X100" si="60">+P93-T93</f>
        <v>-14114.080000000002</v>
      </c>
      <c r="Y93" s="1"/>
      <c r="Z93" s="5">
        <f t="shared" ref="Z93:Z100" si="61">IF(T93=0,0,X93/T93)</f>
        <v>-0.65020539353234963</v>
      </c>
    </row>
    <row r="94" spans="1:26" s="24" customFormat="1" hidden="1" outlineLevel="2" x14ac:dyDescent="0.25">
      <c r="A94" s="27"/>
      <c r="B94" s="11" t="str">
        <f>CONCATENATE("          ", "6279", " - ", "GENERAL EXPENSE")</f>
        <v xml:space="preserve">          6279 - GENERAL EXPENSE</v>
      </c>
      <c r="C94" s="11"/>
      <c r="D94" s="6">
        <v>-660.03</v>
      </c>
      <c r="E94" s="2"/>
      <c r="F94" s="7">
        <f t="shared" si="54"/>
        <v>-2.015198793378236E-2</v>
      </c>
      <c r="G94" s="2"/>
      <c r="H94" s="6">
        <v>10872.69</v>
      </c>
      <c r="I94" s="2"/>
      <c r="J94" s="7">
        <f t="shared" si="55"/>
        <v>0.40257532627562959</v>
      </c>
      <c r="K94" s="2"/>
      <c r="L94" s="6">
        <f t="shared" si="56"/>
        <v>-11532.720000000001</v>
      </c>
      <c r="M94" s="2"/>
      <c r="N94" s="7">
        <f t="shared" si="57"/>
        <v>-1.0607053084379303</v>
      </c>
      <c r="O94" s="11"/>
      <c r="P94" s="6">
        <v>7593.03</v>
      </c>
      <c r="Q94" s="2"/>
      <c r="R94" s="7">
        <f t="shared" si="58"/>
        <v>1.5595880340145279E-3</v>
      </c>
      <c r="S94" s="2"/>
      <c r="T94" s="6">
        <v>21707.11</v>
      </c>
      <c r="U94" s="2"/>
      <c r="V94" s="7">
        <f t="shared" si="59"/>
        <v>3.6781163837050737E-3</v>
      </c>
      <c r="W94" s="2"/>
      <c r="X94" s="6">
        <f t="shared" si="60"/>
        <v>-14114.080000000002</v>
      </c>
      <c r="Y94" s="2"/>
      <c r="Z94" s="7">
        <f t="shared" si="61"/>
        <v>-0.65020539353234963</v>
      </c>
    </row>
    <row r="95" spans="1:26" s="25" customFormat="1" outlineLevel="1" collapsed="1" x14ac:dyDescent="0.25">
      <c r="A95" s="26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1000</v>
      </c>
      <c r="E95" s="1"/>
      <c r="F95" s="5">
        <f t="shared" si="54"/>
        <v>3.0531927236311016E-2</v>
      </c>
      <c r="G95" s="1"/>
      <c r="H95" s="1">
        <f>SUM(OSRRefH22_8x_0)</f>
        <v>6950</v>
      </c>
      <c r="I95" s="1"/>
      <c r="J95" s="5">
        <f t="shared" si="55"/>
        <v>0.25733268562017547</v>
      </c>
      <c r="K95" s="1"/>
      <c r="L95" s="1">
        <f t="shared" si="56"/>
        <v>-5950</v>
      </c>
      <c r="M95" s="1"/>
      <c r="N95" s="5">
        <f t="shared" si="57"/>
        <v>-0.85611510791366907</v>
      </c>
      <c r="O95" s="13"/>
      <c r="P95" s="1">
        <f>SUM(OSRRefP22_8x_0)</f>
        <v>15800</v>
      </c>
      <c r="Q95" s="1"/>
      <c r="R95" s="5">
        <f t="shared" si="58"/>
        <v>3.245277700394907E-3</v>
      </c>
      <c r="S95" s="1"/>
      <c r="T95" s="1">
        <f>SUM(OSRRefT22_8x_0)</f>
        <v>69500</v>
      </c>
      <c r="U95" s="1"/>
      <c r="V95" s="5">
        <f t="shared" si="59"/>
        <v>1.1776283838221791E-2</v>
      </c>
      <c r="W95" s="1"/>
      <c r="X95" s="1">
        <f t="shared" si="60"/>
        <v>-53700</v>
      </c>
      <c r="Y95" s="1"/>
      <c r="Z95" s="5">
        <f t="shared" si="61"/>
        <v>-0.77266187050359714</v>
      </c>
    </row>
    <row r="96" spans="1:26" s="24" customFormat="1" hidden="1" outlineLevel="2" x14ac:dyDescent="0.25">
      <c r="A96" s="27"/>
      <c r="B96" s="11" t="str">
        <f>CONCATENATE("          ", "6408", " - ", "INVENTORY ADJUSTMENT")</f>
        <v xml:space="preserve">          6408 - INVENTORY ADJUSTMENT</v>
      </c>
      <c r="C96" s="11"/>
      <c r="D96" s="6">
        <v>1000</v>
      </c>
      <c r="E96" s="2"/>
      <c r="F96" s="7">
        <f t="shared" si="54"/>
        <v>3.0531927236311016E-2</v>
      </c>
      <c r="G96" s="2"/>
      <c r="H96" s="6">
        <v>6950</v>
      </c>
      <c r="I96" s="2"/>
      <c r="J96" s="7">
        <f t="shared" si="55"/>
        <v>0.25733268562017547</v>
      </c>
      <c r="K96" s="2"/>
      <c r="L96" s="6">
        <f t="shared" si="56"/>
        <v>-5950</v>
      </c>
      <c r="M96" s="2"/>
      <c r="N96" s="7">
        <f t="shared" si="57"/>
        <v>-0.85611510791366907</v>
      </c>
      <c r="O96" s="11"/>
      <c r="P96" s="6">
        <v>15800</v>
      </c>
      <c r="Q96" s="2"/>
      <c r="R96" s="7">
        <f t="shared" si="58"/>
        <v>3.245277700394907E-3</v>
      </c>
      <c r="S96" s="2"/>
      <c r="T96" s="6">
        <v>69500</v>
      </c>
      <c r="U96" s="2"/>
      <c r="V96" s="7">
        <f t="shared" si="59"/>
        <v>1.1776283838221791E-2</v>
      </c>
      <c r="W96" s="2"/>
      <c r="X96" s="6">
        <f t="shared" si="60"/>
        <v>-53700</v>
      </c>
      <c r="Y96" s="2"/>
      <c r="Z96" s="7">
        <f t="shared" si="61"/>
        <v>-0.77266187050359714</v>
      </c>
    </row>
    <row r="97" spans="1:26" s="25" customFormat="1" outlineLevel="1" collapsed="1" x14ac:dyDescent="0.25">
      <c r="A97" s="26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32.15</v>
      </c>
      <c r="E97" s="1"/>
      <c r="F97" s="5">
        <f t="shared" si="54"/>
        <v>9.8160146064739905E-4</v>
      </c>
      <c r="G97" s="1"/>
      <c r="H97" s="1">
        <f>SUM(OSRRefH22_9x_0)</f>
        <v>107.94</v>
      </c>
      <c r="I97" s="1"/>
      <c r="J97" s="5">
        <f t="shared" si="55"/>
        <v>3.9966172785383799E-3</v>
      </c>
      <c r="K97" s="1"/>
      <c r="L97" s="1">
        <f t="shared" si="56"/>
        <v>-75.789999999999992</v>
      </c>
      <c r="M97" s="1"/>
      <c r="N97" s="5">
        <f t="shared" si="57"/>
        <v>-0.70214934222716319</v>
      </c>
      <c r="O97" s="13"/>
      <c r="P97" s="1">
        <f>SUM(OSRRefP22_9x_0)</f>
        <v>242.45</v>
      </c>
      <c r="Q97" s="1"/>
      <c r="R97" s="5">
        <f t="shared" si="58"/>
        <v>4.9798580915237036E-5</v>
      </c>
      <c r="S97" s="1"/>
      <c r="T97" s="1">
        <f>SUM(OSRRefT22_9x_0)</f>
        <v>-4718.74</v>
      </c>
      <c r="U97" s="1"/>
      <c r="V97" s="5">
        <f t="shared" si="59"/>
        <v>-7.9955714530605311E-4</v>
      </c>
      <c r="W97" s="1"/>
      <c r="X97" s="1">
        <f t="shared" si="60"/>
        <v>4961.1899999999996</v>
      </c>
      <c r="Y97" s="1"/>
      <c r="Z97" s="5">
        <f t="shared" si="61"/>
        <v>-1.0513802413356108</v>
      </c>
    </row>
    <row r="98" spans="1:26" s="24" customFormat="1" hidden="1" outlineLevel="2" x14ac:dyDescent="0.25">
      <c r="A98" s="27"/>
      <c r="B98" s="11" t="str">
        <f>CONCATENATE("          ", "6371", " - ", "COMPUTER SOFTWARE MAINTENANCE")</f>
        <v xml:space="preserve">          6371 - COMPUTER SOFTWARE MAINTENANCE</v>
      </c>
      <c r="C98" s="11"/>
      <c r="D98" s="6"/>
      <c r="E98" s="2"/>
      <c r="F98" s="7">
        <f t="shared" si="54"/>
        <v>0</v>
      </c>
      <c r="G98" s="2"/>
      <c r="H98" s="6"/>
      <c r="I98" s="2"/>
      <c r="J98" s="7">
        <f t="shared" si="55"/>
        <v>0</v>
      </c>
      <c r="K98" s="2"/>
      <c r="L98" s="6">
        <f t="shared" si="56"/>
        <v>0</v>
      </c>
      <c r="M98" s="2"/>
      <c r="N98" s="7">
        <f t="shared" si="57"/>
        <v>0</v>
      </c>
      <c r="O98" s="11"/>
      <c r="P98" s="6"/>
      <c r="Q98" s="2"/>
      <c r="R98" s="7">
        <f t="shared" si="58"/>
        <v>0</v>
      </c>
      <c r="S98" s="2"/>
      <c r="T98" s="6">
        <v>-5550</v>
      </c>
      <c r="U98" s="2"/>
      <c r="V98" s="7">
        <f t="shared" si="59"/>
        <v>-9.4040827772850274E-4</v>
      </c>
      <c r="W98" s="2"/>
      <c r="X98" s="6">
        <f t="shared" si="60"/>
        <v>5550</v>
      </c>
      <c r="Y98" s="2"/>
      <c r="Z98" s="7">
        <f t="shared" si="61"/>
        <v>-1</v>
      </c>
    </row>
    <row r="99" spans="1:26" s="24" customFormat="1" hidden="1" outlineLevel="2" x14ac:dyDescent="0.25">
      <c r="A99" s="27"/>
      <c r="B99" s="11" t="str">
        <f>CONCATENATE("          ", "6373", " - ", "MAINTENANCE CONTRACTS")</f>
        <v xml:space="preserve">          6373 - MAINTENANCE CONTRACTS</v>
      </c>
      <c r="C99" s="11"/>
      <c r="D99" s="6">
        <v>32.15</v>
      </c>
      <c r="E99" s="2"/>
      <c r="F99" s="7">
        <f t="shared" si="54"/>
        <v>9.8160146064739905E-4</v>
      </c>
      <c r="G99" s="2"/>
      <c r="H99" s="6">
        <v>29.94</v>
      </c>
      <c r="I99" s="2"/>
      <c r="J99" s="7">
        <f t="shared" si="55"/>
        <v>1.1085669938802956E-3</v>
      </c>
      <c r="K99" s="2"/>
      <c r="L99" s="6">
        <f t="shared" si="56"/>
        <v>2.2099999999999973</v>
      </c>
      <c r="M99" s="2"/>
      <c r="N99" s="7">
        <f t="shared" si="57"/>
        <v>7.3814295257180931E-2</v>
      </c>
      <c r="O99" s="11"/>
      <c r="P99" s="6">
        <v>242.45</v>
      </c>
      <c r="Q99" s="2"/>
      <c r="R99" s="7">
        <f t="shared" si="58"/>
        <v>4.9798580915237036E-5</v>
      </c>
      <c r="S99" s="2"/>
      <c r="T99" s="6">
        <v>285.26</v>
      </c>
      <c r="U99" s="2"/>
      <c r="V99" s="7">
        <f t="shared" si="59"/>
        <v>4.8335291045915799E-5</v>
      </c>
      <c r="W99" s="2"/>
      <c r="X99" s="6">
        <f t="shared" si="60"/>
        <v>-42.81</v>
      </c>
      <c r="Y99" s="2"/>
      <c r="Z99" s="7">
        <f t="shared" si="61"/>
        <v>-0.15007361705111127</v>
      </c>
    </row>
    <row r="100" spans="1:26" s="24" customFormat="1" hidden="1" outlineLevel="2" x14ac:dyDescent="0.25">
      <c r="A100" s="27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54"/>
        <v>0</v>
      </c>
      <c r="G100" s="2"/>
      <c r="H100" s="6">
        <v>78</v>
      </c>
      <c r="I100" s="2"/>
      <c r="J100" s="7">
        <f t="shared" si="55"/>
        <v>2.8880502846580845E-3</v>
      </c>
      <c r="K100" s="2"/>
      <c r="L100" s="6">
        <f t="shared" si="56"/>
        <v>-78</v>
      </c>
      <c r="M100" s="2"/>
      <c r="N100" s="7">
        <f t="shared" si="57"/>
        <v>-1</v>
      </c>
      <c r="O100" s="11"/>
      <c r="P100" s="6"/>
      <c r="Q100" s="2"/>
      <c r="R100" s="7">
        <f t="shared" si="58"/>
        <v>0</v>
      </c>
      <c r="S100" s="2"/>
      <c r="T100" s="6">
        <v>546</v>
      </c>
      <c r="U100" s="2"/>
      <c r="V100" s="7">
        <f t="shared" si="59"/>
        <v>9.2515841376533784E-5</v>
      </c>
      <c r="W100" s="2"/>
      <c r="X100" s="6">
        <f t="shared" si="60"/>
        <v>-546</v>
      </c>
      <c r="Y100" s="2"/>
      <c r="Z100" s="7">
        <f t="shared" si="61"/>
        <v>-1</v>
      </c>
    </row>
    <row r="101" spans="1:26" s="25" customFormat="1" outlineLevel="1" collapsed="1" x14ac:dyDescent="0.25">
      <c r="A101" s="26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SUM(OSRRefD22_10x_0)</f>
        <v>2102.08</v>
      </c>
      <c r="E101" s="1"/>
      <c r="F101" s="5">
        <f t="shared" ref="F101:F103" si="62">IF(D$12=0,0,D101/D$12)</f>
        <v>6.4180553604904655E-2</v>
      </c>
      <c r="G101" s="1"/>
      <c r="H101" s="1">
        <f>SUM(OSRRefH22_10x_0)</f>
        <v>419.38</v>
      </c>
      <c r="I101" s="1"/>
      <c r="J101" s="5">
        <f t="shared" ref="J101:J103" si="63">IF(H$12=0,0,H101/H$12)</f>
        <v>1.5528083697178301E-2</v>
      </c>
      <c r="K101" s="1"/>
      <c r="L101" s="1">
        <f t="shared" ref="L101:L103" si="64">+D101-H101</f>
        <v>1682.6999999999998</v>
      </c>
      <c r="M101" s="1"/>
      <c r="N101" s="5">
        <f t="shared" ref="N101:N103" si="65">IF(H101=0,0,L101/H101)</f>
        <v>4.0123515665983112</v>
      </c>
      <c r="O101" s="13"/>
      <c r="P101" s="1">
        <f>SUM(OSRRefP22_10x_0)</f>
        <v>5050.5599999999995</v>
      </c>
      <c r="Q101" s="1"/>
      <c r="R101" s="5">
        <f t="shared" ref="R101:R103" si="66">IF(P$12=0,0,P101/P$12)</f>
        <v>1.0373715026902848E-3</v>
      </c>
      <c r="S101" s="1"/>
      <c r="T101" s="1">
        <f>SUM(OSRRefT22_10x_0)</f>
        <v>6733.67</v>
      </c>
      <c r="U101" s="1"/>
      <c r="V101" s="5">
        <f t="shared" ref="V101:V103" si="67">IF(T$12=0,0,T101/T$12)</f>
        <v>1.1409727941427182E-3</v>
      </c>
      <c r="W101" s="1"/>
      <c r="X101" s="1">
        <f t="shared" ref="X101:X103" si="68">+P101-T101</f>
        <v>-1683.1100000000006</v>
      </c>
      <c r="Y101" s="1"/>
      <c r="Z101" s="5">
        <f t="shared" ref="Z101:Z103" si="69">IF(T101=0,0,X101/T101)</f>
        <v>-0.24995433396647007</v>
      </c>
    </row>
    <row r="102" spans="1:26" s="24" customFormat="1" hidden="1" outlineLevel="2" x14ac:dyDescent="0.25">
      <c r="A102" s="27"/>
      <c r="B102" s="11" t="str">
        <f>CONCATENATE("          ", "6258", " - ", "MEMBERSHIP DUES")</f>
        <v xml:space="preserve">          6258 - MEMBERSHIP DUES</v>
      </c>
      <c r="C102" s="11"/>
      <c r="D102" s="6">
        <v>250</v>
      </c>
      <c r="E102" s="2"/>
      <c r="F102" s="7">
        <f t="shared" si="62"/>
        <v>7.6329818090777541E-3</v>
      </c>
      <c r="G102" s="2"/>
      <c r="H102" s="6">
        <v>419.38</v>
      </c>
      <c r="I102" s="2"/>
      <c r="J102" s="7">
        <f t="shared" si="63"/>
        <v>1.5528083697178301E-2</v>
      </c>
      <c r="K102" s="2"/>
      <c r="L102" s="6">
        <f t="shared" si="64"/>
        <v>-169.38</v>
      </c>
      <c r="M102" s="2"/>
      <c r="N102" s="7">
        <f t="shared" si="65"/>
        <v>-0.40388192093089798</v>
      </c>
      <c r="O102" s="11"/>
      <c r="P102" s="6">
        <v>3198.48</v>
      </c>
      <c r="Q102" s="2"/>
      <c r="R102" s="7">
        <f t="shared" si="66"/>
        <v>6.5695922906070263E-4</v>
      </c>
      <c r="S102" s="2"/>
      <c r="T102" s="6">
        <v>4935.53</v>
      </c>
      <c r="U102" s="2"/>
      <c r="V102" s="7">
        <f t="shared" si="67"/>
        <v>8.3629067873465881E-4</v>
      </c>
      <c r="W102" s="2"/>
      <c r="X102" s="6">
        <f t="shared" si="68"/>
        <v>-1737.0499999999997</v>
      </c>
      <c r="Y102" s="2"/>
      <c r="Z102" s="7">
        <f t="shared" si="69"/>
        <v>-0.35194801774074919</v>
      </c>
    </row>
    <row r="103" spans="1:26" s="24" customFormat="1" hidden="1" outlineLevel="2" x14ac:dyDescent="0.25">
      <c r="A103" s="27"/>
      <c r="B103" s="11" t="str">
        <f>CONCATENATE("          ", "6275", " - ", "SUBSCRIPTIONS")</f>
        <v xml:space="preserve">          6275 - SUBSCRIPTIONS</v>
      </c>
      <c r="C103" s="11"/>
      <c r="D103" s="6">
        <v>1852.08</v>
      </c>
      <c r="E103" s="2"/>
      <c r="F103" s="7">
        <f t="shared" si="62"/>
        <v>5.6547571795826902E-2</v>
      </c>
      <c r="G103" s="2"/>
      <c r="H103" s="6"/>
      <c r="I103" s="2"/>
      <c r="J103" s="7">
        <f t="shared" si="63"/>
        <v>0</v>
      </c>
      <c r="K103" s="2"/>
      <c r="L103" s="6">
        <f t="shared" si="64"/>
        <v>1852.08</v>
      </c>
      <c r="M103" s="2"/>
      <c r="N103" s="7">
        <f t="shared" si="65"/>
        <v>0</v>
      </c>
      <c r="O103" s="11"/>
      <c r="P103" s="6">
        <v>1852.08</v>
      </c>
      <c r="Q103" s="2"/>
      <c r="R103" s="7">
        <f t="shared" si="66"/>
        <v>3.8041227362958221E-4</v>
      </c>
      <c r="S103" s="2"/>
      <c r="T103" s="6">
        <v>1798.14</v>
      </c>
      <c r="U103" s="2"/>
      <c r="V103" s="7">
        <f t="shared" si="67"/>
        <v>3.0468211540805943E-4</v>
      </c>
      <c r="W103" s="2"/>
      <c r="X103" s="6">
        <f t="shared" si="68"/>
        <v>53.939999999999827</v>
      </c>
      <c r="Y103" s="2"/>
      <c r="Z103" s="7">
        <f t="shared" si="69"/>
        <v>2.9997664253061398E-2</v>
      </c>
    </row>
    <row r="104" spans="1:26" s="25" customFormat="1" outlineLevel="1" collapsed="1" x14ac:dyDescent="0.25">
      <c r="A104" s="26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SUM(OSRRefD22_11x_0)</f>
        <v>1628.03</v>
      </c>
      <c r="E104" s="1"/>
      <c r="F104" s="5">
        <f t="shared" ref="F104:F108" si="70">IF(D$12=0,0,D104/D$12)</f>
        <v>4.970689349853142E-2</v>
      </c>
      <c r="G104" s="1"/>
      <c r="H104" s="1">
        <f>SUM(OSRRefH22_11x_0)</f>
        <v>383.99</v>
      </c>
      <c r="I104" s="1"/>
      <c r="J104" s="5">
        <f t="shared" ref="J104:J108" si="71">IF(H$12=0,0,H104/H$12)</f>
        <v>1.4217723446228948E-2</v>
      </c>
      <c r="K104" s="1"/>
      <c r="L104" s="1">
        <f t="shared" ref="L104:L108" si="72">+D104-H104</f>
        <v>1244.04</v>
      </c>
      <c r="M104" s="1"/>
      <c r="N104" s="5">
        <f t="shared" ref="N104:N108" si="73">IF(H104=0,0,L104/H104)</f>
        <v>3.2397718690590898</v>
      </c>
      <c r="O104" s="13"/>
      <c r="P104" s="1">
        <f>SUM(OSRRefP22_11x_0)</f>
        <v>12747.93</v>
      </c>
      <c r="Q104" s="1"/>
      <c r="R104" s="5">
        <f t="shared" ref="R104:R108" si="74">IF(P$12=0,0,P104/P$12)</f>
        <v>2.618390693366788E-3</v>
      </c>
      <c r="S104" s="1"/>
      <c r="T104" s="1">
        <f>SUM(OSRRefT22_11x_0)</f>
        <v>17233.199999999997</v>
      </c>
      <c r="U104" s="1"/>
      <c r="V104" s="5">
        <f t="shared" ref="V104:V108" si="75">IF(T$12=0,0,T104/T$12)</f>
        <v>2.9200439516668163E-3</v>
      </c>
      <c r="W104" s="1"/>
      <c r="X104" s="1">
        <f t="shared" ref="X104:X108" si="76">+P104-T104</f>
        <v>-4485.2699999999968</v>
      </c>
      <c r="Y104" s="1"/>
      <c r="Z104" s="5">
        <f t="shared" ref="Z104:Z108" si="77">IF(T104=0,0,X104/T104)</f>
        <v>-0.26026913167606697</v>
      </c>
    </row>
    <row r="105" spans="1:26" s="24" customFormat="1" hidden="1" outlineLevel="2" x14ac:dyDescent="0.25">
      <c r="A105" s="27"/>
      <c r="B105" s="11" t="str">
        <f>CONCATENATE("          ", "6234", " - ", "EXPENDABLE SUPPLIES &amp; EQUIPMEN")</f>
        <v xml:space="preserve">          6234 - EXPENDABLE SUPPLIES &amp; EQUIPMEN</v>
      </c>
      <c r="C105" s="11"/>
      <c r="D105" s="6"/>
      <c r="E105" s="2"/>
      <c r="F105" s="7">
        <f t="shared" si="70"/>
        <v>0</v>
      </c>
      <c r="G105" s="2"/>
      <c r="H105" s="6"/>
      <c r="I105" s="2"/>
      <c r="J105" s="7">
        <f t="shared" si="71"/>
        <v>0</v>
      </c>
      <c r="K105" s="2"/>
      <c r="L105" s="6">
        <f t="shared" si="72"/>
        <v>0</v>
      </c>
      <c r="M105" s="2"/>
      <c r="N105" s="7">
        <f t="shared" si="73"/>
        <v>0</v>
      </c>
      <c r="O105" s="11"/>
      <c r="P105" s="6"/>
      <c r="Q105" s="2"/>
      <c r="R105" s="7">
        <f t="shared" si="74"/>
        <v>0</v>
      </c>
      <c r="S105" s="2"/>
      <c r="T105" s="6">
        <v>272.45999999999998</v>
      </c>
      <c r="U105" s="2"/>
      <c r="V105" s="7">
        <f t="shared" si="75"/>
        <v>4.6166421504487893E-5</v>
      </c>
      <c r="W105" s="2"/>
      <c r="X105" s="6">
        <f t="shared" si="76"/>
        <v>-272.45999999999998</v>
      </c>
      <c r="Y105" s="2"/>
      <c r="Z105" s="7">
        <f t="shared" si="77"/>
        <v>-1</v>
      </c>
    </row>
    <row r="106" spans="1:26" s="24" customFormat="1" hidden="1" outlineLevel="2" x14ac:dyDescent="0.25">
      <c r="A106" s="27"/>
      <c r="B106" s="11" t="str">
        <f>CONCATENATE("          ", "6241", " - ", "OFFICE EXPENSE")</f>
        <v xml:space="preserve">          6241 - OFFICE EXPENSE</v>
      </c>
      <c r="C106" s="11"/>
      <c r="D106" s="6"/>
      <c r="E106" s="2"/>
      <c r="F106" s="7">
        <f t="shared" si="70"/>
        <v>0</v>
      </c>
      <c r="G106" s="2"/>
      <c r="H106" s="6">
        <v>106.07</v>
      </c>
      <c r="I106" s="2"/>
      <c r="J106" s="7">
        <f t="shared" si="71"/>
        <v>3.9273781242779868E-3</v>
      </c>
      <c r="K106" s="2"/>
      <c r="L106" s="6">
        <f t="shared" si="72"/>
        <v>-106.07</v>
      </c>
      <c r="M106" s="2"/>
      <c r="N106" s="7">
        <f t="shared" si="73"/>
        <v>-1</v>
      </c>
      <c r="O106" s="11"/>
      <c r="P106" s="6">
        <v>4027.86</v>
      </c>
      <c r="Q106" s="2"/>
      <c r="R106" s="7">
        <f t="shared" si="74"/>
        <v>8.2731166065269819E-4</v>
      </c>
      <c r="S106" s="2"/>
      <c r="T106" s="6">
        <v>8083.32</v>
      </c>
      <c r="U106" s="2"/>
      <c r="V106" s="7">
        <f t="shared" si="75"/>
        <v>1.3696614485636685E-3</v>
      </c>
      <c r="W106" s="2"/>
      <c r="X106" s="6">
        <f t="shared" si="76"/>
        <v>-4055.4599999999996</v>
      </c>
      <c r="Y106" s="2"/>
      <c r="Z106" s="7">
        <f t="shared" si="77"/>
        <v>-0.50170721931087714</v>
      </c>
    </row>
    <row r="107" spans="1:26" s="24" customFormat="1" hidden="1" outlineLevel="2" x14ac:dyDescent="0.25">
      <c r="A107" s="27"/>
      <c r="B107" s="11" t="str">
        <f>CONCATENATE("          ", "6245", " - ", "PRINTING")</f>
        <v xml:space="preserve">          6245 - PRINTING</v>
      </c>
      <c r="C107" s="11"/>
      <c r="D107" s="6">
        <v>220.5</v>
      </c>
      <c r="E107" s="2"/>
      <c r="F107" s="7">
        <f t="shared" si="70"/>
        <v>6.7322899556065789E-3</v>
      </c>
      <c r="G107" s="2"/>
      <c r="H107" s="6"/>
      <c r="I107" s="2"/>
      <c r="J107" s="7">
        <f t="shared" si="71"/>
        <v>0</v>
      </c>
      <c r="K107" s="2"/>
      <c r="L107" s="6">
        <f t="shared" si="72"/>
        <v>220.5</v>
      </c>
      <c r="M107" s="2"/>
      <c r="N107" s="7">
        <f t="shared" si="73"/>
        <v>0</v>
      </c>
      <c r="O107" s="11"/>
      <c r="P107" s="6">
        <v>5198.58</v>
      </c>
      <c r="Q107" s="2"/>
      <c r="R107" s="7">
        <f t="shared" si="74"/>
        <v>1.0677744144125922E-3</v>
      </c>
      <c r="S107" s="2"/>
      <c r="T107" s="6">
        <v>565.29</v>
      </c>
      <c r="U107" s="2"/>
      <c r="V107" s="7">
        <f t="shared" si="75"/>
        <v>9.5784395552638783E-5</v>
      </c>
      <c r="W107" s="2"/>
      <c r="X107" s="6">
        <f t="shared" si="76"/>
        <v>4633.29</v>
      </c>
      <c r="Y107" s="2"/>
      <c r="Z107" s="7">
        <f t="shared" si="77"/>
        <v>8.1963063206495779</v>
      </c>
    </row>
    <row r="108" spans="1:26" s="24" customFormat="1" hidden="1" outlineLevel="2" x14ac:dyDescent="0.25">
      <c r="A108" s="27"/>
      <c r="B108" s="11" t="str">
        <f>CONCATENATE("          ", "6247", " - ", "STORE SUPPLIES")</f>
        <v xml:space="preserve">          6247 - STORE SUPPLIES</v>
      </c>
      <c r="C108" s="11"/>
      <c r="D108" s="6">
        <v>1407.53</v>
      </c>
      <c r="E108" s="2"/>
      <c r="F108" s="7">
        <f t="shared" si="70"/>
        <v>4.2974603542924844E-2</v>
      </c>
      <c r="G108" s="2"/>
      <c r="H108" s="6">
        <v>277.92</v>
      </c>
      <c r="I108" s="2"/>
      <c r="J108" s="7">
        <f t="shared" si="71"/>
        <v>1.029034532195096E-2</v>
      </c>
      <c r="K108" s="2"/>
      <c r="L108" s="6">
        <f t="shared" si="72"/>
        <v>1129.6099999999999</v>
      </c>
      <c r="M108" s="2"/>
      <c r="N108" s="7">
        <f t="shared" si="73"/>
        <v>4.0645149683362112</v>
      </c>
      <c r="O108" s="11"/>
      <c r="P108" s="6">
        <v>3521.49</v>
      </c>
      <c r="Q108" s="2"/>
      <c r="R108" s="7">
        <f t="shared" si="74"/>
        <v>7.2330461830149748E-4</v>
      </c>
      <c r="S108" s="2"/>
      <c r="T108" s="6">
        <v>8312.1299999999992</v>
      </c>
      <c r="U108" s="2"/>
      <c r="V108" s="7">
        <f t="shared" si="75"/>
        <v>1.4084316860460213E-3</v>
      </c>
      <c r="W108" s="2"/>
      <c r="X108" s="6">
        <f t="shared" si="76"/>
        <v>-4790.6399999999994</v>
      </c>
      <c r="Y108" s="2"/>
      <c r="Z108" s="7">
        <f t="shared" si="77"/>
        <v>-0.57634324775959955</v>
      </c>
    </row>
    <row r="109" spans="1:26" s="25" customFormat="1" outlineLevel="1" collapsed="1" x14ac:dyDescent="0.25">
      <c r="A109" s="26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SUM(OSRRefD22_12x_0)</f>
        <v>474.35</v>
      </c>
      <c r="E109" s="1"/>
      <c r="F109" s="5">
        <f t="shared" ref="F109:F111" si="78">IF(D$12=0,0,D109/D$12)</f>
        <v>1.4482819684544131E-2</v>
      </c>
      <c r="G109" s="1"/>
      <c r="H109" s="1">
        <f>SUM(OSRRefH22_12x_0)</f>
        <v>778.65</v>
      </c>
      <c r="I109" s="1"/>
      <c r="J109" s="5">
        <f t="shared" ref="J109:J111" si="79">IF(H$12=0,0,H109/H$12)</f>
        <v>2.8830517360884839E-2</v>
      </c>
      <c r="K109" s="1"/>
      <c r="L109" s="1">
        <f t="shared" ref="L109:L111" si="80">+D109-H109</f>
        <v>-304.29999999999995</v>
      </c>
      <c r="M109" s="1"/>
      <c r="N109" s="5">
        <f t="shared" ref="N109:N111" si="81">IF(H109=0,0,L109/H109)</f>
        <v>-0.39080459770114939</v>
      </c>
      <c r="O109" s="13"/>
      <c r="P109" s="1">
        <f>SUM(OSRRefP22_12x_0)</f>
        <v>7145.99</v>
      </c>
      <c r="Q109" s="1"/>
      <c r="R109" s="5">
        <f t="shared" ref="R109:R111" si="82">IF(P$12=0,0,P109/P$12)</f>
        <v>1.467767214825633E-3</v>
      </c>
      <c r="S109" s="1"/>
      <c r="T109" s="1">
        <f>SUM(OSRRefT22_12x_0)</f>
        <v>7601.25</v>
      </c>
      <c r="U109" s="1"/>
      <c r="V109" s="5">
        <f t="shared" ref="V109:V111" si="83">IF(T$12=0,0,T109/T$12)</f>
        <v>1.2879780938889697E-3</v>
      </c>
      <c r="W109" s="1"/>
      <c r="X109" s="1">
        <f t="shared" ref="X109:X111" si="84">+P109-T109</f>
        <v>-455.26000000000022</v>
      </c>
      <c r="Y109" s="1"/>
      <c r="Z109" s="5">
        <f t="shared" ref="Z109:Z111" si="85">IF(T109=0,0,X109/T109)</f>
        <v>-5.989278079263282E-2</v>
      </c>
    </row>
    <row r="110" spans="1:26" s="24" customFormat="1" hidden="1" outlineLevel="2" x14ac:dyDescent="0.25">
      <c r="A110" s="27"/>
      <c r="B110" s="11" t="str">
        <f>CONCATENATE("          ", "6303", " - ", "DATA PHONE LINES")</f>
        <v xml:space="preserve">          6303 - DATA PHONE LINES</v>
      </c>
      <c r="C110" s="11"/>
      <c r="D110" s="6"/>
      <c r="E110" s="2"/>
      <c r="F110" s="7">
        <f t="shared" si="78"/>
        <v>0</v>
      </c>
      <c r="G110" s="2"/>
      <c r="H110" s="6">
        <v>295</v>
      </c>
      <c r="I110" s="2"/>
      <c r="J110" s="7">
        <f t="shared" si="79"/>
        <v>1.0922754281719679E-2</v>
      </c>
      <c r="K110" s="2"/>
      <c r="L110" s="6">
        <f t="shared" si="80"/>
        <v>-295</v>
      </c>
      <c r="M110" s="2"/>
      <c r="N110" s="7">
        <f t="shared" si="81"/>
        <v>-1</v>
      </c>
      <c r="O110" s="11"/>
      <c r="P110" s="6">
        <v>2360</v>
      </c>
      <c r="Q110" s="2"/>
      <c r="R110" s="7">
        <f t="shared" si="82"/>
        <v>4.8473768183113799E-4</v>
      </c>
      <c r="S110" s="2"/>
      <c r="T110" s="6">
        <v>2655</v>
      </c>
      <c r="U110" s="2"/>
      <c r="V110" s="7">
        <f t="shared" si="83"/>
        <v>4.4987098691336478E-4</v>
      </c>
      <c r="W110" s="2"/>
      <c r="X110" s="6">
        <f t="shared" si="84"/>
        <v>-295</v>
      </c>
      <c r="Y110" s="2"/>
      <c r="Z110" s="7">
        <f t="shared" si="85"/>
        <v>-0.1111111111111111</v>
      </c>
    </row>
    <row r="111" spans="1:26" s="24" customFormat="1" hidden="1" outlineLevel="2" x14ac:dyDescent="0.25">
      <c r="A111" s="27"/>
      <c r="B111" s="11" t="str">
        <f>CONCATENATE("          ", "6309", " - ", "TELEPHONE")</f>
        <v xml:space="preserve">          6309 - TELEPHONE</v>
      </c>
      <c r="C111" s="11"/>
      <c r="D111" s="6">
        <v>474.35</v>
      </c>
      <c r="E111" s="2"/>
      <c r="F111" s="7">
        <f t="shared" si="78"/>
        <v>1.4482819684544131E-2</v>
      </c>
      <c r="G111" s="2"/>
      <c r="H111" s="6">
        <v>483.65</v>
      </c>
      <c r="I111" s="2"/>
      <c r="J111" s="7">
        <f t="shared" si="79"/>
        <v>1.7907763079165161E-2</v>
      </c>
      <c r="K111" s="2"/>
      <c r="L111" s="6">
        <f t="shared" si="80"/>
        <v>-9.2999999999999545</v>
      </c>
      <c r="M111" s="2"/>
      <c r="N111" s="7">
        <f t="shared" si="81"/>
        <v>-1.9228781143388721E-2</v>
      </c>
      <c r="O111" s="11"/>
      <c r="P111" s="6">
        <v>4785.99</v>
      </c>
      <c r="Q111" s="2"/>
      <c r="R111" s="7">
        <f t="shared" si="82"/>
        <v>9.8302953299449496E-4</v>
      </c>
      <c r="S111" s="2"/>
      <c r="T111" s="6">
        <v>4946.25</v>
      </c>
      <c r="U111" s="2"/>
      <c r="V111" s="7">
        <f t="shared" si="83"/>
        <v>8.3810710697560474E-4</v>
      </c>
      <c r="W111" s="2"/>
      <c r="X111" s="6">
        <f t="shared" si="84"/>
        <v>-160.26000000000022</v>
      </c>
      <c r="Y111" s="2"/>
      <c r="Z111" s="7">
        <f t="shared" si="85"/>
        <v>-3.2400303260045532E-2</v>
      </c>
    </row>
    <row r="112" spans="1:26" s="25" customFormat="1" outlineLevel="1" collapsed="1" x14ac:dyDescent="0.25">
      <c r="A112" s="26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SUM(OSRRefD22_13x_0)</f>
        <v>0</v>
      </c>
      <c r="E112" s="1"/>
      <c r="F112" s="5">
        <f t="shared" ref="F112:F115" si="86">IF(D$12=0,0,D112/D$12)</f>
        <v>0</v>
      </c>
      <c r="G112" s="1"/>
      <c r="H112" s="1">
        <f>SUM(OSRRefH22_13x_0)</f>
        <v>1335.48</v>
      </c>
      <c r="I112" s="1"/>
      <c r="J112" s="5">
        <f t="shared" ref="J112:J115" si="87">IF(H$12=0,0,H112/H$12)</f>
        <v>4.9447864027630496E-2</v>
      </c>
      <c r="K112" s="1"/>
      <c r="L112" s="1">
        <f t="shared" ref="L112:L115" si="88">+D112-H112</f>
        <v>-1335.48</v>
      </c>
      <c r="M112" s="1"/>
      <c r="N112" s="5">
        <f t="shared" ref="N112:N115" si="89">IF(H112=0,0,L112/H112)</f>
        <v>-1</v>
      </c>
      <c r="O112" s="13"/>
      <c r="P112" s="1">
        <f>SUM(OSRRefP22_13x_0)</f>
        <v>4157.1499999999996</v>
      </c>
      <c r="Q112" s="1"/>
      <c r="R112" s="5">
        <f t="shared" ref="R112:R115" si="90">IF(P$12=0,0,P112/P$12)</f>
        <v>8.5386748051877767E-4</v>
      </c>
      <c r="S112" s="1"/>
      <c r="T112" s="1">
        <f>SUM(OSRRefT22_13x_0)</f>
        <v>3090.98</v>
      </c>
      <c r="U112" s="1"/>
      <c r="V112" s="5">
        <f t="shared" ref="V112:V115" si="91">IF(T$12=0,0,T112/T$12)</f>
        <v>5.2374471680959414E-4</v>
      </c>
      <c r="W112" s="1"/>
      <c r="X112" s="1">
        <f t="shared" ref="X112:X115" si="92">+P112-T112</f>
        <v>1066.1699999999996</v>
      </c>
      <c r="Y112" s="1"/>
      <c r="Z112" s="5">
        <f t="shared" ref="Z112:Z115" si="93">IF(T112=0,0,X112/T112)</f>
        <v>0.34492943985402674</v>
      </c>
    </row>
    <row r="113" spans="1:26" s="24" customFormat="1" hidden="1" outlineLevel="2" x14ac:dyDescent="0.25">
      <c r="A113" s="27"/>
      <c r="B113" s="11" t="str">
        <f>CONCATENATE("          ", "6376", " - ", "TRAINING")</f>
        <v xml:space="preserve">          6376 - TRAINING</v>
      </c>
      <c r="C113" s="11"/>
      <c r="D113" s="6"/>
      <c r="E113" s="2"/>
      <c r="F113" s="7">
        <f t="shared" si="86"/>
        <v>0</v>
      </c>
      <c r="G113" s="2"/>
      <c r="H113" s="6">
        <v>1335.48</v>
      </c>
      <c r="I113" s="2"/>
      <c r="J113" s="7">
        <f t="shared" si="87"/>
        <v>4.9447864027630496E-2</v>
      </c>
      <c r="K113" s="2"/>
      <c r="L113" s="6">
        <f t="shared" si="88"/>
        <v>-1335.48</v>
      </c>
      <c r="M113" s="2"/>
      <c r="N113" s="7">
        <f t="shared" si="89"/>
        <v>-1</v>
      </c>
      <c r="O113" s="11"/>
      <c r="P113" s="6">
        <v>4157.1499999999996</v>
      </c>
      <c r="Q113" s="2"/>
      <c r="R113" s="7">
        <f t="shared" si="90"/>
        <v>8.5386748051877767E-4</v>
      </c>
      <c r="S113" s="2"/>
      <c r="T113" s="6">
        <v>3090.98</v>
      </c>
      <c r="U113" s="2"/>
      <c r="V113" s="7">
        <f t="shared" si="91"/>
        <v>5.2374471680959414E-4</v>
      </c>
      <c r="W113" s="2"/>
      <c r="X113" s="6">
        <f t="shared" si="92"/>
        <v>1066.1699999999996</v>
      </c>
      <c r="Y113" s="2"/>
      <c r="Z113" s="7">
        <f t="shared" si="93"/>
        <v>0.34492943985402674</v>
      </c>
    </row>
    <row r="114" spans="1:26" s="25" customFormat="1" outlineLevel="1" collapsed="1" x14ac:dyDescent="0.25">
      <c r="A114" s="26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SUM(OSRRefD22_14x_0)</f>
        <v>0</v>
      </c>
      <c r="E114" s="1"/>
      <c r="F114" s="5">
        <f t="shared" si="86"/>
        <v>0</v>
      </c>
      <c r="G114" s="1"/>
      <c r="H114" s="1">
        <f>SUM(OSRRefH22_14x_0)</f>
        <v>0</v>
      </c>
      <c r="I114" s="1"/>
      <c r="J114" s="5">
        <f t="shared" si="87"/>
        <v>0</v>
      </c>
      <c r="K114" s="1"/>
      <c r="L114" s="1">
        <f t="shared" si="88"/>
        <v>0</v>
      </c>
      <c r="M114" s="1"/>
      <c r="N114" s="5">
        <f t="shared" si="89"/>
        <v>0</v>
      </c>
      <c r="O114" s="13"/>
      <c r="P114" s="1">
        <f>SUM(OSRRefP22_14x_0)</f>
        <v>83.93</v>
      </c>
      <c r="Q114" s="1"/>
      <c r="R114" s="5">
        <f t="shared" si="90"/>
        <v>1.723899730342687E-5</v>
      </c>
      <c r="S114" s="1"/>
      <c r="T114" s="1">
        <f>SUM(OSRRefT22_14x_0)</f>
        <v>68.27</v>
      </c>
      <c r="U114" s="1"/>
      <c r="V114" s="5">
        <f t="shared" si="91"/>
        <v>1.1567869030725202E-5</v>
      </c>
      <c r="W114" s="1"/>
      <c r="X114" s="1">
        <f t="shared" si="92"/>
        <v>15.660000000000011</v>
      </c>
      <c r="Y114" s="1"/>
      <c r="Z114" s="5">
        <f t="shared" si="93"/>
        <v>0.22938333089204646</v>
      </c>
    </row>
    <row r="115" spans="1:26" s="24" customFormat="1" hidden="1" outlineLevel="2" x14ac:dyDescent="0.25">
      <c r="A115" s="27"/>
      <c r="B115" s="11" t="str">
        <f>CONCATENATE("          ", "6292", " - ", "TRAVEL/CONFERENCE")</f>
        <v xml:space="preserve">          6292 - TRAVEL/CONFERENCE</v>
      </c>
      <c r="C115" s="11"/>
      <c r="D115" s="6"/>
      <c r="E115" s="2"/>
      <c r="F115" s="7">
        <f t="shared" si="86"/>
        <v>0</v>
      </c>
      <c r="G115" s="2"/>
      <c r="H115" s="6"/>
      <c r="I115" s="2"/>
      <c r="J115" s="7">
        <f t="shared" si="87"/>
        <v>0</v>
      </c>
      <c r="K115" s="2"/>
      <c r="L115" s="6">
        <f t="shared" si="88"/>
        <v>0</v>
      </c>
      <c r="M115" s="2"/>
      <c r="N115" s="7">
        <f t="shared" si="89"/>
        <v>0</v>
      </c>
      <c r="O115" s="11"/>
      <c r="P115" s="6">
        <v>83.93</v>
      </c>
      <c r="Q115" s="2"/>
      <c r="R115" s="7">
        <f t="shared" si="90"/>
        <v>1.723899730342687E-5</v>
      </c>
      <c r="S115" s="2"/>
      <c r="T115" s="6">
        <v>68.27</v>
      </c>
      <c r="U115" s="2"/>
      <c r="V115" s="7">
        <f t="shared" si="91"/>
        <v>1.1567869030725202E-5</v>
      </c>
      <c r="W115" s="2"/>
      <c r="X115" s="6">
        <f t="shared" si="92"/>
        <v>15.660000000000011</v>
      </c>
      <c r="Y115" s="2"/>
      <c r="Z115" s="7">
        <f t="shared" si="93"/>
        <v>0.22938333089204646</v>
      </c>
    </row>
    <row r="116" spans="1:26" s="53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9" t="s">
        <v>0</v>
      </c>
      <c r="C117" s="10"/>
      <c r="D117" s="4">
        <f>SUM(OSRRefD25x_0)</f>
        <v>186.38</v>
      </c>
      <c r="E117" s="4"/>
      <c r="F117" s="12">
        <f t="shared" ref="F117:F120" si="94">IF(D$12=0,0,D117/D$12)</f>
        <v>5.6905405983036471E-3</v>
      </c>
      <c r="G117" s="4"/>
      <c r="H117" s="4">
        <f>SUM(OSRRefH25x_0)</f>
        <v>158.18</v>
      </c>
      <c r="I117" s="4"/>
      <c r="J117" s="12">
        <f t="shared" ref="J117:J120" si="95">IF(H$12=0,0,H117/H$12)</f>
        <v>5.8568178721437924E-3</v>
      </c>
      <c r="K117" s="4"/>
      <c r="L117" s="4">
        <f t="shared" ref="L117:L120" si="96">+D117-H117</f>
        <v>28.199999999999989</v>
      </c>
      <c r="M117" s="4"/>
      <c r="N117" s="12">
        <f t="shared" ref="N117:N120" si="97">IF(H117=0,0,L117/H117)</f>
        <v>0.17827791124035899</v>
      </c>
      <c r="O117" s="10"/>
      <c r="P117" s="4">
        <f>SUM(OSRRefP25x_0)</f>
        <v>188042.77999999997</v>
      </c>
      <c r="Q117" s="4"/>
      <c r="R117" s="12">
        <f t="shared" ref="R117:R120" si="98">IF(P$12=0,0,P117/P$12)</f>
        <v>3.8623483585712992E-2</v>
      </c>
      <c r="S117" s="4"/>
      <c r="T117" s="4">
        <f>SUM(OSRRefT25x_0)</f>
        <v>97448</v>
      </c>
      <c r="U117" s="4"/>
      <c r="V117" s="12">
        <f t="shared" ref="V117:V120" si="99">IF(T$12=0,0,T117/T$12)</f>
        <v>1.6511874927583266E-2</v>
      </c>
      <c r="W117" s="4"/>
      <c r="X117" s="4">
        <f t="shared" ref="X117:X120" si="100">+P117-T117</f>
        <v>90594.77999999997</v>
      </c>
      <c r="Y117" s="4"/>
      <c r="Z117" s="12">
        <f t="shared" ref="Z117:Z120" si="101">IF(T117=0,0,X117/T117)</f>
        <v>0.92967305639931008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--104.19</f>
        <v>104.19</v>
      </c>
      <c r="E118" s="2"/>
      <c r="F118" s="19">
        <f t="shared" si="94"/>
        <v>3.1811214987512446E-3</v>
      </c>
      <c r="G118" s="2"/>
      <c r="H118" s="2">
        <f>--47.18</f>
        <v>47.18</v>
      </c>
      <c r="I118" s="2"/>
      <c r="J118" s="19">
        <f t="shared" si="95"/>
        <v>1.7469001593611337E-3</v>
      </c>
      <c r="K118" s="2"/>
      <c r="L118" s="2">
        <f t="shared" si="96"/>
        <v>57.01</v>
      </c>
      <c r="M118" s="2"/>
      <c r="N118" s="19">
        <f t="shared" si="97"/>
        <v>1.208350996184824</v>
      </c>
      <c r="O118" s="11"/>
      <c r="P118" s="2">
        <f>--20516.43</f>
        <v>20516.43</v>
      </c>
      <c r="Q118" s="2"/>
      <c r="R118" s="19">
        <f t="shared" si="98"/>
        <v>4.2140197956147523E-3</v>
      </c>
      <c r="S118" s="2"/>
      <c r="T118" s="2">
        <f>--86751.11</f>
        <v>86751.11</v>
      </c>
      <c r="U118" s="2"/>
      <c r="V118" s="19">
        <f t="shared" si="99"/>
        <v>1.4699362512817277E-2</v>
      </c>
      <c r="W118" s="2"/>
      <c r="X118" s="2">
        <f t="shared" si="100"/>
        <v>-66234.679999999993</v>
      </c>
      <c r="Y118" s="2"/>
      <c r="Z118" s="19">
        <f t="shared" si="101"/>
        <v>-0.76350239207313886</v>
      </c>
    </row>
    <row r="119" spans="1:26" s="24" customFormat="1" hidden="1" outlineLevel="1" x14ac:dyDescent="0.25">
      <c r="A119" s="44"/>
      <c r="B119" s="11" t="str">
        <f>CONCATENATE("          ", "9151", " - ", "MISC. INCOME")</f>
        <v xml:space="preserve">          9151 - MISC. INCOME</v>
      </c>
      <c r="C119" s="11"/>
      <c r="D119" s="2">
        <f>0</f>
        <v>0</v>
      </c>
      <c r="E119" s="2"/>
      <c r="F119" s="19">
        <f t="shared" si="94"/>
        <v>0</v>
      </c>
      <c r="G119" s="2"/>
      <c r="H119" s="2">
        <f>0</f>
        <v>0</v>
      </c>
      <c r="I119" s="2"/>
      <c r="J119" s="19">
        <f t="shared" si="95"/>
        <v>0</v>
      </c>
      <c r="K119" s="2"/>
      <c r="L119" s="2">
        <f t="shared" si="96"/>
        <v>0</v>
      </c>
      <c r="M119" s="2"/>
      <c r="N119" s="19">
        <f t="shared" si="97"/>
        <v>0</v>
      </c>
      <c r="O119" s="11"/>
      <c r="P119" s="2">
        <f>--162744.3</f>
        <v>162744.29999999999</v>
      </c>
      <c r="Q119" s="2"/>
      <c r="R119" s="19">
        <f t="shared" si="98"/>
        <v>3.3427243522555619E-2</v>
      </c>
      <c r="S119" s="2"/>
      <c r="T119" s="2">
        <f>0</f>
        <v>0</v>
      </c>
      <c r="U119" s="2"/>
      <c r="V119" s="19">
        <f t="shared" si="99"/>
        <v>0</v>
      </c>
      <c r="W119" s="2"/>
      <c r="X119" s="2">
        <f t="shared" si="100"/>
        <v>162744.29999999999</v>
      </c>
      <c r="Y119" s="2"/>
      <c r="Z119" s="19">
        <f t="shared" si="101"/>
        <v>0</v>
      </c>
    </row>
    <row r="120" spans="1:26" s="24" customFormat="1" hidden="1" outlineLevel="1" x14ac:dyDescent="0.25">
      <c r="A120" s="44"/>
      <c r="B120" s="11" t="str">
        <f>CONCATENATE("          ", "9152", " - ", "MISC. INCOME")</f>
        <v xml:space="preserve">          9152 - MISC. INCOME</v>
      </c>
      <c r="C120" s="11"/>
      <c r="D120" s="2">
        <f>--82.19</f>
        <v>82.19</v>
      </c>
      <c r="E120" s="2"/>
      <c r="F120" s="19">
        <f t="shared" si="94"/>
        <v>2.5094190995524021E-3</v>
      </c>
      <c r="G120" s="2"/>
      <c r="H120" s="2">
        <f>--111</f>
        <v>111</v>
      </c>
      <c r="I120" s="2"/>
      <c r="J120" s="19">
        <f t="shared" si="95"/>
        <v>4.1099177127826587E-3</v>
      </c>
      <c r="K120" s="2"/>
      <c r="L120" s="2">
        <f t="shared" si="96"/>
        <v>-28.810000000000002</v>
      </c>
      <c r="M120" s="2"/>
      <c r="N120" s="19">
        <f t="shared" si="97"/>
        <v>-0.25954954954954956</v>
      </c>
      <c r="O120" s="11"/>
      <c r="P120" s="2">
        <f>--4782.05</f>
        <v>4782.05</v>
      </c>
      <c r="Q120" s="2"/>
      <c r="R120" s="19">
        <f t="shared" si="98"/>
        <v>9.8222026754262435E-4</v>
      </c>
      <c r="S120" s="2"/>
      <c r="T120" s="2">
        <f>--10696.89</f>
        <v>10696.89</v>
      </c>
      <c r="U120" s="2"/>
      <c r="V120" s="19">
        <f t="shared" si="99"/>
        <v>1.8125124147659896E-3</v>
      </c>
      <c r="W120" s="2"/>
      <c r="X120" s="2">
        <f t="shared" si="100"/>
        <v>-5914.8399999999992</v>
      </c>
      <c r="Y120" s="2"/>
      <c r="Z120" s="19">
        <f t="shared" si="101"/>
        <v>-0.55294950214501593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8" t="s">
        <v>3</v>
      </c>
      <c r="C122" s="28"/>
      <c r="D122" s="21">
        <f>+D62-D64+D117</f>
        <v>-38583.69000000001</v>
      </c>
      <c r="E122" s="14"/>
      <c r="F122" s="20">
        <f>IF(D$12=0,0,D122/D$12)</f>
        <v>-1.1780344155883813</v>
      </c>
      <c r="G122" s="14"/>
      <c r="H122" s="21">
        <f>+H62-H64+H117</f>
        <v>-52104.979999999989</v>
      </c>
      <c r="I122" s="14"/>
      <c r="J122" s="20">
        <f>IF(H$12=0,0,H122/H$12)</f>
        <v>-1.9292538759115867</v>
      </c>
      <c r="K122" s="15"/>
      <c r="L122" s="21">
        <f>+D122-H122</f>
        <v>13521.289999999979</v>
      </c>
      <c r="M122" s="15"/>
      <c r="N122" s="20">
        <f>IF(H122=0,0,L122/H122)</f>
        <v>-0.25950091526759977</v>
      </c>
      <c r="O122" s="29"/>
      <c r="P122" s="21">
        <f>+P62-P64+P117</f>
        <v>1101613.9199999997</v>
      </c>
      <c r="Q122" s="14"/>
      <c r="R122" s="20">
        <f>IF(P$12=0,0,P122/P$12)</f>
        <v>0.22626854993801379</v>
      </c>
      <c r="S122" s="14"/>
      <c r="T122" s="21">
        <f>+T62-T64+T117</f>
        <v>1136580.3800000008</v>
      </c>
      <c r="U122" s="14"/>
      <c r="V122" s="20">
        <f>IF(T$12=0,0,T122/T$12)</f>
        <v>0.19258551309113656</v>
      </c>
      <c r="W122" s="15"/>
      <c r="X122" s="21">
        <f>+P122-T122</f>
        <v>-34966.460000001127</v>
      </c>
      <c r="Y122" s="15"/>
      <c r="Z122" s="20">
        <f>IF(T122=0,0,X122/T122)</f>
        <v>-3.0764616929249738E-2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1"/>
      <c r="B124" s="10" t="s">
        <v>13</v>
      </c>
      <c r="C124" s="10"/>
      <c r="D124" s="4">
        <v>34622</v>
      </c>
      <c r="E124" s="4"/>
      <c r="F124" s="12">
        <f>IF(D$12=0,0,D124/D$12)</f>
        <v>1.05707638477556</v>
      </c>
      <c r="G124" s="4"/>
      <c r="H124" s="4">
        <v>8600.81</v>
      </c>
      <c r="I124" s="4"/>
      <c r="J124" s="12">
        <f>IF(H$12=0,0,H124/H$12)</f>
        <v>0.31845604831782176</v>
      </c>
      <c r="K124" s="4"/>
      <c r="L124" s="4">
        <f>+D124-H124</f>
        <v>26021.190000000002</v>
      </c>
      <c r="M124" s="4"/>
      <c r="N124" s="12">
        <f>IF(H124=0,0,L124/H124)</f>
        <v>3.02543481369778</v>
      </c>
      <c r="O124" s="10"/>
      <c r="P124" s="4">
        <v>552796.12</v>
      </c>
      <c r="Q124" s="4"/>
      <c r="R124" s="12">
        <f>IF(P$12=0,0,P124/P$12)</f>
        <v>0.11354284310764728</v>
      </c>
      <c r="S124" s="4"/>
      <c r="T124" s="4">
        <v>613531.35</v>
      </c>
      <c r="U124" s="4"/>
      <c r="V124" s="12">
        <f>IF(T$12=0,0,T124/T$12)</f>
        <v>0.10395855138485463</v>
      </c>
      <c r="W124" s="4"/>
      <c r="X124" s="4">
        <f>+P124-T124</f>
        <v>-60735.229999999981</v>
      </c>
      <c r="Y124" s="4"/>
      <c r="Z124" s="12">
        <f>IF(T124=0,0,X124/T124)</f>
        <v>-9.8992871350420786E-2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4</v>
      </c>
      <c r="C126" s="28"/>
      <c r="D126" s="30">
        <f>+D122-D124</f>
        <v>-73205.69</v>
      </c>
      <c r="E126" s="14"/>
      <c r="F126" s="36">
        <f>IF(D$12=0,0,D126/D$12)</f>
        <v>-2.2351108003639411</v>
      </c>
      <c r="G126" s="14"/>
      <c r="H126" s="30">
        <f>+H122-H124</f>
        <v>-60705.789999999986</v>
      </c>
      <c r="I126" s="14"/>
      <c r="J126" s="36">
        <f>IF(H$12=0,0,H126/H$12)</f>
        <v>-2.2477099242294085</v>
      </c>
      <c r="K126" s="15"/>
      <c r="L126" s="30">
        <f>D126-H126</f>
        <v>-12499.900000000016</v>
      </c>
      <c r="M126" s="15"/>
      <c r="N126" s="36">
        <f>IF(H126=0,0,L126/H126)</f>
        <v>0.20590951868017893</v>
      </c>
      <c r="O126" s="29"/>
      <c r="P126" s="30">
        <f>+P122-P124</f>
        <v>548817.7999999997</v>
      </c>
      <c r="Q126" s="14"/>
      <c r="R126" s="36">
        <f>IF(P$12=0,0,P126/P$12)</f>
        <v>0.11272570683036652</v>
      </c>
      <c r="S126" s="14"/>
      <c r="T126" s="30">
        <f>+T122-T124</f>
        <v>523049.03000000084</v>
      </c>
      <c r="U126" s="14"/>
      <c r="V126" s="36">
        <f>IF(T$12=0,0,T126/T$12)</f>
        <v>8.862696170628194E-2</v>
      </c>
      <c r="W126" s="15"/>
      <c r="X126" s="30">
        <f>P126-T126</f>
        <v>25768.769999998854</v>
      </c>
      <c r="Y126" s="15"/>
      <c r="Z126" s="36">
        <f>IF(T126=0,0,X126/T126)</f>
        <v>4.926645213355775E-2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5</v>
      </c>
      <c r="C129" s="28"/>
      <c r="D129" s="31">
        <f>SUM(D126:D128)</f>
        <v>-73205.69</v>
      </c>
      <c r="E129" s="14"/>
      <c r="F129" s="32">
        <f>IF(D$12=0,0,D129/D$12)</f>
        <v>-2.2351108003639411</v>
      </c>
      <c r="G129" s="14"/>
      <c r="H129" s="31">
        <f>SUM(H126:H128)</f>
        <v>-60705.789999999986</v>
      </c>
      <c r="I129" s="14"/>
      <c r="J129" s="32">
        <f>IF(H$12=0,0,H129/H$12)</f>
        <v>-2.2477099242294085</v>
      </c>
      <c r="K129" s="15"/>
      <c r="L129" s="31">
        <f>+D129-H129</f>
        <v>-12499.900000000016</v>
      </c>
      <c r="M129" s="15"/>
      <c r="N129" s="32">
        <f>IF(H129=0,0,L129/H129)</f>
        <v>0.20590951868017893</v>
      </c>
      <c r="O129" s="29"/>
      <c r="P129" s="31">
        <f>SUM(P126:P128)</f>
        <v>548817.7999999997</v>
      </c>
      <c r="Q129" s="14"/>
      <c r="R129" s="32">
        <f>IF(P$12=0,0,P129/P$12)</f>
        <v>0.11272570683036652</v>
      </c>
      <c r="S129" s="14"/>
      <c r="T129" s="31">
        <f>SUM(T126:T128)</f>
        <v>523049.03000000084</v>
      </c>
      <c r="U129" s="14"/>
      <c r="V129" s="32">
        <f>IF(T$12=0,0,T129/T$12)</f>
        <v>8.862696170628194E-2</v>
      </c>
      <c r="W129" s="15"/>
      <c r="X129" s="31">
        <f>+P129-T129</f>
        <v>25768.769999998854</v>
      </c>
      <c r="Y129" s="15"/>
      <c r="Z129" s="32">
        <f>IF(T129=0,0,X129/T129)</f>
        <v>4.926645213355775E-2</v>
      </c>
    </row>
    <row r="130" spans="1:26" ht="15.75" thickTop="1" x14ac:dyDescent="0.25">
      <c r="A130" s="9"/>
      <c r="C130" s="9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6" x14ac:dyDescent="0.25">
      <c r="A131" s="9"/>
      <c r="B131" s="54">
        <v>43965.470491122687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6" x14ac:dyDescent="0.25">
      <c r="A132" s="9"/>
      <c r="B132" s="59" t="s">
        <v>313</v>
      </c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61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","311", " - ", "Textbooks")</f>
        <v>Department 311 - Textbooks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4708.6799999999985</v>
      </c>
      <c r="E12" s="4"/>
      <c r="F12" s="12"/>
      <c r="G12" s="4"/>
      <c r="H12" s="4">
        <f>SUM(OSRRefH13x_0)</f>
        <v>24717.82</v>
      </c>
      <c r="I12" s="4"/>
      <c r="J12" s="12"/>
      <c r="K12" s="4"/>
      <c r="L12" s="4">
        <f t="shared" ref="L12:L41" si="0">+D12-H12</f>
        <v>-20009.14</v>
      </c>
      <c r="M12" s="4"/>
      <c r="N12" s="12">
        <f t="shared" ref="N12:N41" si="1">IF(H12=0,0,L12/H12)</f>
        <v>-0.80950261794931755</v>
      </c>
      <c r="O12" s="10"/>
      <c r="P12" s="4">
        <f>SUM(OSRRefP13x_0)</f>
        <v>3293013.11</v>
      </c>
      <c r="Q12" s="4"/>
      <c r="R12" s="12"/>
      <c r="S12" s="4"/>
      <c r="T12" s="4">
        <f>SUM(OSRRefT13x_0)</f>
        <v>3832978.4800000004</v>
      </c>
      <c r="U12" s="4"/>
      <c r="V12" s="12"/>
      <c r="W12" s="4"/>
      <c r="X12" s="4">
        <f t="shared" ref="X12:X41" si="2">+P12-T12</f>
        <v>-539965.37000000058</v>
      </c>
      <c r="Y12" s="4"/>
      <c r="Z12" s="12">
        <f t="shared" ref="Z12:Z41" si="3">IF(T12=0,0,X12/T12)</f>
        <v>-0.14087357203216036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--956.1</f>
        <v>956.1</v>
      </c>
      <c r="E13" s="2"/>
      <c r="F13" s="19"/>
      <c r="G13" s="2"/>
      <c r="H13" s="2">
        <f>--5004.61</f>
        <v>5004.6099999999997</v>
      </c>
      <c r="I13" s="2"/>
      <c r="J13" s="19"/>
      <c r="K13" s="2"/>
      <c r="L13" s="2">
        <f t="shared" si="0"/>
        <v>-4048.5099999999998</v>
      </c>
      <c r="M13" s="2"/>
      <c r="N13" s="19">
        <f t="shared" si="1"/>
        <v>-0.80895614243667335</v>
      </c>
      <c r="O13" s="11"/>
      <c r="P13" s="2">
        <f>--1989577.62</f>
        <v>1989577.62</v>
      </c>
      <c r="Q13" s="2"/>
      <c r="R13" s="19"/>
      <c r="S13" s="2"/>
      <c r="T13" s="2">
        <f>--2505213.42</f>
        <v>2505213.42</v>
      </c>
      <c r="U13" s="2"/>
      <c r="V13" s="19"/>
      <c r="W13" s="2"/>
      <c r="X13" s="2">
        <f t="shared" si="2"/>
        <v>-515635.79999999981</v>
      </c>
      <c r="Y13" s="2"/>
      <c r="Z13" s="19">
        <f t="shared" si="3"/>
        <v>-0.20582509892510467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--610.75</f>
        <v>610.75</v>
      </c>
      <c r="E14" s="2"/>
      <c r="F14" s="19"/>
      <c r="G14" s="2"/>
      <c r="H14" s="2">
        <f>--1643.95</f>
        <v>1643.95</v>
      </c>
      <c r="I14" s="2"/>
      <c r="J14" s="19"/>
      <c r="K14" s="2"/>
      <c r="L14" s="2">
        <f t="shared" si="0"/>
        <v>-1033.2</v>
      </c>
      <c r="M14" s="2"/>
      <c r="N14" s="19">
        <f t="shared" si="1"/>
        <v>-0.62848626783053019</v>
      </c>
      <c r="O14" s="11"/>
      <c r="P14" s="2">
        <f>--679954.25</f>
        <v>679954.25</v>
      </c>
      <c r="Q14" s="2"/>
      <c r="R14" s="19"/>
      <c r="S14" s="2"/>
      <c r="T14" s="2">
        <f>--630493.52</f>
        <v>630493.52</v>
      </c>
      <c r="U14" s="2"/>
      <c r="V14" s="19"/>
      <c r="W14" s="2"/>
      <c r="X14" s="2">
        <f t="shared" si="2"/>
        <v>49460.729999999981</v>
      </c>
      <c r="Y14" s="2"/>
      <c r="Z14" s="19">
        <f t="shared" si="3"/>
        <v>7.8447642094719675E-2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 t="shared" ref="D15:D17" si="4">0</f>
        <v>0</v>
      </c>
      <c r="E15" s="2"/>
      <c r="F15" s="19"/>
      <c r="G15" s="2"/>
      <c r="H15" s="2">
        <f t="shared" ref="H15:H17" si="5"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--33694.89</f>
        <v>33694.89</v>
      </c>
      <c r="Q15" s="2"/>
      <c r="R15" s="19"/>
      <c r="S15" s="2"/>
      <c r="T15" s="2">
        <f>--15147.65</f>
        <v>15147.65</v>
      </c>
      <c r="U15" s="2"/>
      <c r="V15" s="19"/>
      <c r="W15" s="2"/>
      <c r="X15" s="2">
        <f t="shared" si="2"/>
        <v>18547.239999999998</v>
      </c>
      <c r="Y15" s="2"/>
      <c r="Z15" s="19">
        <f t="shared" si="3"/>
        <v>1.2244301921420153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>
        <f>--70190.69</f>
        <v>70190.69</v>
      </c>
      <c r="U16" s="2"/>
      <c r="V16" s="19"/>
      <c r="W16" s="2"/>
      <c r="X16" s="2">
        <f t="shared" si="2"/>
        <v>-27995.39</v>
      </c>
      <c r="Y16" s="2"/>
      <c r="Z16" s="19">
        <f t="shared" si="3"/>
        <v>-0.39884762494855086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1046.6500000000001</v>
      </c>
      <c r="Y17" s="2"/>
      <c r="Z17" s="19">
        <f t="shared" si="3"/>
        <v>179.52830188679246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--18.36</f>
        <v>18.36</v>
      </c>
      <c r="E18" s="2"/>
      <c r="F18" s="19"/>
      <c r="G18" s="2"/>
      <c r="H18" s="2">
        <f>--2175.11</f>
        <v>2175.11</v>
      </c>
      <c r="I18" s="2"/>
      <c r="J18" s="19"/>
      <c r="K18" s="2"/>
      <c r="L18" s="2">
        <f t="shared" si="0"/>
        <v>-2156.75</v>
      </c>
      <c r="M18" s="2"/>
      <c r="N18" s="19">
        <f t="shared" si="1"/>
        <v>-0.99155904758839775</v>
      </c>
      <c r="O18" s="11"/>
      <c r="P18" s="2">
        <f>--2713.36</f>
        <v>2713.36</v>
      </c>
      <c r="Q18" s="2"/>
      <c r="R18" s="19"/>
      <c r="S18" s="2"/>
      <c r="T18" s="2">
        <f>--6231.22</f>
        <v>6231.22</v>
      </c>
      <c r="U18" s="2"/>
      <c r="V18" s="19"/>
      <c r="W18" s="2"/>
      <c r="X18" s="2">
        <f t="shared" si="2"/>
        <v>-3517.86</v>
      </c>
      <c r="Y18" s="2"/>
      <c r="Z18" s="19">
        <f t="shared" si="3"/>
        <v>-0.56455397177438771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0" si="6">0</f>
        <v>0</v>
      </c>
      <c r="E19" s="2"/>
      <c r="F19" s="19"/>
      <c r="G19" s="2"/>
      <c r="H19" s="2">
        <f>--151.13</f>
        <v>151.13</v>
      </c>
      <c r="I19" s="2"/>
      <c r="J19" s="19"/>
      <c r="K19" s="2"/>
      <c r="L19" s="2">
        <f t="shared" si="0"/>
        <v>-151.13</v>
      </c>
      <c r="M19" s="2"/>
      <c r="N19" s="19">
        <f t="shared" si="1"/>
        <v>-1</v>
      </c>
      <c r="O19" s="11"/>
      <c r="P19" s="2">
        <f>--1219.18</f>
        <v>1219.18</v>
      </c>
      <c r="Q19" s="2"/>
      <c r="R19" s="19"/>
      <c r="S19" s="2"/>
      <c r="T19" s="2">
        <f>--2032.27</f>
        <v>2032.27</v>
      </c>
      <c r="U19" s="2"/>
      <c r="V19" s="19"/>
      <c r="W19" s="2"/>
      <c r="X19" s="2">
        <f t="shared" si="2"/>
        <v>-813.08999999999992</v>
      </c>
      <c r="Y19" s="2"/>
      <c r="Z19" s="19">
        <f t="shared" si="3"/>
        <v>-0.40008955502959742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6"/>
        <v>0</v>
      </c>
      <c r="E20" s="2"/>
      <c r="F20" s="19"/>
      <c r="G20" s="2"/>
      <c r="H20" s="2">
        <f>--243.29</f>
        <v>243.29</v>
      </c>
      <c r="I20" s="2"/>
      <c r="J20" s="19"/>
      <c r="K20" s="2"/>
      <c r="L20" s="2">
        <f t="shared" si="0"/>
        <v>-243.29</v>
      </c>
      <c r="M20" s="2"/>
      <c r="N20" s="19">
        <f t="shared" si="1"/>
        <v>-1</v>
      </c>
      <c r="O20" s="11"/>
      <c r="P20" s="2">
        <f>--4154.31</f>
        <v>4154.3100000000004</v>
      </c>
      <c r="Q20" s="2"/>
      <c r="R20" s="19"/>
      <c r="S20" s="2"/>
      <c r="T20" s="2">
        <f>--6075.08</f>
        <v>6075.08</v>
      </c>
      <c r="U20" s="2"/>
      <c r="V20" s="19"/>
      <c r="W20" s="2"/>
      <c r="X20" s="2">
        <f t="shared" si="2"/>
        <v>-1920.7699999999995</v>
      </c>
      <c r="Y20" s="2"/>
      <c r="Z20" s="19">
        <f t="shared" si="3"/>
        <v>-0.31617196810576975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--1972.02</f>
        <v>1972.02</v>
      </c>
      <c r="E21" s="2"/>
      <c r="F21" s="19"/>
      <c r="G21" s="2"/>
      <c r="H21" s="2">
        <f>--5697.7</f>
        <v>5697.7</v>
      </c>
      <c r="I21" s="2"/>
      <c r="J21" s="19"/>
      <c r="K21" s="2"/>
      <c r="L21" s="2">
        <f t="shared" si="0"/>
        <v>-3725.68</v>
      </c>
      <c r="M21" s="2"/>
      <c r="N21" s="19">
        <f t="shared" si="1"/>
        <v>-0.65389192130157781</v>
      </c>
      <c r="O21" s="11"/>
      <c r="P21" s="2">
        <f>--144163.44</f>
        <v>144163.44</v>
      </c>
      <c r="Q21" s="2"/>
      <c r="R21" s="19"/>
      <c r="S21" s="2"/>
      <c r="T21" s="2">
        <f>--266114.47</f>
        <v>266114.46999999997</v>
      </c>
      <c r="U21" s="2"/>
      <c r="V21" s="19"/>
      <c r="W21" s="2"/>
      <c r="X21" s="2">
        <f t="shared" si="2"/>
        <v>-121951.02999999997</v>
      </c>
      <c r="Y21" s="2"/>
      <c r="Z21" s="19">
        <f t="shared" si="3"/>
        <v>-0.45826530966166545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--804.2</f>
        <v>804.2</v>
      </c>
      <c r="E22" s="2"/>
      <c r="F22" s="19"/>
      <c r="G22" s="2"/>
      <c r="H22" s="2">
        <f>--6881.14</f>
        <v>6881.14</v>
      </c>
      <c r="I22" s="2"/>
      <c r="J22" s="19"/>
      <c r="K22" s="2"/>
      <c r="L22" s="2">
        <f t="shared" si="0"/>
        <v>-6076.9400000000005</v>
      </c>
      <c r="M22" s="2"/>
      <c r="N22" s="19">
        <f t="shared" si="1"/>
        <v>-0.88312983023161862</v>
      </c>
      <c r="O22" s="11"/>
      <c r="P22" s="2">
        <f>--69659.9</f>
        <v>69659.899999999994</v>
      </c>
      <c r="Q22" s="2"/>
      <c r="R22" s="19"/>
      <c r="S22" s="2"/>
      <c r="T22" s="2">
        <f>--92597.47</f>
        <v>92597.47</v>
      </c>
      <c r="U22" s="2"/>
      <c r="V22" s="19"/>
      <c r="W22" s="2"/>
      <c r="X22" s="2">
        <f t="shared" si="2"/>
        <v>-22937.570000000007</v>
      </c>
      <c r="Y22" s="2"/>
      <c r="Z22" s="19">
        <f t="shared" si="3"/>
        <v>-0.24771270748542057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--664.97</f>
        <v>664.97</v>
      </c>
      <c r="Q23" s="2"/>
      <c r="R23" s="19"/>
      <c r="S23" s="2"/>
      <c r="T23" s="2">
        <f>--509.85</f>
        <v>509.85</v>
      </c>
      <c r="U23" s="2"/>
      <c r="V23" s="19"/>
      <c r="W23" s="2"/>
      <c r="X23" s="2">
        <f t="shared" si="2"/>
        <v>155.12</v>
      </c>
      <c r="Y23" s="2"/>
      <c r="Z23" s="19">
        <f t="shared" si="3"/>
        <v>0.30424634696479358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--2502.44</f>
        <v>2502.44</v>
      </c>
      <c r="E24" s="2"/>
      <c r="F24" s="19"/>
      <c r="G24" s="2"/>
      <c r="H24" s="2">
        <f>--2347.02</f>
        <v>2347.02</v>
      </c>
      <c r="I24" s="2"/>
      <c r="J24" s="19"/>
      <c r="K24" s="2"/>
      <c r="L24" s="2">
        <f t="shared" si="0"/>
        <v>155.42000000000007</v>
      </c>
      <c r="M24" s="2"/>
      <c r="N24" s="19">
        <f t="shared" si="1"/>
        <v>6.6220142989833947E-2</v>
      </c>
      <c r="O24" s="11"/>
      <c r="P24" s="2">
        <f>--526854.09</f>
        <v>526854.09</v>
      </c>
      <c r="Q24" s="2"/>
      <c r="R24" s="19"/>
      <c r="S24" s="2"/>
      <c r="T24" s="2">
        <f>--528735.29</f>
        <v>528735.29</v>
      </c>
      <c r="U24" s="2"/>
      <c r="V24" s="19"/>
      <c r="W24" s="2"/>
      <c r="X24" s="2">
        <f t="shared" si="2"/>
        <v>-1881.2000000000698</v>
      </c>
      <c r="Y24" s="2"/>
      <c r="Z24" s="19">
        <f t="shared" si="3"/>
        <v>-3.5579240417261911E-3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--593.67</f>
        <v>593.66999999999996</v>
      </c>
      <c r="E25" s="2"/>
      <c r="F25" s="19"/>
      <c r="G25" s="2"/>
      <c r="H25" s="2">
        <f>--2525.72</f>
        <v>2525.7199999999998</v>
      </c>
      <c r="I25" s="2"/>
      <c r="J25" s="19"/>
      <c r="K25" s="2"/>
      <c r="L25" s="2">
        <f t="shared" si="0"/>
        <v>-1932.0499999999997</v>
      </c>
      <c r="M25" s="2"/>
      <c r="N25" s="19">
        <f t="shared" si="1"/>
        <v>-0.76495019242037909</v>
      </c>
      <c r="O25" s="11"/>
      <c r="P25" s="2">
        <f>--15323</f>
        <v>15323</v>
      </c>
      <c r="Q25" s="2"/>
      <c r="R25" s="19"/>
      <c r="S25" s="2"/>
      <c r="T25" s="2">
        <f>--19614.24</f>
        <v>19614.240000000002</v>
      </c>
      <c r="U25" s="2"/>
      <c r="V25" s="19"/>
      <c r="W25" s="2"/>
      <c r="X25" s="2">
        <f t="shared" si="2"/>
        <v>-4291.2400000000016</v>
      </c>
      <c r="Y25" s="2"/>
      <c r="Z25" s="19">
        <f t="shared" si="3"/>
        <v>-0.2187818646044915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--2440</f>
        <v>2440</v>
      </c>
      <c r="E26" s="2"/>
      <c r="F26" s="19"/>
      <c r="G26" s="2"/>
      <c r="H26" s="2">
        <f>--378</f>
        <v>378</v>
      </c>
      <c r="I26" s="2"/>
      <c r="J26" s="19"/>
      <c r="K26" s="2"/>
      <c r="L26" s="2">
        <f t="shared" si="0"/>
        <v>2062</v>
      </c>
      <c r="M26" s="2"/>
      <c r="N26" s="19">
        <f t="shared" si="1"/>
        <v>5.4550264550264549</v>
      </c>
      <c r="O26" s="11"/>
      <c r="P26" s="2">
        <f>--8241.92</f>
        <v>8241.92</v>
      </c>
      <c r="Q26" s="2"/>
      <c r="R26" s="19"/>
      <c r="S26" s="2"/>
      <c r="T26" s="2">
        <f>--3773</f>
        <v>3773</v>
      </c>
      <c r="U26" s="2"/>
      <c r="V26" s="19"/>
      <c r="W26" s="2"/>
      <c r="X26" s="2">
        <f t="shared" si="2"/>
        <v>4468.92</v>
      </c>
      <c r="Y26" s="2"/>
      <c r="Z26" s="19">
        <f t="shared" si="3"/>
        <v>1.1844473893453487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--7.02</f>
        <v>7.02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7.02</v>
      </c>
      <c r="M27" s="2"/>
      <c r="N27" s="19">
        <f t="shared" si="1"/>
        <v>0</v>
      </c>
      <c r="O27" s="11"/>
      <c r="P27" s="2">
        <f>--75.94</f>
        <v>75.94</v>
      </c>
      <c r="Q27" s="2"/>
      <c r="R27" s="19"/>
      <c r="S27" s="2"/>
      <c r="T27" s="2">
        <f>--266.48</f>
        <v>266.48</v>
      </c>
      <c r="U27" s="2"/>
      <c r="V27" s="19"/>
      <c r="W27" s="2"/>
      <c r="X27" s="2">
        <f t="shared" si="2"/>
        <v>-190.54000000000002</v>
      </c>
      <c r="Y27" s="2"/>
      <c r="Z27" s="19">
        <f t="shared" si="3"/>
        <v>-0.71502551786250379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-62.3</f>
        <v>-62.3</v>
      </c>
      <c r="E28" s="2"/>
      <c r="F28" s="19"/>
      <c r="G28" s="2"/>
      <c r="H28" s="2">
        <f>-295.04</f>
        <v>-295.04000000000002</v>
      </c>
      <c r="I28" s="2"/>
      <c r="J28" s="19"/>
      <c r="K28" s="2"/>
      <c r="L28" s="2">
        <f t="shared" si="0"/>
        <v>232.74</v>
      </c>
      <c r="M28" s="2"/>
      <c r="N28" s="19">
        <f t="shared" si="1"/>
        <v>-0.78884219088937091</v>
      </c>
      <c r="O28" s="11"/>
      <c r="P28" s="2">
        <f>-121223.01</f>
        <v>-121223.01</v>
      </c>
      <c r="Q28" s="2"/>
      <c r="R28" s="19"/>
      <c r="S28" s="2"/>
      <c r="T28" s="2">
        <f>-175695.6</f>
        <v>-175695.6</v>
      </c>
      <c r="U28" s="2"/>
      <c r="V28" s="19"/>
      <c r="W28" s="2"/>
      <c r="X28" s="2">
        <f t="shared" si="2"/>
        <v>54472.590000000011</v>
      </c>
      <c r="Y28" s="2"/>
      <c r="Z28" s="19">
        <f t="shared" si="3"/>
        <v>-0.31003957981873198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-31.95</f>
        <v>-31.95</v>
      </c>
      <c r="E29" s="2"/>
      <c r="F29" s="19"/>
      <c r="G29" s="2"/>
      <c r="H29" s="2">
        <f>-238.1</f>
        <v>-238.1</v>
      </c>
      <c r="I29" s="2"/>
      <c r="J29" s="19"/>
      <c r="K29" s="2"/>
      <c r="L29" s="2">
        <f t="shared" si="0"/>
        <v>206.15</v>
      </c>
      <c r="M29" s="2"/>
      <c r="N29" s="19">
        <f t="shared" si="1"/>
        <v>-0.86581268374632514</v>
      </c>
      <c r="O29" s="11"/>
      <c r="P29" s="2">
        <f>-45552.71</f>
        <v>-45552.71</v>
      </c>
      <c r="Q29" s="2"/>
      <c r="R29" s="19"/>
      <c r="S29" s="2"/>
      <c r="T29" s="2">
        <f>-45639.95</f>
        <v>-45639.95</v>
      </c>
      <c r="U29" s="2"/>
      <c r="V29" s="19"/>
      <c r="W29" s="2"/>
      <c r="X29" s="2">
        <f t="shared" si="2"/>
        <v>87.239999999997963</v>
      </c>
      <c r="Y29" s="2"/>
      <c r="Z29" s="19">
        <f t="shared" si="3"/>
        <v>-1.9114832509675836E-3</v>
      </c>
    </row>
    <row r="30" spans="1:26" s="24" customFormat="1" hidden="1" outlineLevel="1" x14ac:dyDescent="0.25">
      <c r="A30" s="44"/>
      <c r="B30" s="11" t="str">
        <f>CONCATENATE("          ", "4203", " - ", "SALES RETURN TAXABLE-RENTAL TE")</f>
        <v xml:space="preserve">          4203 - SALES RETURN TAXABLE-RENTAL TE</v>
      </c>
      <c r="C30" s="11"/>
      <c r="D30" s="2">
        <f t="shared" ref="D30:D31" si="7">0</f>
        <v>0</v>
      </c>
      <c r="E30" s="2"/>
      <c r="F30" s="19"/>
      <c r="G30" s="2"/>
      <c r="H30" s="2">
        <f t="shared" ref="H30:H31" si="8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-144.99</f>
        <v>-144.99</v>
      </c>
      <c r="Q30" s="2"/>
      <c r="R30" s="19"/>
      <c r="S30" s="2"/>
      <c r="T30" s="2">
        <f>-1699.5</f>
        <v>-1699.5</v>
      </c>
      <c r="U30" s="2"/>
      <c r="V30" s="19"/>
      <c r="W30" s="2"/>
      <c r="X30" s="2">
        <f t="shared" si="2"/>
        <v>1554.51</v>
      </c>
      <c r="Y30" s="2"/>
      <c r="Z30" s="19">
        <f t="shared" si="3"/>
        <v>-0.9146866725507502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7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-17255.33</f>
        <v>-17255.330000000002</v>
      </c>
      <c r="Q31" s="2"/>
      <c r="R31" s="19"/>
      <c r="S31" s="2"/>
      <c r="T31" s="2">
        <f>-27059.65</f>
        <v>-27059.65</v>
      </c>
      <c r="U31" s="2"/>
      <c r="V31" s="19"/>
      <c r="W31" s="2"/>
      <c r="X31" s="2">
        <f t="shared" si="2"/>
        <v>9804.32</v>
      </c>
      <c r="Y31" s="2"/>
      <c r="Z31" s="19">
        <f t="shared" si="3"/>
        <v>-0.36232249862803101</v>
      </c>
    </row>
    <row r="32" spans="1:26" s="24" customFormat="1" hidden="1" outlineLevel="1" x14ac:dyDescent="0.25">
      <c r="A32" s="44"/>
      <c r="B32" s="11" t="str">
        <f>CONCATENATE("          ", "4213", " - ", "NON-TAXABLE SALES-TRADE BOOKS")</f>
        <v xml:space="preserve">          4213 - NON-TAXABLE SALES-TRADE BOOKS</v>
      </c>
      <c r="C32" s="11"/>
      <c r="D32" s="2">
        <f>-2173.76</f>
        <v>-2173.7600000000002</v>
      </c>
      <c r="E32" s="2"/>
      <c r="F32" s="19"/>
      <c r="G32" s="2"/>
      <c r="H32" s="2">
        <f>-899.64</f>
        <v>-899.64</v>
      </c>
      <c r="I32" s="2"/>
      <c r="J32" s="19"/>
      <c r="K32" s="2"/>
      <c r="L32" s="2">
        <f t="shared" si="0"/>
        <v>-1274.1200000000003</v>
      </c>
      <c r="M32" s="2"/>
      <c r="N32" s="19">
        <f t="shared" si="1"/>
        <v>1.4162553910453075</v>
      </c>
      <c r="O32" s="11"/>
      <c r="P32" s="2">
        <f>-2768.67</f>
        <v>-2768.67</v>
      </c>
      <c r="Q32" s="2"/>
      <c r="R32" s="19"/>
      <c r="S32" s="2"/>
      <c r="T32" s="2">
        <f>-1548.35</f>
        <v>-1548.35</v>
      </c>
      <c r="U32" s="2"/>
      <c r="V32" s="19"/>
      <c r="W32" s="2"/>
      <c r="X32" s="2">
        <f t="shared" si="2"/>
        <v>-1220.3200000000002</v>
      </c>
      <c r="Y32" s="2"/>
      <c r="Z32" s="19">
        <f t="shared" si="3"/>
        <v>0.7881422159072563</v>
      </c>
    </row>
    <row r="33" spans="1:26" s="24" customFormat="1" hidden="1" outlineLevel="1" x14ac:dyDescent="0.25">
      <c r="A33" s="44"/>
      <c r="B33" s="11" t="str">
        <f>CONCATENATE("          ", "4214", " - ", "SALES RETURN TAXABLE-REMAINDER")</f>
        <v xml:space="preserve">          4214 - SALES RETURN TAXABLE-REMAINDER</v>
      </c>
      <c r="C33" s="11"/>
      <c r="D33" s="2">
        <f t="shared" ref="D33:D34" si="9">0</f>
        <v>0</v>
      </c>
      <c r="E33" s="2"/>
      <c r="F33" s="19"/>
      <c r="G33" s="2"/>
      <c r="H33" s="2">
        <f t="shared" ref="H33:H34" si="10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-11.94</f>
        <v>-11.94</v>
      </c>
      <c r="Q33" s="2"/>
      <c r="R33" s="19"/>
      <c r="S33" s="2"/>
      <c r="T33" s="2">
        <f>-19.84</f>
        <v>-19.84</v>
      </c>
      <c r="U33" s="2"/>
      <c r="V33" s="19"/>
      <c r="W33" s="2"/>
      <c r="X33" s="2">
        <f t="shared" si="2"/>
        <v>7.9</v>
      </c>
      <c r="Y33" s="2"/>
      <c r="Z33" s="19">
        <f t="shared" si="3"/>
        <v>-0.39818548387096775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 t="shared" si="9"/>
        <v>0</v>
      </c>
      <c r="E34" s="2"/>
      <c r="F34" s="19"/>
      <c r="G34" s="2"/>
      <c r="H34" s="2">
        <f t="shared" si="10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-39.25</f>
        <v>-39.25</v>
      </c>
      <c r="Q34" s="2"/>
      <c r="R34" s="19"/>
      <c r="S34" s="2"/>
      <c r="T34" s="2">
        <f>-67.6</f>
        <v>-67.599999999999994</v>
      </c>
      <c r="U34" s="2"/>
      <c r="V34" s="19"/>
      <c r="W34" s="2"/>
      <c r="X34" s="2">
        <f t="shared" si="2"/>
        <v>28.349999999999994</v>
      </c>
      <c r="Y34" s="2"/>
      <c r="Z34" s="19">
        <f t="shared" si="3"/>
        <v>-0.41937869822485202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>-357.81</f>
        <v>-357.81</v>
      </c>
      <c r="E35" s="2"/>
      <c r="F35" s="19"/>
      <c r="G35" s="2"/>
      <c r="H35" s="2">
        <f>-367.54</f>
        <v>-367.54</v>
      </c>
      <c r="I35" s="2"/>
      <c r="J35" s="19"/>
      <c r="K35" s="2"/>
      <c r="L35" s="2">
        <f t="shared" si="0"/>
        <v>9.7300000000000182</v>
      </c>
      <c r="M35" s="2"/>
      <c r="N35" s="19">
        <f t="shared" si="1"/>
        <v>-2.6473309027588883E-2</v>
      </c>
      <c r="O35" s="11"/>
      <c r="P35" s="2">
        <f>-15579.43</f>
        <v>-15579.43</v>
      </c>
      <c r="Q35" s="2"/>
      <c r="R35" s="19"/>
      <c r="S35" s="2"/>
      <c r="T35" s="2">
        <f>-49571.09</f>
        <v>-49571.09</v>
      </c>
      <c r="U35" s="2"/>
      <c r="V35" s="19"/>
      <c r="W35" s="2"/>
      <c r="X35" s="2">
        <f t="shared" si="2"/>
        <v>33991.659999999996</v>
      </c>
      <c r="Y35" s="2"/>
      <c r="Z35" s="19">
        <f t="shared" si="3"/>
        <v>-0.68571540387754226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 t="shared" ref="D36:D38" si="11">0</f>
        <v>0</v>
      </c>
      <c r="E36" s="2"/>
      <c r="F36" s="19"/>
      <c r="G36" s="2"/>
      <c r="H36" s="2">
        <f>-285.45</f>
        <v>-285.45</v>
      </c>
      <c r="I36" s="2"/>
      <c r="J36" s="19"/>
      <c r="K36" s="2"/>
      <c r="L36" s="2">
        <f t="shared" si="0"/>
        <v>285.45</v>
      </c>
      <c r="M36" s="2"/>
      <c r="N36" s="19">
        <f t="shared" si="1"/>
        <v>-1</v>
      </c>
      <c r="O36" s="11"/>
      <c r="P36" s="2">
        <f>-1312.37</f>
        <v>-1312.37</v>
      </c>
      <c r="Q36" s="2"/>
      <c r="R36" s="19"/>
      <c r="S36" s="2"/>
      <c r="T36" s="2">
        <f>-4788.7</f>
        <v>-4788.7</v>
      </c>
      <c r="U36" s="2"/>
      <c r="V36" s="19"/>
      <c r="W36" s="2"/>
      <c r="X36" s="2">
        <f t="shared" si="2"/>
        <v>3476.33</v>
      </c>
      <c r="Y36" s="2"/>
      <c r="Z36" s="19">
        <f t="shared" si="3"/>
        <v>-0.72594441080042604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 t="shared" si="11"/>
        <v>0</v>
      </c>
      <c r="E37" s="2"/>
      <c r="F37" s="19"/>
      <c r="G37" s="2"/>
      <c r="H37" s="2">
        <f t="shared" ref="H37:H38" si="12"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>
        <f>-509.85</f>
        <v>-509.85</v>
      </c>
      <c r="U37" s="2"/>
      <c r="V37" s="19"/>
      <c r="W37" s="2"/>
      <c r="X37" s="2">
        <f t="shared" si="2"/>
        <v>324.86</v>
      </c>
      <c r="Y37" s="2"/>
      <c r="Z37" s="19">
        <f t="shared" si="3"/>
        <v>-0.63716779444934779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 t="shared" si="11"/>
        <v>0</v>
      </c>
      <c r="E38" s="2"/>
      <c r="F38" s="19"/>
      <c r="G38" s="2"/>
      <c r="H38" s="2">
        <f t="shared" si="12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-19036.13</f>
        <v>-19036.13</v>
      </c>
      <c r="Q38" s="2"/>
      <c r="R38" s="19"/>
      <c r="S38" s="2"/>
      <c r="T38" s="2">
        <f>-5668</f>
        <v>-5668</v>
      </c>
      <c r="U38" s="2"/>
      <c r="V38" s="19"/>
      <c r="W38" s="2"/>
      <c r="X38" s="2">
        <f t="shared" si="2"/>
        <v>-13368.130000000001</v>
      </c>
      <c r="Y38" s="2"/>
      <c r="Z38" s="19">
        <f t="shared" si="3"/>
        <v>2.3585268172194778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-88.62</f>
        <v>-88.62</v>
      </c>
      <c r="E39" s="2"/>
      <c r="F39" s="19"/>
      <c r="G39" s="2"/>
      <c r="H39" s="2">
        <f>-244.08</f>
        <v>-244.08</v>
      </c>
      <c r="I39" s="2"/>
      <c r="J39" s="19"/>
      <c r="K39" s="2"/>
      <c r="L39" s="2">
        <f t="shared" si="0"/>
        <v>155.46</v>
      </c>
      <c r="M39" s="2"/>
      <c r="N39" s="19">
        <f t="shared" si="1"/>
        <v>-0.63692232055063913</v>
      </c>
      <c r="O39" s="11"/>
      <c r="P39" s="2">
        <f>-941.28</f>
        <v>-941.28</v>
      </c>
      <c r="Q39" s="2"/>
      <c r="R39" s="19"/>
      <c r="S39" s="2"/>
      <c r="T39" s="2">
        <f>-1748.83</f>
        <v>-1748.83</v>
      </c>
      <c r="U39" s="2"/>
      <c r="V39" s="19"/>
      <c r="W39" s="2"/>
      <c r="X39" s="2">
        <f t="shared" si="2"/>
        <v>807.55</v>
      </c>
      <c r="Y39" s="2"/>
      <c r="Z39" s="19">
        <f t="shared" si="3"/>
        <v>-0.4617658663220553</v>
      </c>
    </row>
    <row r="40" spans="1:26" s="24" customFormat="1" hidden="1" outlineLevel="1" x14ac:dyDescent="0.25">
      <c r="A40" s="44"/>
      <c r="B40" s="11" t="str">
        <f>CONCATENATE("          ", "4313", " - ", "SALES RETURN NON TAXABLE-TRADE")</f>
        <v xml:space="preserve">          4313 - SALES RETURN NON TAXABLE-TRADE</v>
      </c>
      <c r="C40" s="11"/>
      <c r="D40" s="2">
        <f>-2481.44</f>
        <v>-2481.44</v>
      </c>
      <c r="E40" s="2"/>
      <c r="F40" s="19"/>
      <c r="G40" s="2"/>
      <c r="H40" s="2">
        <f t="shared" ref="H40:H41" si="13">0</f>
        <v>0</v>
      </c>
      <c r="I40" s="2"/>
      <c r="J40" s="19"/>
      <c r="K40" s="2"/>
      <c r="L40" s="2">
        <f t="shared" si="0"/>
        <v>-2481.44</v>
      </c>
      <c r="M40" s="2"/>
      <c r="N40" s="19">
        <f t="shared" si="1"/>
        <v>0</v>
      </c>
      <c r="O40" s="11"/>
      <c r="P40" s="2">
        <f>-2481.44</f>
        <v>-2481.44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-2481.44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"4318", " - ", "SALES RETURN NON TAXABLE-STUDY")</f>
        <v xml:space="preserve">          4318 - SALES RETURN NON TAXABLE-STUDY</v>
      </c>
      <c r="C41" s="11"/>
      <c r="D41" s="2">
        <f>0</f>
        <v>0</v>
      </c>
      <c r="E41" s="2"/>
      <c r="F41" s="19"/>
      <c r="G41" s="2"/>
      <c r="H41" s="2">
        <f t="shared" si="13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0</f>
        <v>0</v>
      </c>
      <c r="Q41" s="2"/>
      <c r="R41" s="19"/>
      <c r="S41" s="2"/>
      <c r="T41" s="2">
        <f>-5.04</f>
        <v>-5.04</v>
      </c>
      <c r="U41" s="2"/>
      <c r="V41" s="19"/>
      <c r="W41" s="2"/>
      <c r="X41" s="2">
        <f t="shared" si="2"/>
        <v>5.04</v>
      </c>
      <c r="Y41" s="2"/>
      <c r="Z41" s="19">
        <f t="shared" si="3"/>
        <v>-1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9" t="s">
        <v>8</v>
      </c>
      <c r="C43" s="10"/>
      <c r="D43" s="4">
        <f>SUM(OSRRefD16x_0)</f>
        <v>3319.240000000003</v>
      </c>
      <c r="E43" s="4"/>
      <c r="F43" s="12">
        <f t="shared" ref="F43:F59" si="14">IF(D$12=0,0,D43/D$12)</f>
        <v>0.70491942540159958</v>
      </c>
      <c r="G43" s="4"/>
      <c r="H43" s="4">
        <f>SUM(OSRRefH16x_0)</f>
        <v>13915.009999999971</v>
      </c>
      <c r="I43" s="4"/>
      <c r="J43" s="12">
        <f t="shared" ref="J43:J59" si="15">IF(H$12=0,0,H43/H$12)</f>
        <v>0.56295458094605311</v>
      </c>
      <c r="K43" s="4"/>
      <c r="L43" s="4">
        <f t="shared" ref="L43:L59" si="16">+D43-H43</f>
        <v>-10595.769999999968</v>
      </c>
      <c r="M43" s="4"/>
      <c r="N43" s="12">
        <f t="shared" ref="N43:N59" si="17">IF(H43=0,0,L43/H43)</f>
        <v>-0.76146334066594201</v>
      </c>
      <c r="O43" s="10"/>
      <c r="P43" s="4">
        <f>SUM(OSRRefP16x_0)</f>
        <v>2317565.42</v>
      </c>
      <c r="Q43" s="4"/>
      <c r="R43" s="12">
        <f t="shared" ref="R43:R59" si="18">IF(P$12=0,0,P43/P$12)</f>
        <v>0.70378262781954126</v>
      </c>
      <c r="S43" s="4"/>
      <c r="T43" s="4">
        <f>SUM(OSRRefT16x_0)</f>
        <v>2742599.07</v>
      </c>
      <c r="U43" s="4"/>
      <c r="V43" s="12">
        <f t="shared" ref="V43:V59" si="19">IF(T$12=0,0,T43/T$12)</f>
        <v>0.71552686358938267</v>
      </c>
      <c r="W43" s="4"/>
      <c r="X43" s="4">
        <f t="shared" ref="X43:X59" si="20">+P43-T43</f>
        <v>-425033.64999999991</v>
      </c>
      <c r="Y43" s="4"/>
      <c r="Z43" s="12">
        <f t="shared" ref="Z43:Z59" si="21">IF(T43=0,0,X43/T43)</f>
        <v>-0.15497476632630811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-32963.409999999996</v>
      </c>
      <c r="E44" s="2"/>
      <c r="F44" s="19">
        <f t="shared" si="14"/>
        <v>-7.0005627904210961</v>
      </c>
      <c r="G44" s="2"/>
      <c r="H44" s="2">
        <v>-219324.65000000002</v>
      </c>
      <c r="I44" s="2"/>
      <c r="J44" s="19">
        <f t="shared" si="15"/>
        <v>-8.8731388933166446</v>
      </c>
      <c r="K44" s="2"/>
      <c r="L44" s="2">
        <f t="shared" si="16"/>
        <v>186361.24000000002</v>
      </c>
      <c r="M44" s="2"/>
      <c r="N44" s="19">
        <f t="shared" si="17"/>
        <v>-0.84970494652561857</v>
      </c>
      <c r="O44" s="11"/>
      <c r="P44" s="2">
        <v>1084479.79</v>
      </c>
      <c r="Q44" s="2"/>
      <c r="R44" s="19">
        <f t="shared" si="18"/>
        <v>0.32932750456010185</v>
      </c>
      <c r="S44" s="2"/>
      <c r="T44" s="2">
        <v>1669520.83</v>
      </c>
      <c r="U44" s="2"/>
      <c r="V44" s="19">
        <f t="shared" si="19"/>
        <v>0.43556749371574865</v>
      </c>
      <c r="W44" s="2"/>
      <c r="X44" s="2">
        <f t="shared" si="20"/>
        <v>-585041.04</v>
      </c>
      <c r="Y44" s="2"/>
      <c r="Z44" s="19">
        <f t="shared" si="21"/>
        <v>-0.3504245227057155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-11408.32</v>
      </c>
      <c r="E45" s="2"/>
      <c r="F45" s="19">
        <f t="shared" si="14"/>
        <v>-2.4228276289745754</v>
      </c>
      <c r="G45" s="2"/>
      <c r="H45" s="2">
        <v>-69092.58</v>
      </c>
      <c r="I45" s="2"/>
      <c r="J45" s="19">
        <f t="shared" si="15"/>
        <v>-2.7952537885622601</v>
      </c>
      <c r="K45" s="2"/>
      <c r="L45" s="2">
        <f t="shared" si="16"/>
        <v>57684.26</v>
      </c>
      <c r="M45" s="2"/>
      <c r="N45" s="19">
        <f t="shared" si="17"/>
        <v>-0.83488357215782072</v>
      </c>
      <c r="O45" s="11"/>
      <c r="P45" s="2">
        <v>-85623.33</v>
      </c>
      <c r="Q45" s="2"/>
      <c r="R45" s="19">
        <f t="shared" si="18"/>
        <v>-2.6001515068368498E-2</v>
      </c>
      <c r="S45" s="2"/>
      <c r="T45" s="2">
        <v>-454791.85000000003</v>
      </c>
      <c r="U45" s="2"/>
      <c r="V45" s="19">
        <f t="shared" si="19"/>
        <v>-0.1186523358722327</v>
      </c>
      <c r="W45" s="2"/>
      <c r="X45" s="2">
        <f t="shared" si="20"/>
        <v>369168.52</v>
      </c>
      <c r="Y45" s="2"/>
      <c r="Z45" s="19">
        <f t="shared" si="21"/>
        <v>-0.81173072912366395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14"/>
        <v>0</v>
      </c>
      <c r="G46" s="2"/>
      <c r="H46" s="2">
        <v>811.08</v>
      </c>
      <c r="I46" s="2"/>
      <c r="J46" s="19">
        <f t="shared" si="15"/>
        <v>3.2813573365288687E-2</v>
      </c>
      <c r="K46" s="2"/>
      <c r="L46" s="2">
        <f t="shared" si="16"/>
        <v>-811.08</v>
      </c>
      <c r="M46" s="2"/>
      <c r="N46" s="19">
        <f t="shared" si="17"/>
        <v>-1</v>
      </c>
      <c r="O46" s="11"/>
      <c r="P46" s="2">
        <v>-78.400000000000006</v>
      </c>
      <c r="Q46" s="2"/>
      <c r="R46" s="19">
        <f t="shared" si="18"/>
        <v>-2.380798295698252E-5</v>
      </c>
      <c r="S46" s="2"/>
      <c r="T46" s="2">
        <v>15629.58</v>
      </c>
      <c r="U46" s="2"/>
      <c r="V46" s="19">
        <f t="shared" si="19"/>
        <v>4.0776592098163821E-3</v>
      </c>
      <c r="W46" s="2"/>
      <c r="X46" s="2">
        <f t="shared" si="20"/>
        <v>-15707.98</v>
      </c>
      <c r="Y46" s="2"/>
      <c r="Z46" s="19">
        <f t="shared" si="21"/>
        <v>-1.0050161296720705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54465.03</v>
      </c>
      <c r="E47" s="2"/>
      <c r="F47" s="19">
        <f t="shared" si="14"/>
        <v>11.566942327786135</v>
      </c>
      <c r="G47" s="2"/>
      <c r="H47" s="2">
        <v>-10175.74</v>
      </c>
      <c r="I47" s="2"/>
      <c r="J47" s="19">
        <f t="shared" si="15"/>
        <v>-0.41167627242208255</v>
      </c>
      <c r="K47" s="2"/>
      <c r="L47" s="2">
        <f t="shared" si="16"/>
        <v>64640.77</v>
      </c>
      <c r="M47" s="2"/>
      <c r="N47" s="19">
        <f t="shared" si="17"/>
        <v>-6.352439232920652</v>
      </c>
      <c r="O47" s="11"/>
      <c r="P47" s="2">
        <v>492787.91</v>
      </c>
      <c r="Q47" s="2"/>
      <c r="R47" s="19">
        <f t="shared" si="18"/>
        <v>0.14964650717713054</v>
      </c>
      <c r="S47" s="2"/>
      <c r="T47" s="2">
        <v>483690.86000000004</v>
      </c>
      <c r="U47" s="2"/>
      <c r="V47" s="19">
        <f t="shared" si="19"/>
        <v>0.12619190598742938</v>
      </c>
      <c r="W47" s="2"/>
      <c r="X47" s="2">
        <f t="shared" si="20"/>
        <v>9097.0499999999302</v>
      </c>
      <c r="Y47" s="2"/>
      <c r="Z47" s="19">
        <f t="shared" si="21"/>
        <v>1.8807570604083626E-2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42</v>
      </c>
      <c r="E48" s="2"/>
      <c r="F48" s="19">
        <f t="shared" si="14"/>
        <v>8.9196972399908283E-3</v>
      </c>
      <c r="G48" s="2"/>
      <c r="H48" s="2">
        <v>339</v>
      </c>
      <c r="I48" s="2"/>
      <c r="J48" s="19">
        <f t="shared" si="15"/>
        <v>1.3714801709859526E-2</v>
      </c>
      <c r="K48" s="2"/>
      <c r="L48" s="2">
        <f t="shared" si="16"/>
        <v>-297</v>
      </c>
      <c r="M48" s="2"/>
      <c r="N48" s="19">
        <f t="shared" si="17"/>
        <v>-0.87610619469026552</v>
      </c>
      <c r="O48" s="11"/>
      <c r="P48" s="2">
        <v>6363</v>
      </c>
      <c r="Q48" s="2"/>
      <c r="R48" s="19">
        <f t="shared" si="18"/>
        <v>1.9322729024908135E-3</v>
      </c>
      <c r="S48" s="2"/>
      <c r="T48" s="2">
        <v>3507</v>
      </c>
      <c r="U48" s="2"/>
      <c r="V48" s="19">
        <f t="shared" si="19"/>
        <v>9.1495426293131696E-4</v>
      </c>
      <c r="W48" s="2"/>
      <c r="X48" s="2">
        <f t="shared" si="20"/>
        <v>2856</v>
      </c>
      <c r="Y48" s="2"/>
      <c r="Z48" s="19">
        <f t="shared" si="21"/>
        <v>0.81437125748502992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-3150.69</v>
      </c>
      <c r="E49" s="2"/>
      <c r="F49" s="19">
        <f t="shared" si="14"/>
        <v>-0.66912383088254057</v>
      </c>
      <c r="G49" s="2"/>
      <c r="H49" s="2">
        <v>501.57</v>
      </c>
      <c r="I49" s="2"/>
      <c r="J49" s="19">
        <f t="shared" si="15"/>
        <v>2.0291838034260302E-2</v>
      </c>
      <c r="K49" s="2"/>
      <c r="L49" s="2">
        <f t="shared" si="16"/>
        <v>-3652.26</v>
      </c>
      <c r="M49" s="2"/>
      <c r="N49" s="19">
        <f t="shared" si="17"/>
        <v>-7.2816556014115683</v>
      </c>
      <c r="O49" s="11"/>
      <c r="P49" s="2">
        <v>3197.85</v>
      </c>
      <c r="Q49" s="2"/>
      <c r="R49" s="19">
        <f t="shared" si="18"/>
        <v>9.711015089156448E-4</v>
      </c>
      <c r="S49" s="2"/>
      <c r="T49" s="2">
        <v>6141.67</v>
      </c>
      <c r="U49" s="2"/>
      <c r="V49" s="19">
        <f t="shared" si="19"/>
        <v>1.6023231103556833E-3</v>
      </c>
      <c r="W49" s="2"/>
      <c r="X49" s="2">
        <f t="shared" si="20"/>
        <v>-2943.82</v>
      </c>
      <c r="Y49" s="2"/>
      <c r="Z49" s="19">
        <f t="shared" si="21"/>
        <v>-0.47931914283899985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/>
      <c r="E50" s="2"/>
      <c r="F50" s="19">
        <f t="shared" si="14"/>
        <v>0</v>
      </c>
      <c r="G50" s="2"/>
      <c r="H50" s="2">
        <v>64.849999999999994</v>
      </c>
      <c r="I50" s="2"/>
      <c r="J50" s="19">
        <f t="shared" si="15"/>
        <v>2.6236132474465788E-3</v>
      </c>
      <c r="K50" s="2"/>
      <c r="L50" s="2">
        <f t="shared" si="16"/>
        <v>-64.849999999999994</v>
      </c>
      <c r="M50" s="2"/>
      <c r="N50" s="19">
        <f t="shared" si="17"/>
        <v>-1</v>
      </c>
      <c r="O50" s="11"/>
      <c r="P50" s="2">
        <v>600.61</v>
      </c>
      <c r="Q50" s="2"/>
      <c r="R50" s="19">
        <f t="shared" si="18"/>
        <v>1.8238919188511826E-4</v>
      </c>
      <c r="S50" s="2"/>
      <c r="T50" s="2">
        <v>1122.1600000000001</v>
      </c>
      <c r="U50" s="2"/>
      <c r="V50" s="19">
        <f t="shared" si="19"/>
        <v>2.9276449264072047E-4</v>
      </c>
      <c r="W50" s="2"/>
      <c r="X50" s="2">
        <f t="shared" si="20"/>
        <v>-521.55000000000007</v>
      </c>
      <c r="Y50" s="2"/>
      <c r="Z50" s="19">
        <f t="shared" si="21"/>
        <v>-0.4647732943608755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-2582.4699999999998</v>
      </c>
      <c r="E51" s="2"/>
      <c r="F51" s="19">
        <f t="shared" si="14"/>
        <v>-0.54844882217521695</v>
      </c>
      <c r="G51" s="2"/>
      <c r="H51" s="2"/>
      <c r="I51" s="2"/>
      <c r="J51" s="19">
        <f t="shared" si="15"/>
        <v>0</v>
      </c>
      <c r="K51" s="2"/>
      <c r="L51" s="2">
        <f t="shared" si="16"/>
        <v>-2582.4699999999998</v>
      </c>
      <c r="M51" s="2"/>
      <c r="N51" s="19">
        <f t="shared" si="17"/>
        <v>0</v>
      </c>
      <c r="O51" s="11"/>
      <c r="P51" s="2">
        <v>-205.14</v>
      </c>
      <c r="Q51" s="2"/>
      <c r="R51" s="19">
        <f t="shared" si="18"/>
        <v>-6.2295530915757578E-5</v>
      </c>
      <c r="S51" s="2"/>
      <c r="T51" s="2">
        <v>2393.92</v>
      </c>
      <c r="U51" s="2"/>
      <c r="V51" s="19">
        <f t="shared" si="19"/>
        <v>6.245586852342567E-4</v>
      </c>
      <c r="W51" s="2"/>
      <c r="X51" s="2">
        <f t="shared" si="20"/>
        <v>-2599.06</v>
      </c>
      <c r="Y51" s="2"/>
      <c r="Z51" s="19">
        <f t="shared" si="21"/>
        <v>-1.0856920866194359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-6867</v>
      </c>
      <c r="E52" s="2"/>
      <c r="F52" s="19">
        <f t="shared" si="14"/>
        <v>-1.4583704987385004</v>
      </c>
      <c r="G52" s="2"/>
      <c r="H52" s="2">
        <v>296623</v>
      </c>
      <c r="I52" s="2"/>
      <c r="J52" s="19">
        <f t="shared" si="15"/>
        <v>12.000370582842661</v>
      </c>
      <c r="K52" s="2"/>
      <c r="L52" s="2">
        <f t="shared" si="16"/>
        <v>-303490</v>
      </c>
      <c r="M52" s="2"/>
      <c r="N52" s="19">
        <f t="shared" si="17"/>
        <v>-1.0231505985712503</v>
      </c>
      <c r="O52" s="11"/>
      <c r="P52" s="2">
        <v>-1586767</v>
      </c>
      <c r="Q52" s="2"/>
      <c r="R52" s="19">
        <f t="shared" si="18"/>
        <v>-0.48185869505997808</v>
      </c>
      <c r="S52" s="2"/>
      <c r="T52" s="2">
        <v>-1804018</v>
      </c>
      <c r="U52" s="2"/>
      <c r="V52" s="19">
        <f t="shared" si="19"/>
        <v>-0.47065696022378917</v>
      </c>
      <c r="W52" s="2"/>
      <c r="X52" s="2">
        <f t="shared" si="20"/>
        <v>217251</v>
      </c>
      <c r="Y52" s="2"/>
      <c r="Z52" s="19">
        <f t="shared" si="21"/>
        <v>-0.12042618200040132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3319</v>
      </c>
      <c r="E53" s="2"/>
      <c r="F53" s="19">
        <f t="shared" si="14"/>
        <v>0.70486845570308476</v>
      </c>
      <c r="G53" s="2"/>
      <c r="H53" s="2">
        <v>13915</v>
      </c>
      <c r="I53" s="2"/>
      <c r="J53" s="19">
        <f t="shared" si="15"/>
        <v>0.56295417637963219</v>
      </c>
      <c r="K53" s="2"/>
      <c r="L53" s="2">
        <f t="shared" si="16"/>
        <v>-10596</v>
      </c>
      <c r="M53" s="2"/>
      <c r="N53" s="19">
        <f t="shared" si="17"/>
        <v>-0.76148041681638523</v>
      </c>
      <c r="O53" s="11"/>
      <c r="P53" s="2">
        <v>2317528.4699999997</v>
      </c>
      <c r="Q53" s="2"/>
      <c r="R53" s="19">
        <f t="shared" si="18"/>
        <v>0.70377140709287966</v>
      </c>
      <c r="S53" s="2"/>
      <c r="T53" s="2">
        <v>2742426</v>
      </c>
      <c r="U53" s="2"/>
      <c r="V53" s="19">
        <f t="shared" si="19"/>
        <v>0.71548171071390931</v>
      </c>
      <c r="W53" s="2"/>
      <c r="X53" s="2">
        <f t="shared" si="20"/>
        <v>-424897.53000000026</v>
      </c>
      <c r="Y53" s="2"/>
      <c r="Z53" s="19">
        <f t="shared" si="21"/>
        <v>-0.15493491164392412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/>
      <c r="E54" s="2"/>
      <c r="F54" s="19">
        <f t="shared" si="14"/>
        <v>0</v>
      </c>
      <c r="G54" s="2"/>
      <c r="H54" s="2"/>
      <c r="I54" s="2"/>
      <c r="J54" s="19">
        <f t="shared" si="15"/>
        <v>0</v>
      </c>
      <c r="K54" s="2"/>
      <c r="L54" s="2">
        <f t="shared" si="16"/>
        <v>0</v>
      </c>
      <c r="M54" s="2"/>
      <c r="N54" s="19">
        <f t="shared" si="17"/>
        <v>0</v>
      </c>
      <c r="O54" s="11"/>
      <c r="P54" s="2">
        <v>41.25</v>
      </c>
      <c r="Q54" s="2"/>
      <c r="R54" s="19">
        <f t="shared" si="18"/>
        <v>1.2526521645096032E-5</v>
      </c>
      <c r="S54" s="2"/>
      <c r="T54" s="2">
        <v>174.83</v>
      </c>
      <c r="U54" s="2"/>
      <c r="V54" s="19">
        <f t="shared" si="19"/>
        <v>4.5612048414109537E-5</v>
      </c>
      <c r="W54" s="2"/>
      <c r="X54" s="2">
        <f t="shared" si="20"/>
        <v>-133.58000000000001</v>
      </c>
      <c r="Y54" s="2"/>
      <c r="Z54" s="19">
        <f t="shared" si="21"/>
        <v>-0.7640565120402677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2428.4</v>
      </c>
      <c r="E55" s="2"/>
      <c r="F55" s="19">
        <f t="shared" si="14"/>
        <v>0.51572839946651738</v>
      </c>
      <c r="G55" s="2"/>
      <c r="H55" s="2">
        <v>105.61</v>
      </c>
      <c r="I55" s="2"/>
      <c r="J55" s="19">
        <f t="shared" si="15"/>
        <v>4.2726259840066803E-3</v>
      </c>
      <c r="K55" s="2"/>
      <c r="L55" s="2">
        <f t="shared" si="16"/>
        <v>2322.79</v>
      </c>
      <c r="M55" s="2"/>
      <c r="N55" s="19">
        <f t="shared" si="17"/>
        <v>21.994034655809109</v>
      </c>
      <c r="O55" s="11"/>
      <c r="P55" s="2">
        <v>69768.95</v>
      </c>
      <c r="Q55" s="2"/>
      <c r="R55" s="19">
        <f t="shared" si="18"/>
        <v>2.1186963935287826E-2</v>
      </c>
      <c r="S55" s="2"/>
      <c r="T55" s="2">
        <v>62766.54</v>
      </c>
      <c r="U55" s="2"/>
      <c r="V55" s="19">
        <f t="shared" si="19"/>
        <v>1.6375395877516116E-2</v>
      </c>
      <c r="W55" s="2"/>
      <c r="X55" s="2">
        <f t="shared" si="20"/>
        <v>7002.4099999999962</v>
      </c>
      <c r="Y55" s="2"/>
      <c r="Z55" s="19">
        <f t="shared" si="21"/>
        <v>0.11156278488506768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36.700000000000003</v>
      </c>
      <c r="E56" s="2"/>
      <c r="F56" s="19">
        <f t="shared" si="14"/>
        <v>7.7941163978015099E-3</v>
      </c>
      <c r="G56" s="2"/>
      <c r="H56" s="2">
        <v>107.69</v>
      </c>
      <c r="I56" s="2"/>
      <c r="J56" s="19">
        <f t="shared" si="15"/>
        <v>4.3567757998075884E-3</v>
      </c>
      <c r="K56" s="2"/>
      <c r="L56" s="2">
        <f t="shared" si="16"/>
        <v>-70.989999999999995</v>
      </c>
      <c r="M56" s="2"/>
      <c r="N56" s="19">
        <f t="shared" si="17"/>
        <v>-0.65920698300677871</v>
      </c>
      <c r="O56" s="11"/>
      <c r="P56" s="2">
        <v>15301.34</v>
      </c>
      <c r="Q56" s="2"/>
      <c r="R56" s="19">
        <f t="shared" si="18"/>
        <v>4.646607677793302E-3</v>
      </c>
      <c r="S56" s="2"/>
      <c r="T56" s="2">
        <v>13737.1</v>
      </c>
      <c r="U56" s="2"/>
      <c r="V56" s="19">
        <f t="shared" si="19"/>
        <v>3.5839230696646119E-3</v>
      </c>
      <c r="W56" s="2"/>
      <c r="X56" s="2">
        <f t="shared" si="20"/>
        <v>1564.2399999999998</v>
      </c>
      <c r="Y56" s="2"/>
      <c r="Z56" s="19">
        <f t="shared" si="21"/>
        <v>0.11386973961025251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/>
      <c r="E57" s="2"/>
      <c r="F57" s="19">
        <f t="shared" si="14"/>
        <v>0</v>
      </c>
      <c r="G57" s="2"/>
      <c r="H57" s="2"/>
      <c r="I57" s="2"/>
      <c r="J57" s="19">
        <f t="shared" si="15"/>
        <v>0</v>
      </c>
      <c r="K57" s="2"/>
      <c r="L57" s="2">
        <f t="shared" si="16"/>
        <v>0</v>
      </c>
      <c r="M57" s="2"/>
      <c r="N57" s="19">
        <f t="shared" si="17"/>
        <v>0</v>
      </c>
      <c r="O57" s="11"/>
      <c r="P57" s="2">
        <v>118.75</v>
      </c>
      <c r="Q57" s="2"/>
      <c r="R57" s="19">
        <f t="shared" si="18"/>
        <v>3.6061198675276459E-5</v>
      </c>
      <c r="S57" s="2"/>
      <c r="T57" s="2">
        <v>243.53</v>
      </c>
      <c r="U57" s="2"/>
      <c r="V57" s="19">
        <f t="shared" si="19"/>
        <v>6.3535446721318391E-5</v>
      </c>
      <c r="W57" s="2"/>
      <c r="X57" s="2">
        <f t="shared" si="20"/>
        <v>-124.78</v>
      </c>
      <c r="Y57" s="2"/>
      <c r="Z57" s="19">
        <f t="shared" si="21"/>
        <v>-0.5123804048782491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/>
      <c r="E58" s="2"/>
      <c r="F58" s="19">
        <f t="shared" si="14"/>
        <v>0</v>
      </c>
      <c r="G58" s="2"/>
      <c r="H58" s="2">
        <v>40.18</v>
      </c>
      <c r="I58" s="2"/>
      <c r="J58" s="19">
        <f t="shared" si="15"/>
        <v>1.6255478840771556E-3</v>
      </c>
      <c r="K58" s="2"/>
      <c r="L58" s="2">
        <f t="shared" si="16"/>
        <v>-40.18</v>
      </c>
      <c r="M58" s="2"/>
      <c r="N58" s="19">
        <f t="shared" si="17"/>
        <v>-1</v>
      </c>
      <c r="O58" s="11"/>
      <c r="P58" s="2">
        <v>30.24</v>
      </c>
      <c r="Q58" s="2"/>
      <c r="R58" s="19">
        <f t="shared" si="18"/>
        <v>9.1830791405504007E-6</v>
      </c>
      <c r="S58" s="2"/>
      <c r="T58" s="2">
        <v>54.9</v>
      </c>
      <c r="U58" s="2"/>
      <c r="V58" s="19">
        <f t="shared" si="19"/>
        <v>1.4323065022791361E-5</v>
      </c>
      <c r="W58" s="2"/>
      <c r="X58" s="2">
        <f t="shared" si="20"/>
        <v>-24.66</v>
      </c>
      <c r="Y58" s="2"/>
      <c r="Z58" s="19">
        <f t="shared" si="21"/>
        <v>-0.44918032786885248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14"/>
        <v>0</v>
      </c>
      <c r="G59" s="2"/>
      <c r="H59" s="2"/>
      <c r="I59" s="2"/>
      <c r="J59" s="19">
        <f t="shared" si="15"/>
        <v>0</v>
      </c>
      <c r="K59" s="2"/>
      <c r="L59" s="2">
        <f t="shared" si="16"/>
        <v>0</v>
      </c>
      <c r="M59" s="2"/>
      <c r="N59" s="19">
        <f t="shared" si="17"/>
        <v>0</v>
      </c>
      <c r="O59" s="11"/>
      <c r="P59" s="2">
        <v>21.13</v>
      </c>
      <c r="Q59" s="2"/>
      <c r="R59" s="19">
        <f t="shared" si="18"/>
        <v>6.4166158148091914E-6</v>
      </c>
      <c r="S59" s="2"/>
      <c r="T59" s="2"/>
      <c r="U59" s="2"/>
      <c r="V59" s="19">
        <f t="shared" si="19"/>
        <v>0</v>
      </c>
      <c r="W59" s="2"/>
      <c r="X59" s="2">
        <f t="shared" si="20"/>
        <v>21.13</v>
      </c>
      <c r="Y59" s="2"/>
      <c r="Z59" s="19">
        <f t="shared" si="21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6</v>
      </c>
      <c r="C61" s="28"/>
      <c r="D61" s="21">
        <f>D12-D43</f>
        <v>1389.4399999999955</v>
      </c>
      <c r="E61" s="14"/>
      <c r="F61" s="20">
        <f>IF(D$12=0,0,D61/D$12)</f>
        <v>0.29508057459840037</v>
      </c>
      <c r="G61" s="14"/>
      <c r="H61" s="21">
        <f>H12-H43</f>
        <v>10802.810000000029</v>
      </c>
      <c r="I61" s="14"/>
      <c r="J61" s="20">
        <f>IF(H$12=0,0,H61/H$12)</f>
        <v>0.43704541905394684</v>
      </c>
      <c r="K61" s="15"/>
      <c r="L61" s="21">
        <f>+D61-H61</f>
        <v>-9413.3700000000335</v>
      </c>
      <c r="M61" s="15"/>
      <c r="N61" s="20">
        <f>IF(H61=0,0,L61/H61)</f>
        <v>-0.87138161274705461</v>
      </c>
      <c r="O61" s="29"/>
      <c r="P61" s="21">
        <f>P12-P43</f>
        <v>975447.69</v>
      </c>
      <c r="Q61" s="14"/>
      <c r="R61" s="20">
        <f>IF(P$12=0,0,P61/P$12)</f>
        <v>0.29621737218045874</v>
      </c>
      <c r="S61" s="14"/>
      <c r="T61" s="21">
        <f>T12-T43</f>
        <v>1090379.4100000006</v>
      </c>
      <c r="U61" s="14"/>
      <c r="V61" s="20">
        <f>IF(T$12=0,0,T61/T$12)</f>
        <v>0.28447313641061728</v>
      </c>
      <c r="W61" s="15"/>
      <c r="X61" s="21">
        <f>+P61-T61</f>
        <v>-114931.72000000067</v>
      </c>
      <c r="Y61" s="15"/>
      <c r="Z61" s="20">
        <f>IF(T61=0,0,X61/T61)</f>
        <v>-0.10540525522212549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9</v>
      </c>
      <c r="C63" s="10"/>
      <c r="D63" s="22">
        <f>SUM(OSRRefD22x_0)</f>
        <v>51861.900000000009</v>
      </c>
      <c r="E63" s="22"/>
      <c r="F63" s="35">
        <f t="shared" ref="F63:F73" si="22">IF(D$12=0,0,D63/D$12)</f>
        <v>11.01410586406382</v>
      </c>
      <c r="G63" s="22"/>
      <c r="H63" s="22">
        <f>SUM(OSRRefH22x_0)</f>
        <v>68988.149999999994</v>
      </c>
      <c r="I63" s="22"/>
      <c r="J63" s="35">
        <f t="shared" ref="J63:J73" si="23">IF(H$12=0,0,H63/H$12)</f>
        <v>2.791028901416063</v>
      </c>
      <c r="K63" s="4"/>
      <c r="L63" s="22">
        <f t="shared" ref="L63:L73" si="24">+D63-H63</f>
        <v>-17126.249999999985</v>
      </c>
      <c r="M63" s="4"/>
      <c r="N63" s="35">
        <f t="shared" ref="N63:N73" si="25">IF(H63=0,0,L63/H63)</f>
        <v>-0.24824915583328422</v>
      </c>
      <c r="O63" s="10"/>
      <c r="P63" s="22">
        <f>SUM(OSRRefP22x_0)</f>
        <v>470997.50000000006</v>
      </c>
      <c r="Q63" s="22"/>
      <c r="R63" s="35">
        <f t="shared" ref="R63:R73" si="26">IF(P$12=0,0,P63/P$12)</f>
        <v>0.14302934250996652</v>
      </c>
      <c r="S63" s="22"/>
      <c r="T63" s="22">
        <f>SUM(OSRRefT22x_0)</f>
        <v>600827.54999999981</v>
      </c>
      <c r="U63" s="22"/>
      <c r="V63" s="35">
        <f t="shared" ref="V63:V73" si="27">IF(T$12=0,0,T63/T$12)</f>
        <v>0.15675213235217531</v>
      </c>
      <c r="W63" s="4"/>
      <c r="X63" s="22">
        <f t="shared" ref="X63:X73" si="28">+P63-T63</f>
        <v>-129830.04999999976</v>
      </c>
      <c r="Y63" s="4"/>
      <c r="Z63" s="35">
        <f t="shared" ref="Z63:Z73" si="29">IF(T63=0,0,X63/T63)</f>
        <v>-0.21608538090505303</v>
      </c>
    </row>
    <row r="64" spans="1:26" s="25" customFormat="1" outlineLevel="1" collapsed="1" x14ac:dyDescent="0.25">
      <c r="A64" s="26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12230.73</v>
      </c>
      <c r="E64" s="1"/>
      <c r="F64" s="5">
        <f t="shared" si="22"/>
        <v>2.597485919620786</v>
      </c>
      <c r="G64" s="1"/>
      <c r="H64" s="1">
        <f>SUM(OSRRefH22_0x_0)</f>
        <v>11894</v>
      </c>
      <c r="I64" s="1"/>
      <c r="J64" s="5">
        <f t="shared" si="23"/>
        <v>0.4811913024692307</v>
      </c>
      <c r="K64" s="1"/>
      <c r="L64" s="1">
        <f t="shared" si="24"/>
        <v>336.72999999999956</v>
      </c>
      <c r="M64" s="1"/>
      <c r="N64" s="5">
        <f t="shared" si="25"/>
        <v>2.8310913065411093E-2</v>
      </c>
      <c r="O64" s="13"/>
      <c r="P64" s="1">
        <f>SUM(OSRRefP22_0x_0)</f>
        <v>106386.24999999999</v>
      </c>
      <c r="Q64" s="1"/>
      <c r="R64" s="5">
        <f t="shared" si="26"/>
        <v>3.2306658505832669E-2</v>
      </c>
      <c r="S64" s="1"/>
      <c r="T64" s="1">
        <f>SUM(OSRRefT22_0x_0)</f>
        <v>125708.68999999999</v>
      </c>
      <c r="U64" s="1"/>
      <c r="V64" s="5">
        <f t="shared" si="27"/>
        <v>3.2796607300545025E-2</v>
      </c>
      <c r="W64" s="1"/>
      <c r="X64" s="1">
        <f t="shared" si="28"/>
        <v>-19322.440000000002</v>
      </c>
      <c r="Y64" s="1"/>
      <c r="Z64" s="5">
        <f t="shared" si="29"/>
        <v>-0.15370806902848166</v>
      </c>
    </row>
    <row r="65" spans="1:26" s="24" customFormat="1" hidden="1" outlineLevel="2" x14ac:dyDescent="0.25">
      <c r="A65" s="27"/>
      <c r="B65" s="11" t="str">
        <f>CONCATENATE("          ", "6111", " - ", "F.I.C.A.")</f>
        <v xml:space="preserve">          6111 - F.I.C.A.</v>
      </c>
      <c r="C65" s="11"/>
      <c r="D65" s="6">
        <v>2530.4499999999998</v>
      </c>
      <c r="E65" s="2"/>
      <c r="F65" s="7">
        <f t="shared" si="22"/>
        <v>0.53740114002225692</v>
      </c>
      <c r="G65" s="2"/>
      <c r="H65" s="6">
        <v>1640.54</v>
      </c>
      <c r="I65" s="2"/>
      <c r="J65" s="7">
        <f t="shared" si="23"/>
        <v>6.6370739814433477E-2</v>
      </c>
      <c r="K65" s="2"/>
      <c r="L65" s="6">
        <f t="shared" si="24"/>
        <v>889.90999999999985</v>
      </c>
      <c r="M65" s="2"/>
      <c r="N65" s="7">
        <f t="shared" si="25"/>
        <v>0.54244943738037465</v>
      </c>
      <c r="O65" s="11"/>
      <c r="P65" s="6">
        <v>18289.75</v>
      </c>
      <c r="Q65" s="2"/>
      <c r="R65" s="7">
        <f t="shared" si="26"/>
        <v>5.5541078608095798E-3</v>
      </c>
      <c r="S65" s="2"/>
      <c r="T65" s="6">
        <v>19622.05</v>
      </c>
      <c r="U65" s="2"/>
      <c r="V65" s="7">
        <f t="shared" si="27"/>
        <v>5.119269545181479E-3</v>
      </c>
      <c r="W65" s="2"/>
      <c r="X65" s="6">
        <f t="shared" si="28"/>
        <v>-1332.2999999999993</v>
      </c>
      <c r="Y65" s="2"/>
      <c r="Z65" s="7">
        <f t="shared" si="29"/>
        <v>-6.7898104428436343E-2</v>
      </c>
    </row>
    <row r="66" spans="1:26" s="24" customFormat="1" hidden="1" outlineLevel="2" x14ac:dyDescent="0.25">
      <c r="A66" s="27"/>
      <c r="B66" s="11" t="str">
        <f>CONCATENATE("          ", "6112", " - ", "COMPENSATION INSURANCE")</f>
        <v xml:space="preserve">          6112 - COMPENSATION INSURANCE</v>
      </c>
      <c r="C66" s="11"/>
      <c r="D66" s="6">
        <v>155.25</v>
      </c>
      <c r="E66" s="2"/>
      <c r="F66" s="7">
        <f t="shared" si="22"/>
        <v>3.2971023726394669E-2</v>
      </c>
      <c r="G66" s="2"/>
      <c r="H66" s="6">
        <v>75.33</v>
      </c>
      <c r="I66" s="2"/>
      <c r="J66" s="7">
        <f t="shared" si="23"/>
        <v>3.0475988578280771E-3</v>
      </c>
      <c r="K66" s="2"/>
      <c r="L66" s="6">
        <f t="shared" si="24"/>
        <v>79.92</v>
      </c>
      <c r="M66" s="2"/>
      <c r="N66" s="7">
        <f t="shared" si="25"/>
        <v>1.0609318996415771</v>
      </c>
      <c r="O66" s="11"/>
      <c r="P66" s="6">
        <v>865.6</v>
      </c>
      <c r="Q66" s="2"/>
      <c r="R66" s="7">
        <f t="shared" si="26"/>
        <v>2.6285956693321516E-4</v>
      </c>
      <c r="S66" s="2"/>
      <c r="T66" s="6">
        <v>788.03</v>
      </c>
      <c r="U66" s="2"/>
      <c r="V66" s="7">
        <f t="shared" si="27"/>
        <v>2.0559207522605238E-4</v>
      </c>
      <c r="W66" s="2"/>
      <c r="X66" s="6">
        <f t="shared" si="28"/>
        <v>77.57000000000005</v>
      </c>
      <c r="Y66" s="2"/>
      <c r="Z66" s="7">
        <f t="shared" si="29"/>
        <v>9.8435338756138788E-2</v>
      </c>
    </row>
    <row r="67" spans="1:26" s="24" customFormat="1" hidden="1" outlineLevel="2" x14ac:dyDescent="0.25">
      <c r="A67" s="27"/>
      <c r="B67" s="11" t="str">
        <f>CONCATENATE("          ", "6113", " - ", "GROUP INSURANCE")</f>
        <v xml:space="preserve">          6113 - GROUP INSURANCE</v>
      </c>
      <c r="C67" s="11"/>
      <c r="D67" s="6">
        <v>4248.21</v>
      </c>
      <c r="E67" s="2"/>
      <c r="F67" s="7">
        <f t="shared" si="22"/>
        <v>0.90220826218812944</v>
      </c>
      <c r="G67" s="2"/>
      <c r="H67" s="6">
        <v>5576.65</v>
      </c>
      <c r="I67" s="2"/>
      <c r="J67" s="7">
        <f t="shared" si="23"/>
        <v>0.22561253379141039</v>
      </c>
      <c r="K67" s="2"/>
      <c r="L67" s="6">
        <f t="shared" si="24"/>
        <v>-1328.4399999999996</v>
      </c>
      <c r="M67" s="2"/>
      <c r="N67" s="7">
        <f t="shared" si="25"/>
        <v>-0.23821469878869925</v>
      </c>
      <c r="O67" s="11"/>
      <c r="P67" s="6">
        <v>42004.259999999995</v>
      </c>
      <c r="Q67" s="2"/>
      <c r="R67" s="7">
        <f t="shared" si="26"/>
        <v>1.2755570232151306E-2</v>
      </c>
      <c r="S67" s="2"/>
      <c r="T67" s="6">
        <v>52540.04</v>
      </c>
      <c r="U67" s="2"/>
      <c r="V67" s="7">
        <f t="shared" si="27"/>
        <v>1.3707366288161367E-2</v>
      </c>
      <c r="W67" s="2"/>
      <c r="X67" s="6">
        <f t="shared" si="28"/>
        <v>-10535.780000000006</v>
      </c>
      <c r="Y67" s="2"/>
      <c r="Z67" s="7">
        <f t="shared" si="29"/>
        <v>-0.20052858734024576</v>
      </c>
    </row>
    <row r="68" spans="1:26" s="24" customFormat="1" hidden="1" outlineLevel="2" x14ac:dyDescent="0.25">
      <c r="A68" s="27"/>
      <c r="B68" s="11" t="str">
        <f>CONCATENATE("          ", "6114", " - ", "STATE UNEMPLOYMENT INSURANCE")</f>
        <v xml:space="preserve">          6114 - STATE UNEMPLOYMENT INSURANCE</v>
      </c>
      <c r="C68" s="11"/>
      <c r="D68" s="6">
        <v>64.3</v>
      </c>
      <c r="E68" s="2"/>
      <c r="F68" s="7">
        <f t="shared" si="22"/>
        <v>1.3655631726938339E-2</v>
      </c>
      <c r="G68" s="2"/>
      <c r="H68" s="6">
        <v>63.18</v>
      </c>
      <c r="I68" s="2"/>
      <c r="J68" s="7">
        <f t="shared" si="23"/>
        <v>2.5560506549525807E-3</v>
      </c>
      <c r="K68" s="2"/>
      <c r="L68" s="6">
        <f t="shared" si="24"/>
        <v>1.1199999999999974</v>
      </c>
      <c r="M68" s="2"/>
      <c r="N68" s="7">
        <f t="shared" si="25"/>
        <v>1.772712883823991E-2</v>
      </c>
      <c r="O68" s="11"/>
      <c r="P68" s="6">
        <v>654.03</v>
      </c>
      <c r="Q68" s="2"/>
      <c r="R68" s="7">
        <f t="shared" si="26"/>
        <v>1.9861141700708261E-4</v>
      </c>
      <c r="S68" s="2"/>
      <c r="T68" s="6">
        <v>759.7</v>
      </c>
      <c r="U68" s="2"/>
      <c r="V68" s="7">
        <f t="shared" si="27"/>
        <v>1.9820095624434604E-4</v>
      </c>
      <c r="W68" s="2"/>
      <c r="X68" s="6">
        <f t="shared" si="28"/>
        <v>-105.67000000000007</v>
      </c>
      <c r="Y68" s="2"/>
      <c r="Z68" s="7">
        <f t="shared" si="29"/>
        <v>-0.13909437936027388</v>
      </c>
    </row>
    <row r="69" spans="1:26" s="24" customFormat="1" hidden="1" outlineLevel="2" x14ac:dyDescent="0.25">
      <c r="A69" s="27"/>
      <c r="B69" s="11" t="str">
        <f>CONCATENATE("          ", "6115", " - ", "P.E.R.S.")</f>
        <v xml:space="preserve">          6115 - P.E.R.S.</v>
      </c>
      <c r="C69" s="11"/>
      <c r="D69" s="6">
        <v>1363.4</v>
      </c>
      <c r="E69" s="2"/>
      <c r="F69" s="7">
        <f t="shared" si="22"/>
        <v>0.28955036230960707</v>
      </c>
      <c r="G69" s="2"/>
      <c r="H69" s="6">
        <v>1209.17</v>
      </c>
      <c r="I69" s="2"/>
      <c r="J69" s="7">
        <f t="shared" si="23"/>
        <v>4.8918958063453817E-2</v>
      </c>
      <c r="K69" s="2"/>
      <c r="L69" s="6">
        <f t="shared" si="24"/>
        <v>154.23000000000002</v>
      </c>
      <c r="M69" s="2"/>
      <c r="N69" s="7">
        <f t="shared" si="25"/>
        <v>0.12755030310047388</v>
      </c>
      <c r="O69" s="11"/>
      <c r="P69" s="6">
        <v>14476.29</v>
      </c>
      <c r="Q69" s="2"/>
      <c r="R69" s="7">
        <f t="shared" si="26"/>
        <v>4.3960620612287817E-3</v>
      </c>
      <c r="S69" s="2"/>
      <c r="T69" s="6">
        <v>13810.76</v>
      </c>
      <c r="U69" s="2"/>
      <c r="V69" s="7">
        <f t="shared" si="27"/>
        <v>3.6031405008044811E-3</v>
      </c>
      <c r="W69" s="2"/>
      <c r="X69" s="6">
        <f t="shared" si="28"/>
        <v>665.53000000000065</v>
      </c>
      <c r="Y69" s="2"/>
      <c r="Z69" s="7">
        <f t="shared" si="29"/>
        <v>4.8189237956491944E-2</v>
      </c>
    </row>
    <row r="70" spans="1:26" s="24" customFormat="1" hidden="1" outlineLevel="2" x14ac:dyDescent="0.25">
      <c r="A70" s="27"/>
      <c r="B70" s="11" t="str">
        <f>CONCATENATE("          ", "6117", " - ", "RETIREMENT STAFF HOURLY")</f>
        <v xml:space="preserve">          6117 - RETIREMENT STAFF HOURLY</v>
      </c>
      <c r="C70" s="11"/>
      <c r="D70" s="6">
        <v>395.56</v>
      </c>
      <c r="E70" s="2"/>
      <c r="F70" s="7">
        <f t="shared" si="22"/>
        <v>8.4006558101208856E-2</v>
      </c>
      <c r="G70" s="2"/>
      <c r="H70" s="6">
        <v>386.43</v>
      </c>
      <c r="I70" s="2"/>
      <c r="J70" s="7">
        <f t="shared" si="23"/>
        <v>1.5633660249973501E-2</v>
      </c>
      <c r="K70" s="2"/>
      <c r="L70" s="6">
        <f t="shared" si="24"/>
        <v>9.1299999999999955</v>
      </c>
      <c r="M70" s="2"/>
      <c r="N70" s="7">
        <f t="shared" si="25"/>
        <v>2.3626530031312258E-2</v>
      </c>
      <c r="O70" s="11"/>
      <c r="P70" s="6">
        <v>1569.67</v>
      </c>
      <c r="Q70" s="2"/>
      <c r="R70" s="7">
        <f t="shared" si="26"/>
        <v>4.7666679347049433E-4</v>
      </c>
      <c r="S70" s="2"/>
      <c r="T70" s="6">
        <v>2646.15</v>
      </c>
      <c r="U70" s="2"/>
      <c r="V70" s="7">
        <f t="shared" si="27"/>
        <v>6.9036390728705575E-4</v>
      </c>
      <c r="W70" s="2"/>
      <c r="X70" s="6">
        <f t="shared" si="28"/>
        <v>-1076.48</v>
      </c>
      <c r="Y70" s="2"/>
      <c r="Z70" s="7">
        <f t="shared" si="29"/>
        <v>-0.40680989361903142</v>
      </c>
    </row>
    <row r="71" spans="1:26" s="24" customFormat="1" hidden="1" outlineLevel="2" x14ac:dyDescent="0.25">
      <c r="A71" s="27"/>
      <c r="B71" s="11" t="str">
        <f>CONCATENATE("          ", "6118", " - ", "VACATION")</f>
        <v xml:space="preserve">          6118 - VACATION</v>
      </c>
      <c r="C71" s="11"/>
      <c r="D71" s="6">
        <v>1819.28</v>
      </c>
      <c r="E71" s="2"/>
      <c r="F71" s="7">
        <f t="shared" si="22"/>
        <v>0.38636730463739322</v>
      </c>
      <c r="G71" s="2"/>
      <c r="H71" s="6">
        <v>1303.99</v>
      </c>
      <c r="I71" s="2"/>
      <c r="J71" s="7">
        <f t="shared" si="23"/>
        <v>5.2755056877993284E-2</v>
      </c>
      <c r="K71" s="2"/>
      <c r="L71" s="6">
        <f t="shared" si="24"/>
        <v>515.29</v>
      </c>
      <c r="M71" s="2"/>
      <c r="N71" s="7">
        <f t="shared" si="25"/>
        <v>0.39516407334412068</v>
      </c>
      <c r="O71" s="11"/>
      <c r="P71" s="6">
        <v>10643.06</v>
      </c>
      <c r="Q71" s="2"/>
      <c r="R71" s="7">
        <f t="shared" si="26"/>
        <v>3.2320126414558973E-3</v>
      </c>
      <c r="S71" s="2"/>
      <c r="T71" s="6">
        <v>15514.750000000002</v>
      </c>
      <c r="U71" s="2"/>
      <c r="V71" s="7">
        <f t="shared" si="27"/>
        <v>4.0477007843780013E-3</v>
      </c>
      <c r="W71" s="2"/>
      <c r="X71" s="6">
        <f t="shared" si="28"/>
        <v>-4871.6900000000023</v>
      </c>
      <c r="Y71" s="2"/>
      <c r="Z71" s="7">
        <f t="shared" si="29"/>
        <v>-0.31400377060539175</v>
      </c>
    </row>
    <row r="72" spans="1:26" s="24" customFormat="1" hidden="1" outlineLevel="2" x14ac:dyDescent="0.25">
      <c r="A72" s="27"/>
      <c r="B72" s="11" t="str">
        <f>CONCATENATE("          ", "6119", " - ", "SICK LEAVE")</f>
        <v xml:space="preserve">          6119 - SICK LEAVE</v>
      </c>
      <c r="C72" s="11"/>
      <c r="D72" s="6">
        <v>1416.9</v>
      </c>
      <c r="E72" s="2"/>
      <c r="F72" s="7">
        <f t="shared" si="22"/>
        <v>0.3009123576034049</v>
      </c>
      <c r="G72" s="2"/>
      <c r="H72" s="6">
        <v>937.96</v>
      </c>
      <c r="I72" s="2"/>
      <c r="J72" s="7">
        <f t="shared" si="23"/>
        <v>3.7946712129144078E-2</v>
      </c>
      <c r="K72" s="2"/>
      <c r="L72" s="6">
        <f t="shared" si="24"/>
        <v>478.94000000000005</v>
      </c>
      <c r="M72" s="2"/>
      <c r="N72" s="7">
        <f t="shared" si="25"/>
        <v>0.51061878971384711</v>
      </c>
      <c r="O72" s="11"/>
      <c r="P72" s="6">
        <v>12014.29</v>
      </c>
      <c r="Q72" s="2"/>
      <c r="R72" s="7">
        <f t="shared" si="26"/>
        <v>3.6484185147990502E-3</v>
      </c>
      <c r="S72" s="2"/>
      <c r="T72" s="6">
        <v>13002.75</v>
      </c>
      <c r="U72" s="2"/>
      <c r="V72" s="7">
        <f t="shared" si="27"/>
        <v>3.392335769127511E-3</v>
      </c>
      <c r="W72" s="2"/>
      <c r="X72" s="6">
        <f t="shared" si="28"/>
        <v>-988.45999999999913</v>
      </c>
      <c r="Y72" s="2"/>
      <c r="Z72" s="7">
        <f t="shared" si="29"/>
        <v>-7.601930360885191E-2</v>
      </c>
    </row>
    <row r="73" spans="1:26" s="24" customFormat="1" hidden="1" outlineLevel="2" x14ac:dyDescent="0.25">
      <c r="A73" s="27"/>
      <c r="B73" s="11" t="str">
        <f>CONCATENATE("          ", "6156", " - ", "EMPLOYEE MEALS")</f>
        <v xml:space="preserve">          6156 - EMPLOYEE MEALS</v>
      </c>
      <c r="C73" s="11"/>
      <c r="D73" s="6">
        <v>237.38</v>
      </c>
      <c r="E73" s="2"/>
      <c r="F73" s="7">
        <f t="shared" si="22"/>
        <v>5.0413279305452925E-2</v>
      </c>
      <c r="G73" s="2"/>
      <c r="H73" s="6">
        <v>700.75</v>
      </c>
      <c r="I73" s="2"/>
      <c r="J73" s="7">
        <f t="shared" si="23"/>
        <v>2.8349992030041484E-2</v>
      </c>
      <c r="K73" s="2"/>
      <c r="L73" s="6">
        <f t="shared" si="24"/>
        <v>-463.37</v>
      </c>
      <c r="M73" s="2"/>
      <c r="N73" s="7">
        <f t="shared" si="25"/>
        <v>-0.66124866214769895</v>
      </c>
      <c r="O73" s="11"/>
      <c r="P73" s="6">
        <v>5869.3</v>
      </c>
      <c r="Q73" s="2"/>
      <c r="R73" s="7">
        <f t="shared" si="26"/>
        <v>1.782349417977264E-3</v>
      </c>
      <c r="S73" s="2"/>
      <c r="T73" s="6">
        <v>7024.46</v>
      </c>
      <c r="U73" s="2"/>
      <c r="V73" s="7">
        <f t="shared" si="27"/>
        <v>1.8326374741347358E-3</v>
      </c>
      <c r="W73" s="2"/>
      <c r="X73" s="6">
        <f t="shared" si="28"/>
        <v>-1155.1599999999999</v>
      </c>
      <c r="Y73" s="2"/>
      <c r="Z73" s="7">
        <f t="shared" si="29"/>
        <v>-0.16444822804884643</v>
      </c>
    </row>
    <row r="74" spans="1:26" s="25" customFormat="1" outlineLevel="1" collapsed="1" x14ac:dyDescent="0.25">
      <c r="A74" s="26"/>
      <c r="B74" s="13" t="str">
        <f>CONCATENATE("     ","*Payroll                                          ")</f>
        <v xml:space="preserve">     *Payroll                                          </v>
      </c>
      <c r="C74" s="13"/>
      <c r="D74" s="1">
        <f>SUM(OSRRefD22_1x_0)</f>
        <v>27174.410000000003</v>
      </c>
      <c r="E74" s="1"/>
      <c r="F74" s="5">
        <f t="shared" ref="F74:F79" si="30">IF(D$12=0,0,D74/D$12)</f>
        <v>5.7711311875090283</v>
      </c>
      <c r="G74" s="1"/>
      <c r="H74" s="1">
        <f>SUM(OSRRefH22_1x_0)</f>
        <v>25118.839999999997</v>
      </c>
      <c r="I74" s="1"/>
      <c r="J74" s="5">
        <f t="shared" ref="J74:J79" si="31">IF(H$12=0,0,H74/H$12)</f>
        <v>1.0162239226598462</v>
      </c>
      <c r="K74" s="1"/>
      <c r="L74" s="1">
        <f t="shared" ref="L74:L79" si="32">+D74-H74</f>
        <v>2055.570000000007</v>
      </c>
      <c r="M74" s="1"/>
      <c r="N74" s="5">
        <f t="shared" ref="N74:N79" si="33">IF(H74=0,0,L74/H74)</f>
        <v>8.1833794872693461E-2</v>
      </c>
      <c r="O74" s="13"/>
      <c r="P74" s="1">
        <f>SUM(OSRRefP22_1x_0)</f>
        <v>283988.5</v>
      </c>
      <c r="Q74" s="1"/>
      <c r="R74" s="5">
        <f t="shared" ref="R74:R79" si="34">IF(P$12=0,0,P74/P$12)</f>
        <v>8.6239711326263138E-2</v>
      </c>
      <c r="S74" s="1"/>
      <c r="T74" s="1">
        <f>SUM(OSRRefT22_1x_0)</f>
        <v>288849.74</v>
      </c>
      <c r="U74" s="1"/>
      <c r="V74" s="5">
        <f t="shared" ref="V74:V79" si="35">IF(T$12=0,0,T74/T$12)</f>
        <v>7.535908210995225E-2</v>
      </c>
      <c r="W74" s="1"/>
      <c r="X74" s="1">
        <f t="shared" ref="X74:X79" si="36">+P74-T74</f>
        <v>-4861.2399999999907</v>
      </c>
      <c r="Y74" s="1"/>
      <c r="Z74" s="5">
        <f t="shared" ref="Z74:Z79" si="37">IF(T74=0,0,X74/T74)</f>
        <v>-1.6829649907249323E-2</v>
      </c>
    </row>
    <row r="75" spans="1:26" s="24" customFormat="1" hidden="1" outlineLevel="2" x14ac:dyDescent="0.25">
      <c r="A75" s="27"/>
      <c r="B75" s="11" t="str">
        <f>CONCATENATE("          ", "6002", " - ", "STAFF SALARIES")</f>
        <v xml:space="preserve">          6002 - STAFF SALARIES</v>
      </c>
      <c r="C75" s="11"/>
      <c r="D75" s="6">
        <v>14885.710000000001</v>
      </c>
      <c r="E75" s="2"/>
      <c r="F75" s="7">
        <f t="shared" si="30"/>
        <v>3.1613339619596164</v>
      </c>
      <c r="G75" s="2"/>
      <c r="H75" s="6">
        <v>13422.92</v>
      </c>
      <c r="I75" s="2"/>
      <c r="J75" s="7">
        <f t="shared" si="31"/>
        <v>0.54304627187996357</v>
      </c>
      <c r="K75" s="2"/>
      <c r="L75" s="6">
        <f t="shared" si="32"/>
        <v>1462.7900000000009</v>
      </c>
      <c r="M75" s="2"/>
      <c r="N75" s="7">
        <f t="shared" si="33"/>
        <v>0.10897703331316888</v>
      </c>
      <c r="O75" s="11"/>
      <c r="P75" s="6">
        <v>157422.13</v>
      </c>
      <c r="Q75" s="2"/>
      <c r="R75" s="7">
        <f t="shared" si="34"/>
        <v>4.7804890154233247E-2</v>
      </c>
      <c r="S75" s="2"/>
      <c r="T75" s="6">
        <v>137657.1</v>
      </c>
      <c r="U75" s="2"/>
      <c r="V75" s="7">
        <f t="shared" si="35"/>
        <v>3.5913872388868721E-2</v>
      </c>
      <c r="W75" s="2"/>
      <c r="X75" s="6">
        <f t="shared" si="36"/>
        <v>19765.03</v>
      </c>
      <c r="Y75" s="2"/>
      <c r="Z75" s="7">
        <f t="shared" si="37"/>
        <v>0.14358162419519224</v>
      </c>
    </row>
    <row r="76" spans="1:26" s="24" customFormat="1" hidden="1" outlineLevel="2" x14ac:dyDescent="0.25">
      <c r="A76" s="27"/>
      <c r="B76" s="11" t="str">
        <f>CONCATENATE("          ", "6004", " - ", "STAFF HOURLY")</f>
        <v xml:space="preserve">          6004 - STAFF HOURLY</v>
      </c>
      <c r="C76" s="11"/>
      <c r="D76" s="6">
        <v>8370.3799999999992</v>
      </c>
      <c r="E76" s="2"/>
      <c r="F76" s="7">
        <f t="shared" si="30"/>
        <v>1.7776489377065339</v>
      </c>
      <c r="G76" s="2"/>
      <c r="H76" s="6">
        <v>5731.18</v>
      </c>
      <c r="I76" s="2"/>
      <c r="J76" s="7">
        <f t="shared" si="31"/>
        <v>0.23186429871242692</v>
      </c>
      <c r="K76" s="2"/>
      <c r="L76" s="6">
        <f t="shared" si="32"/>
        <v>2639.1999999999989</v>
      </c>
      <c r="M76" s="2"/>
      <c r="N76" s="7">
        <f t="shared" si="33"/>
        <v>0.46049853607808494</v>
      </c>
      <c r="O76" s="11"/>
      <c r="P76" s="6">
        <v>40231.160000000003</v>
      </c>
      <c r="Q76" s="2"/>
      <c r="R76" s="7">
        <f t="shared" si="34"/>
        <v>1.2217127189025982E-2</v>
      </c>
      <c r="S76" s="2"/>
      <c r="T76" s="6">
        <v>59561.880000000005</v>
      </c>
      <c r="U76" s="2"/>
      <c r="V76" s="7">
        <f t="shared" si="35"/>
        <v>1.5539320220759496E-2</v>
      </c>
      <c r="W76" s="2"/>
      <c r="X76" s="6">
        <f t="shared" si="36"/>
        <v>-19330.72</v>
      </c>
      <c r="Y76" s="2"/>
      <c r="Z76" s="7">
        <f t="shared" si="37"/>
        <v>-0.32454851995941025</v>
      </c>
    </row>
    <row r="77" spans="1:26" s="24" customFormat="1" hidden="1" outlineLevel="2" x14ac:dyDescent="0.25">
      <c r="A77" s="27"/>
      <c r="B77" s="11" t="str">
        <f>CONCATENATE("          ", "6005", " - ", "TEMPORARY WAGES-HOURLY")</f>
        <v xml:space="preserve">          6005 - TEMPORARY WAGES-HOURLY</v>
      </c>
      <c r="C77" s="11"/>
      <c r="D77" s="6">
        <v>1821.22</v>
      </c>
      <c r="E77" s="2"/>
      <c r="F77" s="7">
        <f t="shared" si="30"/>
        <v>0.38677930970038327</v>
      </c>
      <c r="G77" s="2"/>
      <c r="H77" s="6">
        <v>2302.71</v>
      </c>
      <c r="I77" s="2"/>
      <c r="J77" s="7">
        <f t="shared" si="31"/>
        <v>9.3159914587936959E-2</v>
      </c>
      <c r="K77" s="2"/>
      <c r="L77" s="6">
        <f t="shared" si="32"/>
        <v>-481.49</v>
      </c>
      <c r="M77" s="2"/>
      <c r="N77" s="7">
        <f t="shared" si="33"/>
        <v>-0.20909710732137352</v>
      </c>
      <c r="O77" s="11"/>
      <c r="P77" s="6">
        <v>24213.510000000002</v>
      </c>
      <c r="Q77" s="2"/>
      <c r="R77" s="7">
        <f t="shared" si="34"/>
        <v>7.3529953240908906E-3</v>
      </c>
      <c r="S77" s="2"/>
      <c r="T77" s="6">
        <v>36055.17</v>
      </c>
      <c r="U77" s="2"/>
      <c r="V77" s="7">
        <f t="shared" si="35"/>
        <v>9.406567291763139E-3</v>
      </c>
      <c r="W77" s="2"/>
      <c r="X77" s="6">
        <f t="shared" si="36"/>
        <v>-11841.659999999996</v>
      </c>
      <c r="Y77" s="2"/>
      <c r="Z77" s="7">
        <f t="shared" si="37"/>
        <v>-0.32843167845277105</v>
      </c>
    </row>
    <row r="78" spans="1:26" s="24" customFormat="1" hidden="1" outlineLevel="2" x14ac:dyDescent="0.25">
      <c r="A78" s="27"/>
      <c r="B78" s="11" t="str">
        <f>CONCATENATE("          ", "6006", " - ", "TEMPORARY PART TIME")</f>
        <v xml:space="preserve">          6006 - TEMPORARY PART TIME</v>
      </c>
      <c r="C78" s="11"/>
      <c r="D78" s="6">
        <v>1818.04</v>
      </c>
      <c r="E78" s="2"/>
      <c r="F78" s="7">
        <f t="shared" si="30"/>
        <v>0.38610396119506962</v>
      </c>
      <c r="G78" s="2"/>
      <c r="H78" s="6"/>
      <c r="I78" s="2"/>
      <c r="J78" s="7">
        <f t="shared" si="31"/>
        <v>0</v>
      </c>
      <c r="K78" s="2"/>
      <c r="L78" s="6">
        <f t="shared" si="32"/>
        <v>1818.04</v>
      </c>
      <c r="M78" s="2"/>
      <c r="N78" s="7">
        <f t="shared" si="33"/>
        <v>0</v>
      </c>
      <c r="O78" s="11"/>
      <c r="P78" s="6">
        <v>4127.25</v>
      </c>
      <c r="Q78" s="2"/>
      <c r="R78" s="7">
        <f t="shared" si="34"/>
        <v>1.2533354293266085E-3</v>
      </c>
      <c r="S78" s="2"/>
      <c r="T78" s="6">
        <v>3834.31</v>
      </c>
      <c r="U78" s="2"/>
      <c r="V78" s="7">
        <f t="shared" si="35"/>
        <v>1.0003473852010772E-3</v>
      </c>
      <c r="W78" s="2"/>
      <c r="X78" s="6">
        <f t="shared" si="36"/>
        <v>292.94000000000005</v>
      </c>
      <c r="Y78" s="2"/>
      <c r="Z78" s="7">
        <f t="shared" si="37"/>
        <v>7.6399665128797631E-2</v>
      </c>
    </row>
    <row r="79" spans="1:26" s="24" customFormat="1" hidden="1" outlineLevel="2" x14ac:dyDescent="0.25">
      <c r="A79" s="27"/>
      <c r="B79" s="11" t="str">
        <f>CONCATENATE("          ", "6007", " - ", "STUDENT HOURLY")</f>
        <v xml:space="preserve">          6007 - STUDENT HOURLY</v>
      </c>
      <c r="C79" s="11"/>
      <c r="D79" s="6">
        <v>279.06</v>
      </c>
      <c r="E79" s="2"/>
      <c r="F79" s="7">
        <f t="shared" si="30"/>
        <v>5.9265016947424774E-2</v>
      </c>
      <c r="G79" s="2"/>
      <c r="H79" s="6">
        <v>3662.03</v>
      </c>
      <c r="I79" s="2"/>
      <c r="J79" s="7">
        <f t="shared" si="31"/>
        <v>0.14815343747951884</v>
      </c>
      <c r="K79" s="2"/>
      <c r="L79" s="6">
        <f t="shared" si="32"/>
        <v>-3382.9700000000003</v>
      </c>
      <c r="M79" s="2"/>
      <c r="N79" s="7">
        <f t="shared" si="33"/>
        <v>-0.92379636431159773</v>
      </c>
      <c r="O79" s="11"/>
      <c r="P79" s="6">
        <v>57994.45</v>
      </c>
      <c r="Q79" s="2"/>
      <c r="R79" s="7">
        <f t="shared" si="34"/>
        <v>1.7611363229586414E-2</v>
      </c>
      <c r="S79" s="2"/>
      <c r="T79" s="6">
        <v>51741.279999999999</v>
      </c>
      <c r="U79" s="2"/>
      <c r="V79" s="7">
        <f t="shared" si="35"/>
        <v>1.349897482335982E-2</v>
      </c>
      <c r="W79" s="2"/>
      <c r="X79" s="6">
        <f t="shared" si="36"/>
        <v>6253.1699999999983</v>
      </c>
      <c r="Y79" s="2"/>
      <c r="Z79" s="7">
        <f t="shared" si="37"/>
        <v>0.12085456718504062</v>
      </c>
    </row>
    <row r="80" spans="1:26" s="25" customFormat="1" outlineLevel="1" collapsed="1" x14ac:dyDescent="0.25">
      <c r="A80" s="26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0</v>
      </c>
      <c r="E80" s="1"/>
      <c r="F80" s="5">
        <f t="shared" ref="F80:F84" si="38">IF(D$12=0,0,D80/D$12)</f>
        <v>0</v>
      </c>
      <c r="G80" s="1"/>
      <c r="H80" s="1">
        <f>SUM(OSRRefH22_2x_0)</f>
        <v>1140.9000000000001</v>
      </c>
      <c r="I80" s="1"/>
      <c r="J80" s="5">
        <f t="shared" ref="J80:J84" si="39">IF(H$12=0,0,H80/H$12)</f>
        <v>4.6156983099642286E-2</v>
      </c>
      <c r="K80" s="1"/>
      <c r="L80" s="1">
        <f t="shared" ref="L80:L84" si="40">+D80-H80</f>
        <v>-1140.9000000000001</v>
      </c>
      <c r="M80" s="1"/>
      <c r="N80" s="5">
        <f t="shared" ref="N80:N84" si="41">IF(H80=0,0,L80/H80)</f>
        <v>-1</v>
      </c>
      <c r="O80" s="13"/>
      <c r="P80" s="1">
        <f>SUM(OSRRefP22_2x_0)</f>
        <v>3981.59</v>
      </c>
      <c r="Q80" s="1"/>
      <c r="R80" s="5">
        <f t="shared" ref="R80:R84" si="42">IF(P$12=0,0,P80/P$12)</f>
        <v>1.2091023834399494E-3</v>
      </c>
      <c r="S80" s="1"/>
      <c r="T80" s="1">
        <f>SUM(OSRRefT22_2x_0)</f>
        <v>5829.54</v>
      </c>
      <c r="U80" s="1"/>
      <c r="V80" s="5">
        <f t="shared" ref="V80:V84" si="43">IF(T$12=0,0,T80/T$12)</f>
        <v>1.5208903546987823E-3</v>
      </c>
      <c r="W80" s="1"/>
      <c r="X80" s="1">
        <f t="shared" ref="X80:X84" si="44">+P80-T80</f>
        <v>-1847.9499999999998</v>
      </c>
      <c r="Y80" s="1"/>
      <c r="Z80" s="5">
        <f t="shared" ref="Z80:Z84" si="45">IF(T80=0,0,X80/T80)</f>
        <v>-0.31699756756107683</v>
      </c>
    </row>
    <row r="81" spans="1:26" s="24" customFormat="1" hidden="1" outlineLevel="2" x14ac:dyDescent="0.25">
      <c r="A81" s="27"/>
      <c r="B81" s="11" t="str">
        <f>CONCATENATE("          ", "6362", " - ", "ADVERTISING EXPENSE")</f>
        <v xml:space="preserve">          6362 - ADVERTISING EXPENSE</v>
      </c>
      <c r="C81" s="11"/>
      <c r="D81" s="6"/>
      <c r="E81" s="2"/>
      <c r="F81" s="7">
        <f t="shared" si="38"/>
        <v>0</v>
      </c>
      <c r="G81" s="2"/>
      <c r="H81" s="6">
        <v>1140.9000000000001</v>
      </c>
      <c r="I81" s="2"/>
      <c r="J81" s="7">
        <f t="shared" si="39"/>
        <v>4.6156983099642286E-2</v>
      </c>
      <c r="K81" s="2"/>
      <c r="L81" s="6">
        <f t="shared" si="40"/>
        <v>-1140.9000000000001</v>
      </c>
      <c r="M81" s="2"/>
      <c r="N81" s="7">
        <f t="shared" si="41"/>
        <v>-1</v>
      </c>
      <c r="O81" s="11"/>
      <c r="P81" s="6">
        <v>3981.59</v>
      </c>
      <c r="Q81" s="2"/>
      <c r="R81" s="7">
        <f t="shared" si="42"/>
        <v>1.2091023834399494E-3</v>
      </c>
      <c r="S81" s="2"/>
      <c r="T81" s="6">
        <v>5829.54</v>
      </c>
      <c r="U81" s="2"/>
      <c r="V81" s="7">
        <f t="shared" si="43"/>
        <v>1.5208903546987823E-3</v>
      </c>
      <c r="W81" s="2"/>
      <c r="X81" s="6">
        <f t="shared" si="44"/>
        <v>-1847.9499999999998</v>
      </c>
      <c r="Y81" s="2"/>
      <c r="Z81" s="7">
        <f t="shared" si="45"/>
        <v>-0.31699756756107683</v>
      </c>
    </row>
    <row r="82" spans="1:26" s="25" customFormat="1" outlineLevel="1" collapsed="1" x14ac:dyDescent="0.25">
      <c r="A82" s="26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SUM(OSRRefD22_3x_0)</f>
        <v>271.08</v>
      </c>
      <c r="E82" s="1"/>
      <c r="F82" s="5">
        <f t="shared" si="38"/>
        <v>5.7570274471826513E-2</v>
      </c>
      <c r="G82" s="1"/>
      <c r="H82" s="1">
        <f>SUM(OSRRefH22_3x_0)</f>
        <v>4169.46</v>
      </c>
      <c r="I82" s="1"/>
      <c r="J82" s="5">
        <f t="shared" si="39"/>
        <v>0.1686823514371413</v>
      </c>
      <c r="K82" s="1"/>
      <c r="L82" s="1">
        <f t="shared" si="40"/>
        <v>-3898.38</v>
      </c>
      <c r="M82" s="1"/>
      <c r="N82" s="5">
        <f t="shared" si="41"/>
        <v>-0.9349843864673123</v>
      </c>
      <c r="O82" s="13"/>
      <c r="P82" s="1">
        <f>SUM(OSRRefP22_3x_0)</f>
        <v>21.100000000000023</v>
      </c>
      <c r="Q82" s="1"/>
      <c r="R82" s="5">
        <f t="shared" si="42"/>
        <v>6.4075056172491289E-6</v>
      </c>
      <c r="S82" s="1"/>
      <c r="T82" s="1">
        <f>SUM(OSRRefT22_3x_0)</f>
        <v>29495.370000000003</v>
      </c>
      <c r="U82" s="1"/>
      <c r="V82" s="5">
        <f t="shared" si="43"/>
        <v>7.6951566918267694E-3</v>
      </c>
      <c r="W82" s="1"/>
      <c r="X82" s="1">
        <f t="shared" si="44"/>
        <v>-29474.270000000004</v>
      </c>
      <c r="Y82" s="1"/>
      <c r="Z82" s="5">
        <f t="shared" si="45"/>
        <v>-0.99928463348654384</v>
      </c>
    </row>
    <row r="83" spans="1:26" s="24" customFormat="1" hidden="1" outlineLevel="2" x14ac:dyDescent="0.25">
      <c r="A83" s="27"/>
      <c r="B83" s="11" t="str">
        <f>CONCATENATE("          ", "6382", " - ", "DISCOUNTS/MARK DOWNS")</f>
        <v xml:space="preserve">          6382 - DISCOUNTS/MARK DOWNS</v>
      </c>
      <c r="C83" s="11"/>
      <c r="D83" s="6">
        <v>271.08</v>
      </c>
      <c r="E83" s="2"/>
      <c r="F83" s="7">
        <f t="shared" si="38"/>
        <v>5.7570274471826513E-2</v>
      </c>
      <c r="G83" s="2"/>
      <c r="H83" s="6">
        <v>4172.62</v>
      </c>
      <c r="I83" s="2"/>
      <c r="J83" s="7">
        <f t="shared" si="39"/>
        <v>0.16881019442653114</v>
      </c>
      <c r="K83" s="2"/>
      <c r="L83" s="6">
        <f t="shared" si="40"/>
        <v>-3901.54</v>
      </c>
      <c r="M83" s="2"/>
      <c r="N83" s="7">
        <f t="shared" si="41"/>
        <v>-0.93503362395808864</v>
      </c>
      <c r="O83" s="11"/>
      <c r="P83" s="6">
        <v>473.37</v>
      </c>
      <c r="Q83" s="2"/>
      <c r="R83" s="7">
        <f t="shared" si="42"/>
        <v>1.4374980730034204E-4</v>
      </c>
      <c r="S83" s="2"/>
      <c r="T83" s="6">
        <v>29709.79</v>
      </c>
      <c r="U83" s="2"/>
      <c r="V83" s="7">
        <f t="shared" si="43"/>
        <v>7.7510975224676969E-3</v>
      </c>
      <c r="W83" s="2"/>
      <c r="X83" s="6">
        <f t="shared" si="44"/>
        <v>-29236.420000000002</v>
      </c>
      <c r="Y83" s="2"/>
      <c r="Z83" s="7">
        <f t="shared" si="45"/>
        <v>-0.98406686819395228</v>
      </c>
    </row>
    <row r="84" spans="1:26" s="24" customFormat="1" hidden="1" outlineLevel="2" x14ac:dyDescent="0.25">
      <c r="A84" s="27"/>
      <c r="B84" s="11" t="str">
        <f>CONCATENATE("          ", "9175", " - ", "EARNED DISCOUNTS")</f>
        <v xml:space="preserve">          9175 - EARNED DISCOUNTS</v>
      </c>
      <c r="C84" s="11"/>
      <c r="D84" s="6"/>
      <c r="E84" s="2"/>
      <c r="F84" s="7">
        <f t="shared" si="38"/>
        <v>0</v>
      </c>
      <c r="G84" s="2"/>
      <c r="H84" s="6">
        <v>-3.16</v>
      </c>
      <c r="I84" s="2"/>
      <c r="J84" s="7">
        <f t="shared" si="39"/>
        <v>-1.2784298938984102E-4</v>
      </c>
      <c r="K84" s="2"/>
      <c r="L84" s="6">
        <f t="shared" si="40"/>
        <v>3.16</v>
      </c>
      <c r="M84" s="2"/>
      <c r="N84" s="7">
        <f t="shared" si="41"/>
        <v>-1</v>
      </c>
      <c r="O84" s="11"/>
      <c r="P84" s="6">
        <v>-452.27</v>
      </c>
      <c r="Q84" s="2"/>
      <c r="R84" s="7">
        <f t="shared" si="42"/>
        <v>-1.3734230168309291E-4</v>
      </c>
      <c r="S84" s="2"/>
      <c r="T84" s="6">
        <v>-214.42</v>
      </c>
      <c r="U84" s="2"/>
      <c r="V84" s="7">
        <f t="shared" si="43"/>
        <v>-5.5940830640927565E-5</v>
      </c>
      <c r="W84" s="2"/>
      <c r="X84" s="6">
        <f t="shared" si="44"/>
        <v>-237.85</v>
      </c>
      <c r="Y84" s="2"/>
      <c r="Z84" s="7">
        <f t="shared" si="45"/>
        <v>1.1092715231788079</v>
      </c>
    </row>
    <row r="85" spans="1:26" s="25" customFormat="1" outlineLevel="1" collapsed="1" x14ac:dyDescent="0.25">
      <c r="A85" s="26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SUM(OSRRefD22_4x_0)</f>
        <v>0</v>
      </c>
      <c r="E85" s="1"/>
      <c r="F85" s="5">
        <f t="shared" ref="F85:F91" si="46">IF(D$12=0,0,D85/D$12)</f>
        <v>0</v>
      </c>
      <c r="G85" s="1"/>
      <c r="H85" s="1">
        <f>SUM(OSRRefH22_4x_0)</f>
        <v>0</v>
      </c>
      <c r="I85" s="1"/>
      <c r="J85" s="5">
        <f t="shared" ref="J85:J91" si="47">IF(H$12=0,0,H85/H$12)</f>
        <v>0</v>
      </c>
      <c r="K85" s="1"/>
      <c r="L85" s="1">
        <f t="shared" ref="L85:L91" si="48">+D85-H85</f>
        <v>0</v>
      </c>
      <c r="M85" s="1"/>
      <c r="N85" s="5">
        <f t="shared" ref="N85:N91" si="49">IF(H85=0,0,L85/H85)</f>
        <v>0</v>
      </c>
      <c r="O85" s="13"/>
      <c r="P85" s="1">
        <f>SUM(OSRRefP22_4x_0)</f>
        <v>120.18</v>
      </c>
      <c r="Q85" s="1"/>
      <c r="R85" s="5">
        <f t="shared" ref="R85:R91" si="50">IF(P$12=0,0,P85/P$12)</f>
        <v>3.6495451425639791E-5</v>
      </c>
      <c r="S85" s="1"/>
      <c r="T85" s="1">
        <f>SUM(OSRRefT22_4x_0)</f>
        <v>499.97</v>
      </c>
      <c r="U85" s="1"/>
      <c r="V85" s="5">
        <f t="shared" ref="V85:V91" si="51">IF(T$12=0,0,T85/T$12)</f>
        <v>1.3043903131958101E-4</v>
      </c>
      <c r="W85" s="1"/>
      <c r="X85" s="1">
        <f t="shared" ref="X85:X91" si="52">+P85-T85</f>
        <v>-379.79</v>
      </c>
      <c r="Y85" s="1"/>
      <c r="Z85" s="5">
        <f t="shared" ref="Z85:Z91" si="53">IF(T85=0,0,X85/T85)</f>
        <v>-0.7596255775346521</v>
      </c>
    </row>
    <row r="86" spans="1:26" s="24" customFormat="1" hidden="1" outlineLevel="2" x14ac:dyDescent="0.25">
      <c r="A86" s="27"/>
      <c r="B86" s="11" t="str">
        <f>CONCATENATE("          ", "6277", " - ", "EMPLOYEE APPRECIATION")</f>
        <v xml:space="preserve">          6277 - EMPLOYEE APPRECIATION</v>
      </c>
      <c r="C86" s="11"/>
      <c r="D86" s="6"/>
      <c r="E86" s="2"/>
      <c r="F86" s="7">
        <f t="shared" si="46"/>
        <v>0</v>
      </c>
      <c r="G86" s="2"/>
      <c r="H86" s="6"/>
      <c r="I86" s="2"/>
      <c r="J86" s="7">
        <f t="shared" si="47"/>
        <v>0</v>
      </c>
      <c r="K86" s="2"/>
      <c r="L86" s="6">
        <f t="shared" si="48"/>
        <v>0</v>
      </c>
      <c r="M86" s="2"/>
      <c r="N86" s="7">
        <f t="shared" si="49"/>
        <v>0</v>
      </c>
      <c r="O86" s="11"/>
      <c r="P86" s="6">
        <v>120.18</v>
      </c>
      <c r="Q86" s="2"/>
      <c r="R86" s="7">
        <f t="shared" si="50"/>
        <v>3.6495451425639791E-5</v>
      </c>
      <c r="S86" s="2"/>
      <c r="T86" s="6">
        <v>499.97</v>
      </c>
      <c r="U86" s="2"/>
      <c r="V86" s="7">
        <f t="shared" si="51"/>
        <v>1.3043903131958101E-4</v>
      </c>
      <c r="W86" s="2"/>
      <c r="X86" s="6">
        <f t="shared" si="52"/>
        <v>-379.79</v>
      </c>
      <c r="Y86" s="2"/>
      <c r="Z86" s="7">
        <f t="shared" si="53"/>
        <v>-0.7596255775346521</v>
      </c>
    </row>
    <row r="87" spans="1:26" s="25" customFormat="1" outlineLevel="1" collapsed="1" x14ac:dyDescent="0.25">
      <c r="A87" s="26"/>
      <c r="B87" s="13" t="str">
        <f>CONCATENATE("     ","Equipment Rental                                  ")</f>
        <v xml:space="preserve">     Equipment Rental                                  </v>
      </c>
      <c r="C87" s="13"/>
      <c r="D87" s="1">
        <f>SUM(OSRRefD22_5x_0)</f>
        <v>91.26</v>
      </c>
      <c r="E87" s="1"/>
      <c r="F87" s="5">
        <f t="shared" si="46"/>
        <v>1.9381227860037216E-2</v>
      </c>
      <c r="G87" s="1"/>
      <c r="H87" s="1">
        <f>SUM(OSRRefH22_5x_0)</f>
        <v>91.26</v>
      </c>
      <c r="I87" s="1"/>
      <c r="J87" s="5">
        <f t="shared" si="47"/>
        <v>3.6920731682648393E-3</v>
      </c>
      <c r="K87" s="1"/>
      <c r="L87" s="1">
        <f t="shared" si="48"/>
        <v>0</v>
      </c>
      <c r="M87" s="1"/>
      <c r="N87" s="5">
        <f t="shared" si="49"/>
        <v>0</v>
      </c>
      <c r="O87" s="13"/>
      <c r="P87" s="1">
        <f>SUM(OSRRefP22_5x_0)</f>
        <v>912.6</v>
      </c>
      <c r="Q87" s="1"/>
      <c r="R87" s="5">
        <f t="shared" si="50"/>
        <v>2.7713220977732461E-4</v>
      </c>
      <c r="S87" s="1"/>
      <c r="T87" s="1">
        <f>SUM(OSRRefT22_5x_0)</f>
        <v>912.6</v>
      </c>
      <c r="U87" s="1"/>
      <c r="V87" s="5">
        <f t="shared" si="51"/>
        <v>2.3809160546082688E-4</v>
      </c>
      <c r="W87" s="1"/>
      <c r="X87" s="1">
        <f t="shared" si="52"/>
        <v>0</v>
      </c>
      <c r="Y87" s="1"/>
      <c r="Z87" s="5">
        <f t="shared" si="53"/>
        <v>0</v>
      </c>
    </row>
    <row r="88" spans="1:26" s="24" customFormat="1" hidden="1" outlineLevel="2" x14ac:dyDescent="0.25">
      <c r="A88" s="27"/>
      <c r="B88" s="11" t="str">
        <f>CONCATENATE("          ", "6351", " - ", "EQUIPMENT RENTAL")</f>
        <v xml:space="preserve">          6351 - EQUIPMENT RENTAL</v>
      </c>
      <c r="C88" s="11"/>
      <c r="D88" s="6">
        <v>91.26</v>
      </c>
      <c r="E88" s="2"/>
      <c r="F88" s="7">
        <f t="shared" si="46"/>
        <v>1.9381227860037216E-2</v>
      </c>
      <c r="G88" s="2"/>
      <c r="H88" s="6">
        <v>91.26</v>
      </c>
      <c r="I88" s="2"/>
      <c r="J88" s="7">
        <f t="shared" si="47"/>
        <v>3.6920731682648393E-3</v>
      </c>
      <c r="K88" s="2"/>
      <c r="L88" s="6">
        <f t="shared" si="48"/>
        <v>0</v>
      </c>
      <c r="M88" s="2"/>
      <c r="N88" s="7">
        <f t="shared" si="49"/>
        <v>0</v>
      </c>
      <c r="O88" s="11"/>
      <c r="P88" s="6">
        <v>912.6</v>
      </c>
      <c r="Q88" s="2"/>
      <c r="R88" s="7">
        <f t="shared" si="50"/>
        <v>2.7713220977732461E-4</v>
      </c>
      <c r="S88" s="2"/>
      <c r="T88" s="6">
        <v>912.6</v>
      </c>
      <c r="U88" s="2"/>
      <c r="V88" s="7">
        <f t="shared" si="51"/>
        <v>2.3809160546082688E-4</v>
      </c>
      <c r="W88" s="2"/>
      <c r="X88" s="6">
        <f t="shared" si="52"/>
        <v>0</v>
      </c>
      <c r="Y88" s="2"/>
      <c r="Z88" s="7">
        <f t="shared" si="53"/>
        <v>0</v>
      </c>
    </row>
    <row r="89" spans="1:26" s="25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7517.84</v>
      </c>
      <c r="E89" s="1"/>
      <c r="F89" s="5">
        <f t="shared" si="46"/>
        <v>1.5965918261593488</v>
      </c>
      <c r="G89" s="1"/>
      <c r="H89" s="1">
        <f>SUM(OSRRefH22_6x_0)</f>
        <v>5725.56</v>
      </c>
      <c r="I89" s="1"/>
      <c r="J89" s="5">
        <f t="shared" si="47"/>
        <v>0.23163693238319563</v>
      </c>
      <c r="K89" s="1"/>
      <c r="L89" s="1">
        <f t="shared" si="48"/>
        <v>1792.2799999999997</v>
      </c>
      <c r="M89" s="1"/>
      <c r="N89" s="5">
        <f t="shared" si="49"/>
        <v>0.31303138906936606</v>
      </c>
      <c r="O89" s="13"/>
      <c r="P89" s="1">
        <f>SUM(OSRRefP22_6x_0)</f>
        <v>22766.239999999998</v>
      </c>
      <c r="Q89" s="1"/>
      <c r="R89" s="5">
        <f t="shared" si="50"/>
        <v>6.9134981366654807E-3</v>
      </c>
      <c r="S89" s="1"/>
      <c r="T89" s="1">
        <f>SUM(OSRRefT22_6x_0)</f>
        <v>28405.9</v>
      </c>
      <c r="U89" s="1"/>
      <c r="V89" s="5">
        <f t="shared" si="51"/>
        <v>7.4109208147706577E-3</v>
      </c>
      <c r="W89" s="1"/>
      <c r="X89" s="1">
        <f t="shared" si="52"/>
        <v>-5639.6600000000035</v>
      </c>
      <c r="Y89" s="1"/>
      <c r="Z89" s="5">
        <f t="shared" si="53"/>
        <v>-0.19853833182543074</v>
      </c>
    </row>
    <row r="90" spans="1:26" s="24" customFormat="1" hidden="1" outlineLevel="2" x14ac:dyDescent="0.25">
      <c r="A90" s="27"/>
      <c r="B90" s="11" t="str">
        <f>CONCATENATE("          ", "6305", " - ", "FREIGHT OUT")</f>
        <v xml:space="preserve">          6305 - FREIGHT OUT</v>
      </c>
      <c r="C90" s="11"/>
      <c r="D90" s="6">
        <v>7517.84</v>
      </c>
      <c r="E90" s="2"/>
      <c r="F90" s="7">
        <f t="shared" si="46"/>
        <v>1.5965918261593488</v>
      </c>
      <c r="G90" s="2"/>
      <c r="H90" s="6">
        <v>5725.56</v>
      </c>
      <c r="I90" s="2"/>
      <c r="J90" s="7">
        <f t="shared" si="47"/>
        <v>0.23163693238319563</v>
      </c>
      <c r="K90" s="2"/>
      <c r="L90" s="6">
        <f t="shared" si="48"/>
        <v>1792.2799999999997</v>
      </c>
      <c r="M90" s="2"/>
      <c r="N90" s="7">
        <f t="shared" si="49"/>
        <v>0.31303138906936606</v>
      </c>
      <c r="O90" s="11"/>
      <c r="P90" s="6">
        <v>22764.289999999997</v>
      </c>
      <c r="Q90" s="2"/>
      <c r="R90" s="7">
        <f t="shared" si="50"/>
        <v>6.9129059738240756E-3</v>
      </c>
      <c r="S90" s="2"/>
      <c r="T90" s="6">
        <v>28401.11</v>
      </c>
      <c r="U90" s="2"/>
      <c r="V90" s="7">
        <f t="shared" si="51"/>
        <v>7.4096711338697621E-3</v>
      </c>
      <c r="W90" s="2"/>
      <c r="X90" s="6">
        <f t="shared" si="52"/>
        <v>-5636.8200000000033</v>
      </c>
      <c r="Y90" s="2"/>
      <c r="Z90" s="7">
        <f t="shared" si="53"/>
        <v>-0.19847182029153096</v>
      </c>
    </row>
    <row r="91" spans="1:26" s="24" customFormat="1" hidden="1" outlineLevel="2" x14ac:dyDescent="0.25">
      <c r="A91" s="27"/>
      <c r="B91" s="11" t="str">
        <f>CONCATENATE("          ", "6307", " - ", "POSTAGE")</f>
        <v xml:space="preserve">          6307 - POSTAGE</v>
      </c>
      <c r="C91" s="11"/>
      <c r="D91" s="6"/>
      <c r="E91" s="2"/>
      <c r="F91" s="7">
        <f t="shared" si="46"/>
        <v>0</v>
      </c>
      <c r="G91" s="2"/>
      <c r="H91" s="6"/>
      <c r="I91" s="2"/>
      <c r="J91" s="7">
        <f t="shared" si="47"/>
        <v>0</v>
      </c>
      <c r="K91" s="2"/>
      <c r="L91" s="6">
        <f t="shared" si="48"/>
        <v>0</v>
      </c>
      <c r="M91" s="2"/>
      <c r="N91" s="7">
        <f t="shared" si="49"/>
        <v>0</v>
      </c>
      <c r="O91" s="11"/>
      <c r="P91" s="6">
        <v>1.95</v>
      </c>
      <c r="Q91" s="2"/>
      <c r="R91" s="7">
        <f t="shared" si="50"/>
        <v>5.9216284140453967E-7</v>
      </c>
      <c r="S91" s="2"/>
      <c r="T91" s="6">
        <v>4.79</v>
      </c>
      <c r="U91" s="2"/>
      <c r="V91" s="7">
        <f t="shared" si="51"/>
        <v>1.2496809008956395E-6</v>
      </c>
      <c r="W91" s="2"/>
      <c r="X91" s="6">
        <f t="shared" si="52"/>
        <v>-2.84</v>
      </c>
      <c r="Y91" s="2"/>
      <c r="Z91" s="7">
        <f t="shared" si="53"/>
        <v>-0.59290187891440493</v>
      </c>
    </row>
    <row r="92" spans="1:26" s="25" customFormat="1" outlineLevel="1" collapsed="1" x14ac:dyDescent="0.25">
      <c r="A92" s="26"/>
      <c r="B92" s="13" t="str">
        <f>CONCATENATE("     ","General                                           ")</f>
        <v xml:space="preserve">     General                                           </v>
      </c>
      <c r="C92" s="13"/>
      <c r="D92" s="1">
        <f>SUM(OSRRefD22_7x_0)</f>
        <v>-660.03</v>
      </c>
      <c r="E92" s="1"/>
      <c r="F92" s="5">
        <f t="shared" ref="F92:F99" si="54">IF(D$12=0,0,D92/D$12)</f>
        <v>-0.14017304212645587</v>
      </c>
      <c r="G92" s="1"/>
      <c r="H92" s="1">
        <f>SUM(OSRRefH22_7x_0)</f>
        <v>10872.69</v>
      </c>
      <c r="I92" s="1"/>
      <c r="J92" s="5">
        <f t="shared" ref="J92:J99" si="55">IF(H$12=0,0,H92/H$12)</f>
        <v>0.43987252921171854</v>
      </c>
      <c r="K92" s="1"/>
      <c r="L92" s="1">
        <f t="shared" ref="L92:L99" si="56">+D92-H92</f>
        <v>-11532.720000000001</v>
      </c>
      <c r="M92" s="1"/>
      <c r="N92" s="5">
        <f t="shared" ref="N92:N99" si="57">IF(H92=0,0,L92/H92)</f>
        <v>-1.0607053084379303</v>
      </c>
      <c r="O92" s="13"/>
      <c r="P92" s="1">
        <f>SUM(OSRRefP22_7x_0)</f>
        <v>7593.03</v>
      </c>
      <c r="Q92" s="1"/>
      <c r="R92" s="5">
        <f t="shared" ref="R92:R99" si="58">IF(P$12=0,0,P92/P$12)</f>
        <v>2.3058001126512371E-3</v>
      </c>
      <c r="S92" s="1"/>
      <c r="T92" s="1">
        <f>SUM(OSRRefT22_7x_0)</f>
        <v>21707.11</v>
      </c>
      <c r="U92" s="1"/>
      <c r="V92" s="5">
        <f t="shared" ref="V92:V99" si="59">IF(T$12=0,0,T92/T$12)</f>
        <v>5.6632485972110125E-3</v>
      </c>
      <c r="W92" s="1"/>
      <c r="X92" s="1">
        <f t="shared" ref="X92:X99" si="60">+P92-T92</f>
        <v>-14114.080000000002</v>
      </c>
      <c r="Y92" s="1"/>
      <c r="Z92" s="5">
        <f t="shared" ref="Z92:Z99" si="61">IF(T92=0,0,X92/T92)</f>
        <v>-0.65020539353234963</v>
      </c>
    </row>
    <row r="93" spans="1:26" s="24" customFormat="1" hidden="1" outlineLevel="2" x14ac:dyDescent="0.25">
      <c r="A93" s="27"/>
      <c r="B93" s="11" t="str">
        <f>CONCATENATE("          ", "6279", " - ", "GENERAL EXPENSE")</f>
        <v xml:space="preserve">          6279 - GENERAL EXPENSE</v>
      </c>
      <c r="C93" s="11"/>
      <c r="D93" s="6">
        <v>-660.03</v>
      </c>
      <c r="E93" s="2"/>
      <c r="F93" s="7">
        <f t="shared" si="54"/>
        <v>-0.14017304212645587</v>
      </c>
      <c r="G93" s="2"/>
      <c r="H93" s="6">
        <v>10872.69</v>
      </c>
      <c r="I93" s="2"/>
      <c r="J93" s="7">
        <f t="shared" si="55"/>
        <v>0.43987252921171854</v>
      </c>
      <c r="K93" s="2"/>
      <c r="L93" s="6">
        <f t="shared" si="56"/>
        <v>-11532.720000000001</v>
      </c>
      <c r="M93" s="2"/>
      <c r="N93" s="7">
        <f t="shared" si="57"/>
        <v>-1.0607053084379303</v>
      </c>
      <c r="O93" s="11"/>
      <c r="P93" s="6">
        <v>7593.03</v>
      </c>
      <c r="Q93" s="2"/>
      <c r="R93" s="7">
        <f t="shared" si="58"/>
        <v>2.3058001126512371E-3</v>
      </c>
      <c r="S93" s="2"/>
      <c r="T93" s="6">
        <v>21707.11</v>
      </c>
      <c r="U93" s="2"/>
      <c r="V93" s="7">
        <f t="shared" si="59"/>
        <v>5.6632485972110125E-3</v>
      </c>
      <c r="W93" s="2"/>
      <c r="X93" s="6">
        <f t="shared" si="60"/>
        <v>-14114.080000000002</v>
      </c>
      <c r="Y93" s="2"/>
      <c r="Z93" s="7">
        <f t="shared" si="61"/>
        <v>-0.65020539353234963</v>
      </c>
    </row>
    <row r="94" spans="1:26" s="25" customFormat="1" outlineLevel="1" collapsed="1" x14ac:dyDescent="0.25">
      <c r="A94" s="26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SUM(OSRRefD22_8x_0)</f>
        <v>1000</v>
      </c>
      <c r="E94" s="1"/>
      <c r="F94" s="5">
        <f t="shared" si="54"/>
        <v>0.21237374380930543</v>
      </c>
      <c r="G94" s="1"/>
      <c r="H94" s="1">
        <f>SUM(OSRRefH22_8x_0)</f>
        <v>6950</v>
      </c>
      <c r="I94" s="1"/>
      <c r="J94" s="5">
        <f t="shared" si="55"/>
        <v>0.2811736633732263</v>
      </c>
      <c r="K94" s="1"/>
      <c r="L94" s="1">
        <f t="shared" si="56"/>
        <v>-5950</v>
      </c>
      <c r="M94" s="1"/>
      <c r="N94" s="5">
        <f t="shared" si="57"/>
        <v>-0.85611510791366907</v>
      </c>
      <c r="O94" s="13"/>
      <c r="P94" s="1">
        <f>SUM(OSRRefP22_8x_0)</f>
        <v>15800</v>
      </c>
      <c r="Q94" s="1"/>
      <c r="R94" s="5">
        <f t="shared" si="58"/>
        <v>4.7980373816367836E-3</v>
      </c>
      <c r="S94" s="1"/>
      <c r="T94" s="1">
        <f>SUM(OSRRefT22_8x_0)</f>
        <v>69500</v>
      </c>
      <c r="U94" s="1"/>
      <c r="V94" s="5">
        <f t="shared" si="59"/>
        <v>1.8132113280218572E-2</v>
      </c>
      <c r="W94" s="1"/>
      <c r="X94" s="1">
        <f t="shared" si="60"/>
        <v>-53700</v>
      </c>
      <c r="Y94" s="1"/>
      <c r="Z94" s="5">
        <f t="shared" si="61"/>
        <v>-0.77266187050359714</v>
      </c>
    </row>
    <row r="95" spans="1:26" s="24" customFormat="1" hidden="1" outlineLevel="2" x14ac:dyDescent="0.25">
      <c r="A95" s="27"/>
      <c r="B95" s="11" t="str">
        <f>CONCATENATE("          ", "6408", " - ", "INVENTORY ADJUSTMENT")</f>
        <v xml:space="preserve">          6408 - INVENTORY ADJUSTMENT</v>
      </c>
      <c r="C95" s="11"/>
      <c r="D95" s="6">
        <v>1000</v>
      </c>
      <c r="E95" s="2"/>
      <c r="F95" s="7">
        <f t="shared" si="54"/>
        <v>0.21237374380930543</v>
      </c>
      <c r="G95" s="2"/>
      <c r="H95" s="6">
        <v>6950</v>
      </c>
      <c r="I95" s="2"/>
      <c r="J95" s="7">
        <f t="shared" si="55"/>
        <v>0.2811736633732263</v>
      </c>
      <c r="K95" s="2"/>
      <c r="L95" s="6">
        <f t="shared" si="56"/>
        <v>-5950</v>
      </c>
      <c r="M95" s="2"/>
      <c r="N95" s="7">
        <f t="shared" si="57"/>
        <v>-0.85611510791366907</v>
      </c>
      <c r="O95" s="11"/>
      <c r="P95" s="6">
        <v>15800</v>
      </c>
      <c r="Q95" s="2"/>
      <c r="R95" s="7">
        <f t="shared" si="58"/>
        <v>4.7980373816367836E-3</v>
      </c>
      <c r="S95" s="2"/>
      <c r="T95" s="6">
        <v>69500</v>
      </c>
      <c r="U95" s="2"/>
      <c r="V95" s="7">
        <f t="shared" si="59"/>
        <v>1.8132113280218572E-2</v>
      </c>
      <c r="W95" s="2"/>
      <c r="X95" s="6">
        <f t="shared" si="60"/>
        <v>-53700</v>
      </c>
      <c r="Y95" s="2"/>
      <c r="Z95" s="7">
        <f t="shared" si="61"/>
        <v>-0.77266187050359714</v>
      </c>
    </row>
    <row r="96" spans="1:26" s="25" customFormat="1" outlineLevel="1" collapsed="1" x14ac:dyDescent="0.25">
      <c r="A96" s="26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SUM(OSRRefD22_9x_0)</f>
        <v>32.15</v>
      </c>
      <c r="E96" s="1"/>
      <c r="F96" s="5">
        <f t="shared" si="54"/>
        <v>6.8278158634691695E-3</v>
      </c>
      <c r="G96" s="1"/>
      <c r="H96" s="1">
        <f>SUM(OSRRefH22_9x_0)</f>
        <v>107.94</v>
      </c>
      <c r="I96" s="1"/>
      <c r="J96" s="5">
        <f t="shared" si="55"/>
        <v>4.3668899603605815E-3</v>
      </c>
      <c r="K96" s="1"/>
      <c r="L96" s="1">
        <f t="shared" si="56"/>
        <v>-75.789999999999992</v>
      </c>
      <c r="M96" s="1"/>
      <c r="N96" s="5">
        <f t="shared" si="57"/>
        <v>-0.70214934222716319</v>
      </c>
      <c r="O96" s="13"/>
      <c r="P96" s="1">
        <f>SUM(OSRRefP22_9x_0)</f>
        <v>242.45</v>
      </c>
      <c r="Q96" s="1"/>
      <c r="R96" s="5">
        <f t="shared" si="58"/>
        <v>7.3625579947964436E-5</v>
      </c>
      <c r="S96" s="1"/>
      <c r="T96" s="1">
        <f>SUM(OSRRefT22_9x_0)</f>
        <v>-4718.74</v>
      </c>
      <c r="U96" s="1"/>
      <c r="V96" s="5">
        <f t="shared" si="59"/>
        <v>-1.2310896146747997E-3</v>
      </c>
      <c r="W96" s="1"/>
      <c r="X96" s="1">
        <f t="shared" si="60"/>
        <v>4961.1899999999996</v>
      </c>
      <c r="Y96" s="1"/>
      <c r="Z96" s="5">
        <f t="shared" si="61"/>
        <v>-1.0513802413356108</v>
      </c>
    </row>
    <row r="97" spans="1:26" s="24" customFormat="1" hidden="1" outlineLevel="2" x14ac:dyDescent="0.25">
      <c r="A97" s="27"/>
      <c r="B97" s="11" t="str">
        <f>CONCATENATE("          ", "6371", " - ", "COMPUTER SOFTWARE MAINTENANCE")</f>
        <v xml:space="preserve">          6371 - COMPUTER SOFTWARE MAINTENANCE</v>
      </c>
      <c r="C97" s="11"/>
      <c r="D97" s="6"/>
      <c r="E97" s="2"/>
      <c r="F97" s="7">
        <f t="shared" si="54"/>
        <v>0</v>
      </c>
      <c r="G97" s="2"/>
      <c r="H97" s="6"/>
      <c r="I97" s="2"/>
      <c r="J97" s="7">
        <f t="shared" si="55"/>
        <v>0</v>
      </c>
      <c r="K97" s="2"/>
      <c r="L97" s="6">
        <f t="shared" si="56"/>
        <v>0</v>
      </c>
      <c r="M97" s="2"/>
      <c r="N97" s="7">
        <f t="shared" si="57"/>
        <v>0</v>
      </c>
      <c r="O97" s="11"/>
      <c r="P97" s="6"/>
      <c r="Q97" s="2"/>
      <c r="R97" s="7">
        <f t="shared" si="58"/>
        <v>0</v>
      </c>
      <c r="S97" s="2"/>
      <c r="T97" s="6">
        <v>-5550</v>
      </c>
      <c r="U97" s="2"/>
      <c r="V97" s="7">
        <f t="shared" si="59"/>
        <v>-1.4479601252548643E-3</v>
      </c>
      <c r="W97" s="2"/>
      <c r="X97" s="6">
        <f t="shared" si="60"/>
        <v>5550</v>
      </c>
      <c r="Y97" s="2"/>
      <c r="Z97" s="7">
        <f t="shared" si="61"/>
        <v>-1</v>
      </c>
    </row>
    <row r="98" spans="1:26" s="24" customFormat="1" hidden="1" outlineLevel="2" x14ac:dyDescent="0.25">
      <c r="A98" s="27"/>
      <c r="B98" s="11" t="str">
        <f>CONCATENATE("          ", "6373", " - ", "MAINTENANCE CONTRACTS")</f>
        <v xml:space="preserve">          6373 - MAINTENANCE CONTRACTS</v>
      </c>
      <c r="C98" s="11"/>
      <c r="D98" s="6">
        <v>32.15</v>
      </c>
      <c r="E98" s="2"/>
      <c r="F98" s="7">
        <f t="shared" si="54"/>
        <v>6.8278158634691695E-3</v>
      </c>
      <c r="G98" s="2"/>
      <c r="H98" s="6">
        <v>29.94</v>
      </c>
      <c r="I98" s="2"/>
      <c r="J98" s="7">
        <f t="shared" si="55"/>
        <v>1.2112718678265316E-3</v>
      </c>
      <c r="K98" s="2"/>
      <c r="L98" s="6">
        <f t="shared" si="56"/>
        <v>2.2099999999999973</v>
      </c>
      <c r="M98" s="2"/>
      <c r="N98" s="7">
        <f t="shared" si="57"/>
        <v>7.3814295257180931E-2</v>
      </c>
      <c r="O98" s="11"/>
      <c r="P98" s="6">
        <v>242.45</v>
      </c>
      <c r="Q98" s="2"/>
      <c r="R98" s="7">
        <f t="shared" si="58"/>
        <v>7.3625579947964436E-5</v>
      </c>
      <c r="S98" s="2"/>
      <c r="T98" s="6">
        <v>285.26</v>
      </c>
      <c r="U98" s="2"/>
      <c r="V98" s="7">
        <f t="shared" si="59"/>
        <v>7.4422541500937406E-5</v>
      </c>
      <c r="W98" s="2"/>
      <c r="X98" s="6">
        <f t="shared" si="60"/>
        <v>-42.81</v>
      </c>
      <c r="Y98" s="2"/>
      <c r="Z98" s="7">
        <f t="shared" si="61"/>
        <v>-0.15007361705111127</v>
      </c>
    </row>
    <row r="99" spans="1:26" s="24" customFormat="1" hidden="1" outlineLevel="2" x14ac:dyDescent="0.25">
      <c r="A99" s="27"/>
      <c r="B99" s="11" t="str">
        <f>CONCATENATE("          ", "6375", " - ", "OUTSIDE REPAIRS &amp; MAINTENANCE")</f>
        <v xml:space="preserve">          6375 - OUTSIDE REPAIRS &amp; MAINTENANCE</v>
      </c>
      <c r="C99" s="11"/>
      <c r="D99" s="6"/>
      <c r="E99" s="2"/>
      <c r="F99" s="7">
        <f t="shared" si="54"/>
        <v>0</v>
      </c>
      <c r="G99" s="2"/>
      <c r="H99" s="6">
        <v>78</v>
      </c>
      <c r="I99" s="2"/>
      <c r="J99" s="7">
        <f t="shared" si="55"/>
        <v>3.1556180925340505E-3</v>
      </c>
      <c r="K99" s="2"/>
      <c r="L99" s="6">
        <f t="shared" si="56"/>
        <v>-78</v>
      </c>
      <c r="M99" s="2"/>
      <c r="N99" s="7">
        <f t="shared" si="57"/>
        <v>-1</v>
      </c>
      <c r="O99" s="11"/>
      <c r="P99" s="6"/>
      <c r="Q99" s="2"/>
      <c r="R99" s="7">
        <f t="shared" si="58"/>
        <v>0</v>
      </c>
      <c r="S99" s="2"/>
      <c r="T99" s="6">
        <v>546</v>
      </c>
      <c r="U99" s="2"/>
      <c r="V99" s="7">
        <f t="shared" si="59"/>
        <v>1.4244796907912719E-4</v>
      </c>
      <c r="W99" s="2"/>
      <c r="X99" s="6">
        <f t="shared" si="60"/>
        <v>-546</v>
      </c>
      <c r="Y99" s="2"/>
      <c r="Z99" s="7">
        <f t="shared" si="61"/>
        <v>-1</v>
      </c>
    </row>
    <row r="100" spans="1:26" s="25" customFormat="1" outlineLevel="1" collapsed="1" x14ac:dyDescent="0.25">
      <c r="A100" s="26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2102.08</v>
      </c>
      <c r="E100" s="1"/>
      <c r="F100" s="5">
        <f t="shared" ref="F100:F102" si="62">IF(D$12=0,0,D100/D$12)</f>
        <v>0.44642659938666474</v>
      </c>
      <c r="G100" s="1"/>
      <c r="H100" s="1">
        <f>SUM(OSRRefH22_10x_0)</f>
        <v>419.38</v>
      </c>
      <c r="I100" s="1"/>
      <c r="J100" s="5">
        <f t="shared" ref="J100:J102" si="63">IF(H$12=0,0,H100/H$12)</f>
        <v>1.6966706610858077E-2</v>
      </c>
      <c r="K100" s="1"/>
      <c r="L100" s="1">
        <f t="shared" ref="L100:L102" si="64">+D100-H100</f>
        <v>1682.6999999999998</v>
      </c>
      <c r="M100" s="1"/>
      <c r="N100" s="5">
        <f t="shared" ref="N100:N102" si="65">IF(H100=0,0,L100/H100)</f>
        <v>4.0123515665983112</v>
      </c>
      <c r="O100" s="13"/>
      <c r="P100" s="1">
        <f>SUM(OSRRefP22_10x_0)</f>
        <v>5050.5599999999995</v>
      </c>
      <c r="Q100" s="1"/>
      <c r="R100" s="5">
        <f t="shared" ref="R100:R102" si="66">IF(P$12=0,0,P100/P$12)</f>
        <v>1.5337199796328779E-3</v>
      </c>
      <c r="S100" s="1"/>
      <c r="T100" s="1">
        <f>SUM(OSRRefT22_10x_0)</f>
        <v>6733.67</v>
      </c>
      <c r="U100" s="1"/>
      <c r="V100" s="5">
        <f t="shared" ref="V100:V102" si="67">IF(T$12=0,0,T100/T$12)</f>
        <v>1.756772190382869E-3</v>
      </c>
      <c r="W100" s="1"/>
      <c r="X100" s="1">
        <f t="shared" ref="X100:X102" si="68">+P100-T100</f>
        <v>-1683.1100000000006</v>
      </c>
      <c r="Y100" s="1"/>
      <c r="Z100" s="5">
        <f t="shared" ref="Z100:Z102" si="69">IF(T100=0,0,X100/T100)</f>
        <v>-0.24995433396647007</v>
      </c>
    </row>
    <row r="101" spans="1:26" s="24" customFormat="1" hidden="1" outlineLevel="2" x14ac:dyDescent="0.25">
      <c r="A101" s="27"/>
      <c r="B101" s="11" t="str">
        <f>CONCATENATE("          ", "6258", " - ", "MEMBERSHIP DUES")</f>
        <v xml:space="preserve">          6258 - MEMBERSHIP DUES</v>
      </c>
      <c r="C101" s="11"/>
      <c r="D101" s="6">
        <v>250</v>
      </c>
      <c r="E101" s="2"/>
      <c r="F101" s="7">
        <f t="shared" si="62"/>
        <v>5.3093435952326358E-2</v>
      </c>
      <c r="G101" s="2"/>
      <c r="H101" s="6">
        <v>419.38</v>
      </c>
      <c r="I101" s="2"/>
      <c r="J101" s="7">
        <f t="shared" si="63"/>
        <v>1.6966706610858077E-2</v>
      </c>
      <c r="K101" s="2"/>
      <c r="L101" s="6">
        <f t="shared" si="64"/>
        <v>-169.38</v>
      </c>
      <c r="M101" s="2"/>
      <c r="N101" s="7">
        <f t="shared" si="65"/>
        <v>-0.40388192093089798</v>
      </c>
      <c r="O101" s="11"/>
      <c r="P101" s="6">
        <v>3198.48</v>
      </c>
      <c r="Q101" s="2"/>
      <c r="R101" s="7">
        <f t="shared" si="66"/>
        <v>9.7129282306440625E-4</v>
      </c>
      <c r="S101" s="2"/>
      <c r="T101" s="6">
        <v>4935.53</v>
      </c>
      <c r="U101" s="2"/>
      <c r="V101" s="7">
        <f t="shared" si="67"/>
        <v>1.2876487634232686E-3</v>
      </c>
      <c r="W101" s="2"/>
      <c r="X101" s="6">
        <f t="shared" si="68"/>
        <v>-1737.0499999999997</v>
      </c>
      <c r="Y101" s="2"/>
      <c r="Z101" s="7">
        <f t="shared" si="69"/>
        <v>-0.35194801774074919</v>
      </c>
    </row>
    <row r="102" spans="1:26" s="24" customFormat="1" hidden="1" outlineLevel="2" x14ac:dyDescent="0.25">
      <c r="A102" s="27"/>
      <c r="B102" s="11" t="str">
        <f>CONCATENATE("          ", "6275", " - ", "SUBSCRIPTIONS")</f>
        <v xml:space="preserve">          6275 - SUBSCRIPTIONS</v>
      </c>
      <c r="C102" s="11"/>
      <c r="D102" s="6">
        <v>1852.08</v>
      </c>
      <c r="E102" s="2"/>
      <c r="F102" s="7">
        <f t="shared" si="62"/>
        <v>0.39333316343433838</v>
      </c>
      <c r="G102" s="2"/>
      <c r="H102" s="6"/>
      <c r="I102" s="2"/>
      <c r="J102" s="7">
        <f t="shared" si="63"/>
        <v>0</v>
      </c>
      <c r="K102" s="2"/>
      <c r="L102" s="6">
        <f t="shared" si="64"/>
        <v>1852.08</v>
      </c>
      <c r="M102" s="2"/>
      <c r="N102" s="7">
        <f t="shared" si="65"/>
        <v>0</v>
      </c>
      <c r="O102" s="11"/>
      <c r="P102" s="6">
        <v>1852.08</v>
      </c>
      <c r="Q102" s="2"/>
      <c r="R102" s="7">
        <f t="shared" si="66"/>
        <v>5.6242715656847173E-4</v>
      </c>
      <c r="S102" s="2"/>
      <c r="T102" s="6">
        <v>1798.14</v>
      </c>
      <c r="U102" s="2"/>
      <c r="V102" s="7">
        <f t="shared" si="67"/>
        <v>4.6912342695960033E-4</v>
      </c>
      <c r="W102" s="2"/>
      <c r="X102" s="6">
        <f t="shared" si="68"/>
        <v>53.939999999999827</v>
      </c>
      <c r="Y102" s="2"/>
      <c r="Z102" s="7">
        <f t="shared" si="69"/>
        <v>2.9997664253061398E-2</v>
      </c>
    </row>
    <row r="103" spans="1:26" s="25" customFormat="1" outlineLevel="1" collapsed="1" x14ac:dyDescent="0.25">
      <c r="A103" s="26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1628.03</v>
      </c>
      <c r="E103" s="1"/>
      <c r="F103" s="5">
        <f t="shared" ref="F103:F107" si="70">IF(D$12=0,0,D103/D$12)</f>
        <v>0.34575082613386354</v>
      </c>
      <c r="G103" s="1"/>
      <c r="H103" s="1">
        <f>SUM(OSRRefH22_11x_0)</f>
        <v>383.99</v>
      </c>
      <c r="I103" s="1"/>
      <c r="J103" s="5">
        <f t="shared" ref="J103:J107" si="71">IF(H$12=0,0,H103/H$12)</f>
        <v>1.5534946042976283E-2</v>
      </c>
      <c r="K103" s="1"/>
      <c r="L103" s="1">
        <f t="shared" ref="L103:L107" si="72">+D103-H103</f>
        <v>1244.04</v>
      </c>
      <c r="M103" s="1"/>
      <c r="N103" s="5">
        <f t="shared" ref="N103:N107" si="73">IF(H103=0,0,L103/H103)</f>
        <v>3.2397718690590898</v>
      </c>
      <c r="O103" s="13"/>
      <c r="P103" s="1">
        <f>SUM(OSRRefP22_11x_0)</f>
        <v>12747.93</v>
      </c>
      <c r="Q103" s="1"/>
      <c r="R103" s="5">
        <f t="shared" ref="R103:R107" si="74">IF(P$12=0,0,P103/P$12)</f>
        <v>3.8712053593980382E-3</v>
      </c>
      <c r="S103" s="1"/>
      <c r="T103" s="1">
        <f>SUM(OSRRefT22_11x_0)</f>
        <v>17143.199999999997</v>
      </c>
      <c r="U103" s="1"/>
      <c r="V103" s="5">
        <f t="shared" ref="V103:V107" si="75">IF(T$12=0,0,T103/T$12)</f>
        <v>4.4725531566250781E-3</v>
      </c>
      <c r="W103" s="1"/>
      <c r="X103" s="1">
        <f t="shared" ref="X103:X107" si="76">+P103-T103</f>
        <v>-4395.2699999999968</v>
      </c>
      <c r="Y103" s="1"/>
      <c r="Z103" s="5">
        <f t="shared" ref="Z103:Z107" si="77">IF(T103=0,0,X103/T103)</f>
        <v>-0.25638562228755413</v>
      </c>
    </row>
    <row r="104" spans="1:26" s="24" customFormat="1" hidden="1" outlineLevel="2" x14ac:dyDescent="0.25">
      <c r="A104" s="27"/>
      <c r="B104" s="11" t="str">
        <f>CONCATENATE("          ", "6234", " - ", "EXPENDABLE SUPPLIES &amp; EQUIPMEN")</f>
        <v xml:space="preserve">          6234 - EXPENDABLE SUPPLIES &amp; EQUIPMEN</v>
      </c>
      <c r="C104" s="11"/>
      <c r="D104" s="6"/>
      <c r="E104" s="2"/>
      <c r="F104" s="7">
        <f t="shared" si="70"/>
        <v>0</v>
      </c>
      <c r="G104" s="2"/>
      <c r="H104" s="6"/>
      <c r="I104" s="2"/>
      <c r="J104" s="7">
        <f t="shared" si="71"/>
        <v>0</v>
      </c>
      <c r="K104" s="2"/>
      <c r="L104" s="6">
        <f t="shared" si="72"/>
        <v>0</v>
      </c>
      <c r="M104" s="2"/>
      <c r="N104" s="7">
        <f t="shared" si="73"/>
        <v>0</v>
      </c>
      <c r="O104" s="11"/>
      <c r="P104" s="6"/>
      <c r="Q104" s="2"/>
      <c r="R104" s="7">
        <f t="shared" si="74"/>
        <v>0</v>
      </c>
      <c r="S104" s="2"/>
      <c r="T104" s="6">
        <v>272.45999999999998</v>
      </c>
      <c r="U104" s="2"/>
      <c r="V104" s="7">
        <f t="shared" si="75"/>
        <v>7.1083101932782036E-5</v>
      </c>
      <c r="W104" s="2"/>
      <c r="X104" s="6">
        <f t="shared" si="76"/>
        <v>-272.45999999999998</v>
      </c>
      <c r="Y104" s="2"/>
      <c r="Z104" s="7">
        <f t="shared" si="77"/>
        <v>-1</v>
      </c>
    </row>
    <row r="105" spans="1:26" s="24" customFormat="1" hidden="1" outlineLevel="2" x14ac:dyDescent="0.25">
      <c r="A105" s="27"/>
      <c r="B105" s="11" t="str">
        <f>CONCATENATE("          ", "6241", " - ", "OFFICE EXPENSE")</f>
        <v xml:space="preserve">          6241 - OFFICE EXPENSE</v>
      </c>
      <c r="C105" s="11"/>
      <c r="D105" s="6"/>
      <c r="E105" s="2"/>
      <c r="F105" s="7">
        <f t="shared" si="70"/>
        <v>0</v>
      </c>
      <c r="G105" s="2"/>
      <c r="H105" s="6">
        <v>106.07</v>
      </c>
      <c r="I105" s="2"/>
      <c r="J105" s="7">
        <f t="shared" si="71"/>
        <v>4.2912360394241882E-3</v>
      </c>
      <c r="K105" s="2"/>
      <c r="L105" s="6">
        <f t="shared" si="72"/>
        <v>-106.07</v>
      </c>
      <c r="M105" s="2"/>
      <c r="N105" s="7">
        <f t="shared" si="73"/>
        <v>-1</v>
      </c>
      <c r="O105" s="11"/>
      <c r="P105" s="6">
        <v>4027.86</v>
      </c>
      <c r="Q105" s="2"/>
      <c r="R105" s="7">
        <f t="shared" si="74"/>
        <v>1.2231533448100972E-3</v>
      </c>
      <c r="S105" s="2"/>
      <c r="T105" s="6">
        <v>7993.32</v>
      </c>
      <c r="U105" s="2"/>
      <c r="V105" s="7">
        <f t="shared" si="75"/>
        <v>2.0854069600724705E-3</v>
      </c>
      <c r="W105" s="2"/>
      <c r="X105" s="6">
        <f t="shared" si="76"/>
        <v>-3965.4599999999996</v>
      </c>
      <c r="Y105" s="2"/>
      <c r="Z105" s="7">
        <f t="shared" si="77"/>
        <v>-0.49609674077855004</v>
      </c>
    </row>
    <row r="106" spans="1:26" s="24" customFormat="1" hidden="1" outlineLevel="2" x14ac:dyDescent="0.25">
      <c r="A106" s="27"/>
      <c r="B106" s="11" t="str">
        <f>CONCATENATE("          ", "6245", " - ", "PRINTING")</f>
        <v xml:space="preserve">          6245 - PRINTING</v>
      </c>
      <c r="C106" s="11"/>
      <c r="D106" s="6">
        <v>220.5</v>
      </c>
      <c r="E106" s="2"/>
      <c r="F106" s="7">
        <f t="shared" si="70"/>
        <v>4.6828410509951846E-2</v>
      </c>
      <c r="G106" s="2"/>
      <c r="H106" s="6"/>
      <c r="I106" s="2"/>
      <c r="J106" s="7">
        <f t="shared" si="71"/>
        <v>0</v>
      </c>
      <c r="K106" s="2"/>
      <c r="L106" s="6">
        <f t="shared" si="72"/>
        <v>220.5</v>
      </c>
      <c r="M106" s="2"/>
      <c r="N106" s="7">
        <f t="shared" si="73"/>
        <v>0</v>
      </c>
      <c r="O106" s="11"/>
      <c r="P106" s="6">
        <v>5198.58</v>
      </c>
      <c r="Q106" s="2"/>
      <c r="R106" s="7">
        <f t="shared" si="74"/>
        <v>1.5786696943942626E-3</v>
      </c>
      <c r="S106" s="2"/>
      <c r="T106" s="6">
        <v>565.29</v>
      </c>
      <c r="U106" s="2"/>
      <c r="V106" s="7">
        <f t="shared" si="75"/>
        <v>1.4748060886582382E-4</v>
      </c>
      <c r="W106" s="2"/>
      <c r="X106" s="6">
        <f t="shared" si="76"/>
        <v>4633.29</v>
      </c>
      <c r="Y106" s="2"/>
      <c r="Z106" s="7">
        <f t="shared" si="77"/>
        <v>8.1963063206495779</v>
      </c>
    </row>
    <row r="107" spans="1:26" s="24" customFormat="1" hidden="1" outlineLevel="2" x14ac:dyDescent="0.25">
      <c r="A107" s="27"/>
      <c r="B107" s="11" t="str">
        <f>CONCATENATE("          ", "6247", " - ", "STORE SUPPLIES")</f>
        <v xml:space="preserve">          6247 - STORE SUPPLIES</v>
      </c>
      <c r="C107" s="11"/>
      <c r="D107" s="6">
        <v>1407.53</v>
      </c>
      <c r="E107" s="2"/>
      <c r="F107" s="7">
        <f t="shared" si="70"/>
        <v>0.2989224156239117</v>
      </c>
      <c r="G107" s="2"/>
      <c r="H107" s="6">
        <v>277.92</v>
      </c>
      <c r="I107" s="2"/>
      <c r="J107" s="7">
        <f t="shared" si="71"/>
        <v>1.1243710003552093E-2</v>
      </c>
      <c r="K107" s="2"/>
      <c r="L107" s="6">
        <f t="shared" si="72"/>
        <v>1129.6099999999999</v>
      </c>
      <c r="M107" s="2"/>
      <c r="N107" s="7">
        <f t="shared" si="73"/>
        <v>4.0645149683362112</v>
      </c>
      <c r="O107" s="11"/>
      <c r="P107" s="6">
        <v>3521.49</v>
      </c>
      <c r="Q107" s="2"/>
      <c r="R107" s="7">
        <f t="shared" si="74"/>
        <v>1.0693823201936782E-3</v>
      </c>
      <c r="S107" s="2"/>
      <c r="T107" s="6">
        <v>8312.1299999999992</v>
      </c>
      <c r="U107" s="2"/>
      <c r="V107" s="7">
        <f t="shared" si="75"/>
        <v>2.1685824857540026E-3</v>
      </c>
      <c r="W107" s="2"/>
      <c r="X107" s="6">
        <f t="shared" si="76"/>
        <v>-4790.6399999999994</v>
      </c>
      <c r="Y107" s="2"/>
      <c r="Z107" s="7">
        <f t="shared" si="77"/>
        <v>-0.57634324775959955</v>
      </c>
    </row>
    <row r="108" spans="1:26" s="25" customFormat="1" outlineLevel="1" collapsed="1" x14ac:dyDescent="0.25">
      <c r="A108" s="26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SUM(OSRRefD22_12x_0)</f>
        <v>474.35</v>
      </c>
      <c r="E108" s="1"/>
      <c r="F108" s="5">
        <f t="shared" ref="F108:F110" si="78">IF(D$12=0,0,D108/D$12)</f>
        <v>0.10073948537594404</v>
      </c>
      <c r="G108" s="1"/>
      <c r="H108" s="1">
        <f>SUM(OSRRefH22_12x_0)</f>
        <v>778.65</v>
      </c>
      <c r="I108" s="1"/>
      <c r="J108" s="5">
        <f t="shared" ref="J108:J110" si="79">IF(H$12=0,0,H108/H$12)</f>
        <v>3.1501564458354336E-2</v>
      </c>
      <c r="K108" s="1"/>
      <c r="L108" s="1">
        <f t="shared" ref="L108:L110" si="80">+D108-H108</f>
        <v>-304.29999999999995</v>
      </c>
      <c r="M108" s="1"/>
      <c r="N108" s="5">
        <f t="shared" ref="N108:N110" si="81">IF(H108=0,0,L108/H108)</f>
        <v>-0.39080459770114939</v>
      </c>
      <c r="O108" s="13"/>
      <c r="P108" s="1">
        <f>SUM(OSRRefP22_12x_0)</f>
        <v>7145.99</v>
      </c>
      <c r="Q108" s="1"/>
      <c r="R108" s="5">
        <f t="shared" ref="R108:R110" si="82">IF(P$12=0,0,P108/P$12)</f>
        <v>2.1700460220761162E-3</v>
      </c>
      <c r="S108" s="1"/>
      <c r="T108" s="1">
        <f>SUM(OSRRefT22_12x_0)</f>
        <v>7601.25</v>
      </c>
      <c r="U108" s="1"/>
      <c r="V108" s="5">
        <f t="shared" ref="V108:V110" si="83">IF(T$12=0,0,T108/T$12)</f>
        <v>1.9831183607375742E-3</v>
      </c>
      <c r="W108" s="1"/>
      <c r="X108" s="1">
        <f t="shared" ref="X108:X110" si="84">+P108-T108</f>
        <v>-455.26000000000022</v>
      </c>
      <c r="Y108" s="1"/>
      <c r="Z108" s="5">
        <f t="shared" ref="Z108:Z110" si="85">IF(T108=0,0,X108/T108)</f>
        <v>-5.989278079263282E-2</v>
      </c>
    </row>
    <row r="109" spans="1:26" s="24" customFormat="1" hidden="1" outlineLevel="2" x14ac:dyDescent="0.25">
      <c r="A109" s="27"/>
      <c r="B109" s="11" t="str">
        <f>CONCATENATE("          ", "6303", " - ", "DATA PHONE LINES")</f>
        <v xml:space="preserve">          6303 - DATA PHONE LINES</v>
      </c>
      <c r="C109" s="11"/>
      <c r="D109" s="6"/>
      <c r="E109" s="2"/>
      <c r="F109" s="7">
        <f t="shared" si="78"/>
        <v>0</v>
      </c>
      <c r="G109" s="2"/>
      <c r="H109" s="6">
        <v>295</v>
      </c>
      <c r="I109" s="2"/>
      <c r="J109" s="7">
        <f t="shared" si="79"/>
        <v>1.1934709452532626E-2</v>
      </c>
      <c r="K109" s="2"/>
      <c r="L109" s="6">
        <f t="shared" si="80"/>
        <v>-295</v>
      </c>
      <c r="M109" s="2"/>
      <c r="N109" s="7">
        <f t="shared" si="81"/>
        <v>-1</v>
      </c>
      <c r="O109" s="11"/>
      <c r="P109" s="6">
        <v>2360</v>
      </c>
      <c r="Q109" s="2"/>
      <c r="R109" s="7">
        <f t="shared" si="82"/>
        <v>7.1666887472549424E-4</v>
      </c>
      <c r="S109" s="2"/>
      <c r="T109" s="6">
        <v>2655</v>
      </c>
      <c r="U109" s="2"/>
      <c r="V109" s="7">
        <f t="shared" si="83"/>
        <v>6.9267281667597562E-4</v>
      </c>
      <c r="W109" s="2"/>
      <c r="X109" s="6">
        <f t="shared" si="84"/>
        <v>-295</v>
      </c>
      <c r="Y109" s="2"/>
      <c r="Z109" s="7">
        <f t="shared" si="85"/>
        <v>-0.1111111111111111</v>
      </c>
    </row>
    <row r="110" spans="1:26" s="24" customFormat="1" hidden="1" outlineLevel="2" x14ac:dyDescent="0.25">
      <c r="A110" s="27"/>
      <c r="B110" s="11" t="str">
        <f>CONCATENATE("          ", "6309", " - ", "TELEPHONE")</f>
        <v xml:space="preserve">          6309 - TELEPHONE</v>
      </c>
      <c r="C110" s="11"/>
      <c r="D110" s="6">
        <v>474.35</v>
      </c>
      <c r="E110" s="2"/>
      <c r="F110" s="7">
        <f t="shared" si="78"/>
        <v>0.10073948537594404</v>
      </c>
      <c r="G110" s="2"/>
      <c r="H110" s="6">
        <v>483.65</v>
      </c>
      <c r="I110" s="2"/>
      <c r="J110" s="7">
        <f t="shared" si="79"/>
        <v>1.9566855005821709E-2</v>
      </c>
      <c r="K110" s="2"/>
      <c r="L110" s="6">
        <f t="shared" si="80"/>
        <v>-9.2999999999999545</v>
      </c>
      <c r="M110" s="2"/>
      <c r="N110" s="7">
        <f t="shared" si="81"/>
        <v>-1.9228781143388721E-2</v>
      </c>
      <c r="O110" s="11"/>
      <c r="P110" s="6">
        <v>4785.99</v>
      </c>
      <c r="Q110" s="2"/>
      <c r="R110" s="7">
        <f t="shared" si="82"/>
        <v>1.453377147350622E-3</v>
      </c>
      <c r="S110" s="2"/>
      <c r="T110" s="6">
        <v>4946.25</v>
      </c>
      <c r="U110" s="2"/>
      <c r="V110" s="7">
        <f t="shared" si="83"/>
        <v>1.2904455440615986E-3</v>
      </c>
      <c r="W110" s="2"/>
      <c r="X110" s="6">
        <f t="shared" si="84"/>
        <v>-160.26000000000022</v>
      </c>
      <c r="Y110" s="2"/>
      <c r="Z110" s="7">
        <f t="shared" si="85"/>
        <v>-3.2400303260045532E-2</v>
      </c>
    </row>
    <row r="111" spans="1:26" s="25" customFormat="1" outlineLevel="1" collapsed="1" x14ac:dyDescent="0.25">
      <c r="A111" s="26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SUM(OSRRefD22_13x_0)</f>
        <v>0</v>
      </c>
      <c r="E111" s="1"/>
      <c r="F111" s="5">
        <f t="shared" ref="F111:F114" si="86">IF(D$12=0,0,D111/D$12)</f>
        <v>0</v>
      </c>
      <c r="G111" s="1"/>
      <c r="H111" s="1">
        <f>SUM(OSRRefH22_13x_0)</f>
        <v>1335.48</v>
      </c>
      <c r="I111" s="1"/>
      <c r="J111" s="5">
        <f t="shared" ref="J111:J114" si="87">IF(H$12=0,0,H111/H$12)</f>
        <v>5.4029036541248382E-2</v>
      </c>
      <c r="K111" s="1"/>
      <c r="L111" s="1">
        <f t="shared" ref="L111:L114" si="88">+D111-H111</f>
        <v>-1335.48</v>
      </c>
      <c r="M111" s="1"/>
      <c r="N111" s="5">
        <f t="shared" ref="N111:N114" si="89">IF(H111=0,0,L111/H111)</f>
        <v>-1</v>
      </c>
      <c r="O111" s="13"/>
      <c r="P111" s="1">
        <f>SUM(OSRRefP22_13x_0)</f>
        <v>4157.1499999999996</v>
      </c>
      <c r="Q111" s="1"/>
      <c r="R111" s="5">
        <f t="shared" ref="R111:R114" si="90">IF(P$12=0,0,P111/P$12)</f>
        <v>1.262415259561478E-3</v>
      </c>
      <c r="S111" s="1"/>
      <c r="T111" s="1">
        <f>SUM(OSRRefT22_13x_0)</f>
        <v>3090.98</v>
      </c>
      <c r="U111" s="1"/>
      <c r="V111" s="5">
        <f t="shared" ref="V111:V114" si="91">IF(T$12=0,0,T111/T$12)</f>
        <v>8.0641725909194237E-4</v>
      </c>
      <c r="W111" s="1"/>
      <c r="X111" s="1">
        <f t="shared" ref="X111:X114" si="92">+P111-T111</f>
        <v>1066.1699999999996</v>
      </c>
      <c r="Y111" s="1"/>
      <c r="Z111" s="5">
        <f t="shared" ref="Z111:Z114" si="93">IF(T111=0,0,X111/T111)</f>
        <v>0.34492943985402674</v>
      </c>
    </row>
    <row r="112" spans="1:26" s="24" customFormat="1" hidden="1" outlineLevel="2" x14ac:dyDescent="0.25">
      <c r="A112" s="27"/>
      <c r="B112" s="11" t="str">
        <f>CONCATENATE("          ", "6376", " - ", "TRAINING")</f>
        <v xml:space="preserve">          6376 - TRAINING</v>
      </c>
      <c r="C112" s="11"/>
      <c r="D112" s="6"/>
      <c r="E112" s="2"/>
      <c r="F112" s="7">
        <f t="shared" si="86"/>
        <v>0</v>
      </c>
      <c r="G112" s="2"/>
      <c r="H112" s="6">
        <v>1335.48</v>
      </c>
      <c r="I112" s="2"/>
      <c r="J112" s="7">
        <f t="shared" si="87"/>
        <v>5.4029036541248382E-2</v>
      </c>
      <c r="K112" s="2"/>
      <c r="L112" s="6">
        <f t="shared" si="88"/>
        <v>-1335.48</v>
      </c>
      <c r="M112" s="2"/>
      <c r="N112" s="7">
        <f t="shared" si="89"/>
        <v>-1</v>
      </c>
      <c r="O112" s="11"/>
      <c r="P112" s="6">
        <v>4157.1499999999996</v>
      </c>
      <c r="Q112" s="2"/>
      <c r="R112" s="7">
        <f t="shared" si="90"/>
        <v>1.262415259561478E-3</v>
      </c>
      <c r="S112" s="2"/>
      <c r="T112" s="6">
        <v>3090.98</v>
      </c>
      <c r="U112" s="2"/>
      <c r="V112" s="7">
        <f t="shared" si="91"/>
        <v>8.0641725909194237E-4</v>
      </c>
      <c r="W112" s="2"/>
      <c r="X112" s="6">
        <f t="shared" si="92"/>
        <v>1066.1699999999996</v>
      </c>
      <c r="Y112" s="2"/>
      <c r="Z112" s="7">
        <f t="shared" si="93"/>
        <v>0.34492943985402674</v>
      </c>
    </row>
    <row r="113" spans="1:26" s="25" customFormat="1" outlineLevel="1" collapsed="1" x14ac:dyDescent="0.25">
      <c r="A113" s="26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SUM(OSRRefD22_14x_0)</f>
        <v>0</v>
      </c>
      <c r="E113" s="1"/>
      <c r="F113" s="5">
        <f t="shared" si="86"/>
        <v>0</v>
      </c>
      <c r="G113" s="1"/>
      <c r="H113" s="1">
        <f>SUM(OSRRefH22_14x_0)</f>
        <v>0</v>
      </c>
      <c r="I113" s="1"/>
      <c r="J113" s="5">
        <f t="shared" si="87"/>
        <v>0</v>
      </c>
      <c r="K113" s="1"/>
      <c r="L113" s="1">
        <f t="shared" si="88"/>
        <v>0</v>
      </c>
      <c r="M113" s="1"/>
      <c r="N113" s="5">
        <f t="shared" si="89"/>
        <v>0</v>
      </c>
      <c r="O113" s="13"/>
      <c r="P113" s="1">
        <f>SUM(OSRRefP22_14x_0)</f>
        <v>83.93</v>
      </c>
      <c r="Q113" s="1"/>
      <c r="R113" s="5">
        <f t="shared" si="90"/>
        <v>2.5487296040555397E-5</v>
      </c>
      <c r="S113" s="1"/>
      <c r="T113" s="1">
        <f>SUM(OSRRefT22_14x_0)</f>
        <v>68.27</v>
      </c>
      <c r="U113" s="1"/>
      <c r="V113" s="5">
        <f t="shared" si="91"/>
        <v>1.781121400921614E-5</v>
      </c>
      <c r="W113" s="1"/>
      <c r="X113" s="1">
        <f t="shared" si="92"/>
        <v>15.660000000000011</v>
      </c>
      <c r="Y113" s="1"/>
      <c r="Z113" s="5">
        <f t="shared" si="93"/>
        <v>0.22938333089204646</v>
      </c>
    </row>
    <row r="114" spans="1:26" s="24" customFormat="1" hidden="1" outlineLevel="2" x14ac:dyDescent="0.25">
      <c r="A114" s="27"/>
      <c r="B114" s="11" t="str">
        <f>CONCATENATE("          ", "6292", " - ", "TRAVEL/CONFERENCE")</f>
        <v xml:space="preserve">          6292 - TRAVEL/CONFERENCE</v>
      </c>
      <c r="C114" s="11"/>
      <c r="D114" s="6"/>
      <c r="E114" s="2"/>
      <c r="F114" s="7">
        <f t="shared" si="86"/>
        <v>0</v>
      </c>
      <c r="G114" s="2"/>
      <c r="H114" s="6"/>
      <c r="I114" s="2"/>
      <c r="J114" s="7">
        <f t="shared" si="87"/>
        <v>0</v>
      </c>
      <c r="K114" s="2"/>
      <c r="L114" s="6">
        <f t="shared" si="88"/>
        <v>0</v>
      </c>
      <c r="M114" s="2"/>
      <c r="N114" s="7">
        <f t="shared" si="89"/>
        <v>0</v>
      </c>
      <c r="O114" s="11"/>
      <c r="P114" s="6">
        <v>83.93</v>
      </c>
      <c r="Q114" s="2"/>
      <c r="R114" s="7">
        <f t="shared" si="90"/>
        <v>2.5487296040555397E-5</v>
      </c>
      <c r="S114" s="2"/>
      <c r="T114" s="6">
        <v>68.27</v>
      </c>
      <c r="U114" s="2"/>
      <c r="V114" s="7">
        <f t="shared" si="91"/>
        <v>1.781121400921614E-5</v>
      </c>
      <c r="W114" s="2"/>
      <c r="X114" s="6">
        <f t="shared" si="92"/>
        <v>15.660000000000011</v>
      </c>
      <c r="Y114" s="2"/>
      <c r="Z114" s="7">
        <f t="shared" si="93"/>
        <v>0.22938333089204646</v>
      </c>
    </row>
    <row r="115" spans="1:26" s="53" customFormat="1" x14ac:dyDescent="0.25">
      <c r="A115" s="37"/>
      <c r="B115" s="37"/>
      <c r="C115" s="37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9" t="s">
        <v>0</v>
      </c>
      <c r="C116" s="10"/>
      <c r="D116" s="4">
        <f>SUM(OSRRefD25x_0)</f>
        <v>186.38</v>
      </c>
      <c r="E116" s="4"/>
      <c r="F116" s="12">
        <f t="shared" ref="F116:F119" si="94">IF(D$12=0,0,D116/D$12)</f>
        <v>3.9582218371178347E-2</v>
      </c>
      <c r="G116" s="4"/>
      <c r="H116" s="4">
        <f>SUM(OSRRefH25x_0)</f>
        <v>158.18</v>
      </c>
      <c r="I116" s="4"/>
      <c r="J116" s="12">
        <f t="shared" ref="J116:J119" si="95">IF(H$12=0,0,H116/H$12)</f>
        <v>6.3994316650902066E-3</v>
      </c>
      <c r="K116" s="4"/>
      <c r="L116" s="4">
        <f t="shared" ref="L116:L119" si="96">+D116-H116</f>
        <v>28.199999999999989</v>
      </c>
      <c r="M116" s="4"/>
      <c r="N116" s="12">
        <f t="shared" ref="N116:N119" si="97">IF(H116=0,0,L116/H116)</f>
        <v>0.17827791124035899</v>
      </c>
      <c r="O116" s="10"/>
      <c r="P116" s="4">
        <f>SUM(OSRRefP25x_0)</f>
        <v>188042.77999999997</v>
      </c>
      <c r="Q116" s="4"/>
      <c r="R116" s="12">
        <f t="shared" ref="R116:R119" si="98">IF(P$12=0,0,P116/P$12)</f>
        <v>5.7103562518158325E-2</v>
      </c>
      <c r="S116" s="4"/>
      <c r="T116" s="4">
        <f>SUM(OSRRefT25x_0)</f>
        <v>97448</v>
      </c>
      <c r="U116" s="4"/>
      <c r="V116" s="12">
        <f t="shared" ref="V116:V119" si="99">IF(T$12=0,0,T116/T$12)</f>
        <v>2.5423570862312797E-2</v>
      </c>
      <c r="W116" s="4"/>
      <c r="X116" s="4">
        <f t="shared" ref="X116:X119" si="100">+P116-T116</f>
        <v>90594.77999999997</v>
      </c>
      <c r="Y116" s="4"/>
      <c r="Z116" s="12">
        <f t="shared" ref="Z116:Z119" si="101">IF(T116=0,0,X116/T116)</f>
        <v>0.92967305639931008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--104.19</f>
        <v>104.19</v>
      </c>
      <c r="E117" s="2"/>
      <c r="F117" s="19">
        <f t="shared" si="94"/>
        <v>2.2127220367491533E-2</v>
      </c>
      <c r="G117" s="2"/>
      <c r="H117" s="2">
        <f>--47.18</f>
        <v>47.18</v>
      </c>
      <c r="I117" s="2"/>
      <c r="J117" s="19">
        <f t="shared" si="95"/>
        <v>1.9087443795609807E-3</v>
      </c>
      <c r="K117" s="2"/>
      <c r="L117" s="2">
        <f t="shared" si="96"/>
        <v>57.01</v>
      </c>
      <c r="M117" s="2"/>
      <c r="N117" s="19">
        <f t="shared" si="97"/>
        <v>1.208350996184824</v>
      </c>
      <c r="O117" s="11"/>
      <c r="P117" s="2">
        <f>--20516.43</f>
        <v>20516.43</v>
      </c>
      <c r="Q117" s="2"/>
      <c r="R117" s="19">
        <f t="shared" si="98"/>
        <v>6.2302910175781236E-3</v>
      </c>
      <c r="S117" s="2"/>
      <c r="T117" s="2">
        <f>--86751.11</f>
        <v>86751.11</v>
      </c>
      <c r="U117" s="2"/>
      <c r="V117" s="19">
        <f t="shared" si="99"/>
        <v>2.2632819477765499E-2</v>
      </c>
      <c r="W117" s="2"/>
      <c r="X117" s="2">
        <f t="shared" si="100"/>
        <v>-66234.679999999993</v>
      </c>
      <c r="Y117" s="2"/>
      <c r="Z117" s="19">
        <f t="shared" si="101"/>
        <v>-0.76350239207313886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>0</f>
        <v>0</v>
      </c>
      <c r="E118" s="2"/>
      <c r="F118" s="19">
        <f t="shared" si="94"/>
        <v>0</v>
      </c>
      <c r="G118" s="2"/>
      <c r="H118" s="2">
        <f>0</f>
        <v>0</v>
      </c>
      <c r="I118" s="2"/>
      <c r="J118" s="19">
        <f t="shared" si="95"/>
        <v>0</v>
      </c>
      <c r="K118" s="2"/>
      <c r="L118" s="2">
        <f t="shared" si="96"/>
        <v>0</v>
      </c>
      <c r="M118" s="2"/>
      <c r="N118" s="19">
        <f t="shared" si="97"/>
        <v>0</v>
      </c>
      <c r="O118" s="11"/>
      <c r="P118" s="2">
        <f>--162744.3</f>
        <v>162744.29999999999</v>
      </c>
      <c r="Q118" s="2"/>
      <c r="R118" s="19">
        <f t="shared" si="98"/>
        <v>4.9421090825842472E-2</v>
      </c>
      <c r="S118" s="2"/>
      <c r="T118" s="2">
        <f>0</f>
        <v>0</v>
      </c>
      <c r="U118" s="2"/>
      <c r="V118" s="19">
        <f t="shared" si="99"/>
        <v>0</v>
      </c>
      <c r="W118" s="2"/>
      <c r="X118" s="2">
        <f t="shared" si="100"/>
        <v>162744.29999999999</v>
      </c>
      <c r="Y118" s="2"/>
      <c r="Z118" s="19">
        <f t="shared" si="101"/>
        <v>0</v>
      </c>
    </row>
    <row r="119" spans="1:26" s="24" customFormat="1" hidden="1" outlineLevel="1" x14ac:dyDescent="0.25">
      <c r="A119" s="44"/>
      <c r="B119" s="11" t="str">
        <f>CONCATENATE("          ", "9152", " - ", "MISC. INCOME")</f>
        <v xml:space="preserve">          9152 - MISC. INCOME</v>
      </c>
      <c r="C119" s="11"/>
      <c r="D119" s="2">
        <f>--82.19</f>
        <v>82.19</v>
      </c>
      <c r="E119" s="2"/>
      <c r="F119" s="19">
        <f t="shared" si="94"/>
        <v>1.7454998003686814E-2</v>
      </c>
      <c r="G119" s="2"/>
      <c r="H119" s="2">
        <f>--111</f>
        <v>111</v>
      </c>
      <c r="I119" s="2"/>
      <c r="J119" s="19">
        <f t="shared" si="95"/>
        <v>4.4906872855292254E-3</v>
      </c>
      <c r="K119" s="2"/>
      <c r="L119" s="2">
        <f t="shared" si="96"/>
        <v>-28.810000000000002</v>
      </c>
      <c r="M119" s="2"/>
      <c r="N119" s="19">
        <f t="shared" si="97"/>
        <v>-0.25954954954954956</v>
      </c>
      <c r="O119" s="11"/>
      <c r="P119" s="2">
        <f>--4782.05</f>
        <v>4782.05</v>
      </c>
      <c r="Q119" s="2"/>
      <c r="R119" s="19">
        <f t="shared" si="98"/>
        <v>1.4521806747377329E-3</v>
      </c>
      <c r="S119" s="2"/>
      <c r="T119" s="2">
        <f>--10696.89</f>
        <v>10696.89</v>
      </c>
      <c r="U119" s="2"/>
      <c r="V119" s="19">
        <f t="shared" si="99"/>
        <v>2.7907513845472983E-3</v>
      </c>
      <c r="W119" s="2"/>
      <c r="X119" s="2">
        <f t="shared" si="100"/>
        <v>-5914.8399999999992</v>
      </c>
      <c r="Y119" s="2"/>
      <c r="Z119" s="19">
        <f t="shared" si="101"/>
        <v>-0.55294950214501593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8" t="s">
        <v>3</v>
      </c>
      <c r="C121" s="28"/>
      <c r="D121" s="21">
        <f>+D61-D63+D116</f>
        <v>-50286.080000000016</v>
      </c>
      <c r="E121" s="14"/>
      <c r="F121" s="20">
        <f>IF(D$12=0,0,D121/D$12)</f>
        <v>-10.679443071094241</v>
      </c>
      <c r="G121" s="14"/>
      <c r="H121" s="21">
        <f>+H61-H63+H116</f>
        <v>-58027.159999999967</v>
      </c>
      <c r="I121" s="14"/>
      <c r="J121" s="20">
        <f>IF(H$12=0,0,H121/H$12)</f>
        <v>-2.347584050697026</v>
      </c>
      <c r="K121" s="15"/>
      <c r="L121" s="21">
        <f>+D121-H121</f>
        <v>7741.0799999999508</v>
      </c>
      <c r="M121" s="15"/>
      <c r="N121" s="20">
        <f>IF(H121=0,0,L121/H121)</f>
        <v>-0.13340442647891013</v>
      </c>
      <c r="O121" s="29"/>
      <c r="P121" s="21">
        <f>+P61-P63+P116</f>
        <v>692492.96999999986</v>
      </c>
      <c r="Q121" s="14"/>
      <c r="R121" s="20">
        <f>IF(P$12=0,0,P121/P$12)</f>
        <v>0.21029159218865057</v>
      </c>
      <c r="S121" s="14"/>
      <c r="T121" s="21">
        <f>+T61-T63+T116</f>
        <v>586999.8600000008</v>
      </c>
      <c r="U121" s="14"/>
      <c r="V121" s="20">
        <f>IF(T$12=0,0,T121/T$12)</f>
        <v>0.15314457492075476</v>
      </c>
      <c r="W121" s="15"/>
      <c r="X121" s="21">
        <f>+P121-T121</f>
        <v>105493.10999999905</v>
      </c>
      <c r="Y121" s="15"/>
      <c r="Z121" s="20">
        <f>IF(T121=0,0,X121/T121)</f>
        <v>0.17971573281124617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1"/>
      <c r="B123" s="10" t="s">
        <v>13</v>
      </c>
      <c r="C123" s="10"/>
      <c r="D123" s="4">
        <v>21548.28</v>
      </c>
      <c r="E123" s="4"/>
      <c r="F123" s="12">
        <f>IF(D$12=0,0,D123/D$12)</f>
        <v>4.5762888962511798</v>
      </c>
      <c r="G123" s="4"/>
      <c r="H123" s="4">
        <v>6325.01</v>
      </c>
      <c r="I123" s="4"/>
      <c r="J123" s="12">
        <f>IF(H$12=0,0,H123/H$12)</f>
        <v>0.25588866655716402</v>
      </c>
      <c r="K123" s="4"/>
      <c r="L123" s="4">
        <f>+D123-H123</f>
        <v>15223.269999999999</v>
      </c>
      <c r="M123" s="4"/>
      <c r="N123" s="12">
        <f>IF(H123=0,0,L123/H123)</f>
        <v>2.4068373014430016</v>
      </c>
      <c r="O123" s="10"/>
      <c r="P123" s="4">
        <v>373898.07</v>
      </c>
      <c r="Q123" s="4"/>
      <c r="R123" s="12">
        <f>IF(P$12=0,0,P123/P$12)</f>
        <v>0.1135428428342941</v>
      </c>
      <c r="S123" s="4"/>
      <c r="T123" s="4">
        <v>398470.89</v>
      </c>
      <c r="U123" s="4"/>
      <c r="V123" s="12">
        <f>IF(T$12=0,0,T123/T$12)</f>
        <v>0.10395855131438149</v>
      </c>
      <c r="W123" s="4"/>
      <c r="X123" s="4">
        <f>+P123-T123</f>
        <v>-24572.820000000007</v>
      </c>
      <c r="Y123" s="4"/>
      <c r="Z123" s="12">
        <f>IF(T123=0,0,X123/T123)</f>
        <v>-6.1667792093921855E-2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4</v>
      </c>
      <c r="C125" s="28"/>
      <c r="D125" s="30">
        <f>+D121-D123</f>
        <v>-71834.360000000015</v>
      </c>
      <c r="E125" s="14"/>
      <c r="F125" s="36">
        <f>IF(D$12=0,0,D125/D$12)</f>
        <v>-15.255731967345421</v>
      </c>
      <c r="G125" s="14"/>
      <c r="H125" s="30">
        <f>+H121-H123</f>
        <v>-64352.169999999969</v>
      </c>
      <c r="I125" s="14"/>
      <c r="J125" s="36">
        <f>IF(H$12=0,0,H125/H$12)</f>
        <v>-2.6034727172541903</v>
      </c>
      <c r="K125" s="15"/>
      <c r="L125" s="30">
        <f>D125-H125</f>
        <v>-7482.190000000046</v>
      </c>
      <c r="M125" s="15"/>
      <c r="N125" s="36">
        <f>IF(H125=0,0,L125/H125)</f>
        <v>0.11626942805502984</v>
      </c>
      <c r="O125" s="29"/>
      <c r="P125" s="30">
        <f>+P121-P123</f>
        <v>318594.89999999985</v>
      </c>
      <c r="Q125" s="14"/>
      <c r="R125" s="36">
        <f>IF(P$12=0,0,P125/P$12)</f>
        <v>9.6748749354356456E-2</v>
      </c>
      <c r="S125" s="14"/>
      <c r="T125" s="30">
        <f>+T121-T123</f>
        <v>188528.97000000079</v>
      </c>
      <c r="U125" s="14"/>
      <c r="V125" s="36">
        <f>IF(T$12=0,0,T125/T$12)</f>
        <v>4.918602360637328E-2</v>
      </c>
      <c r="W125" s="15"/>
      <c r="X125" s="30">
        <f>P125-T125</f>
        <v>130065.92999999906</v>
      </c>
      <c r="Y125" s="15"/>
      <c r="Z125" s="36">
        <f>IF(T125=0,0,X125/T125)</f>
        <v>0.6898989051921226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5</v>
      </c>
      <c r="C128" s="28"/>
      <c r="D128" s="31">
        <f>SUM(D125:D127)</f>
        <v>-71834.360000000015</v>
      </c>
      <c r="E128" s="14"/>
      <c r="F128" s="32">
        <f>IF(D$12=0,0,D128/D$12)</f>
        <v>-15.255731967345421</v>
      </c>
      <c r="G128" s="14"/>
      <c r="H128" s="31">
        <f>SUM(H125:H127)</f>
        <v>-64352.169999999969</v>
      </c>
      <c r="I128" s="14"/>
      <c r="J128" s="32">
        <f>IF(H$12=0,0,H128/H$12)</f>
        <v>-2.6034727172541903</v>
      </c>
      <c r="K128" s="15"/>
      <c r="L128" s="31">
        <f>+D128-H128</f>
        <v>-7482.190000000046</v>
      </c>
      <c r="M128" s="15"/>
      <c r="N128" s="32">
        <f>IF(H128=0,0,L128/H128)</f>
        <v>0.11626942805502984</v>
      </c>
      <c r="O128" s="29"/>
      <c r="P128" s="31">
        <f>SUM(P125:P127)</f>
        <v>318594.89999999985</v>
      </c>
      <c r="Q128" s="14"/>
      <c r="R128" s="32">
        <f>IF(P$12=0,0,P128/P$12)</f>
        <v>9.6748749354356456E-2</v>
      </c>
      <c r="S128" s="14"/>
      <c r="T128" s="31">
        <f>SUM(T125:T127)</f>
        <v>188528.97000000079</v>
      </c>
      <c r="U128" s="14"/>
      <c r="V128" s="32">
        <f>IF(T$12=0,0,T128/T$12)</f>
        <v>4.918602360637328E-2</v>
      </c>
      <c r="W128" s="15"/>
      <c r="X128" s="31">
        <f>+P128-T128</f>
        <v>130065.92999999906</v>
      </c>
      <c r="Y128" s="15"/>
      <c r="Z128" s="32">
        <f>IF(T128=0,0,X128/T128)</f>
        <v>0.6898989051921226</v>
      </c>
    </row>
    <row r="129" spans="1:24" ht="15.75" thickTop="1" x14ac:dyDescent="0.25">
      <c r="A129" s="9"/>
      <c r="C129" s="9"/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54">
        <v>43965.470952430558</v>
      </c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A131" s="9"/>
      <c r="B131" s="59" t="s">
        <v>313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4" x14ac:dyDescent="0.25">
      <c r="A132" s="9"/>
      <c r="B132" s="61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4" x14ac:dyDescent="0.25"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","324", " - ", "Textbook Rental")</f>
        <v>Department 324 - Textbook Rental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28043.919999999998</v>
      </c>
      <c r="E12" s="4"/>
      <c r="F12" s="12"/>
      <c r="G12" s="4"/>
      <c r="H12" s="4">
        <f>SUM(OSRRefH13x_0)</f>
        <v>2290.02</v>
      </c>
      <c r="I12" s="4"/>
      <c r="J12" s="12"/>
      <c r="K12" s="4"/>
      <c r="L12" s="4">
        <f t="shared" ref="L12:L15" si="0">+D12-H12</f>
        <v>25753.899999999998</v>
      </c>
      <c r="M12" s="4"/>
      <c r="N12" s="12">
        <f t="shared" ref="N12:N15" si="1">IF(H12=0,0,L12/H12)</f>
        <v>11.246146321866183</v>
      </c>
      <c r="O12" s="10"/>
      <c r="P12" s="4">
        <f>SUM(OSRRefP13x_0)</f>
        <v>1575599.52</v>
      </c>
      <c r="Q12" s="4"/>
      <c r="R12" s="12"/>
      <c r="S12" s="4"/>
      <c r="T12" s="4">
        <f>SUM(OSRRefT13x_0)</f>
        <v>2068713.5100000002</v>
      </c>
      <c r="U12" s="4"/>
      <c r="V12" s="12"/>
      <c r="W12" s="4"/>
      <c r="X12" s="4">
        <f t="shared" ref="X12:X15" si="2">+P12-T12</f>
        <v>-493113.99000000022</v>
      </c>
      <c r="Y12" s="4"/>
      <c r="Z12" s="12">
        <f t="shared" ref="Z12:Z15" si="3">IF(T12=0,0,X12/T12)</f>
        <v>-0.23836746249121762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--128.35</f>
        <v>128.35</v>
      </c>
      <c r="E13" s="2"/>
      <c r="F13" s="19"/>
      <c r="G13" s="2"/>
      <c r="H13" s="2">
        <f>--634.9</f>
        <v>634.9</v>
      </c>
      <c r="I13" s="2"/>
      <c r="J13" s="19"/>
      <c r="K13" s="2"/>
      <c r="L13" s="2">
        <f t="shared" si="0"/>
        <v>-506.54999999999995</v>
      </c>
      <c r="M13" s="2"/>
      <c r="N13" s="19">
        <f t="shared" si="1"/>
        <v>-0.79784217987084571</v>
      </c>
      <c r="O13" s="11"/>
      <c r="P13" s="2">
        <f>--408400.11</f>
        <v>408400.11</v>
      </c>
      <c r="Q13" s="2"/>
      <c r="R13" s="19"/>
      <c r="S13" s="2"/>
      <c r="T13" s="2">
        <f>--556140.75</f>
        <v>556140.75</v>
      </c>
      <c r="U13" s="2"/>
      <c r="V13" s="19"/>
      <c r="W13" s="2"/>
      <c r="X13" s="2">
        <f t="shared" si="2"/>
        <v>-147740.64000000001</v>
      </c>
      <c r="Y13" s="2"/>
      <c r="Z13" s="19">
        <f t="shared" si="3"/>
        <v>-0.26565332606898528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-8.25</f>
        <v>-8.25</v>
      </c>
      <c r="E14" s="2"/>
      <c r="F14" s="19"/>
      <c r="G14" s="2"/>
      <c r="H14" s="2">
        <f>--878.8</f>
        <v>878.8</v>
      </c>
      <c r="I14" s="2"/>
      <c r="J14" s="19"/>
      <c r="K14" s="2"/>
      <c r="L14" s="2">
        <f t="shared" si="0"/>
        <v>-887.05</v>
      </c>
      <c r="M14" s="2"/>
      <c r="N14" s="19">
        <f t="shared" si="1"/>
        <v>-1.0093878015475648</v>
      </c>
      <c r="O14" s="11"/>
      <c r="P14" s="2">
        <f>--564962.94</f>
        <v>564962.93999999994</v>
      </c>
      <c r="Q14" s="2"/>
      <c r="R14" s="19"/>
      <c r="S14" s="2"/>
      <c r="T14" s="2">
        <f>--733162.87</f>
        <v>733162.87</v>
      </c>
      <c r="U14" s="2"/>
      <c r="V14" s="19"/>
      <c r="W14" s="2"/>
      <c r="X14" s="2">
        <f t="shared" si="2"/>
        <v>-168199.93000000005</v>
      </c>
      <c r="Y14" s="2"/>
      <c r="Z14" s="19">
        <f t="shared" si="3"/>
        <v>-0.22941686886025756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--27923.82</f>
        <v>27923.82</v>
      </c>
      <c r="E15" s="2"/>
      <c r="F15" s="19"/>
      <c r="G15" s="2"/>
      <c r="H15" s="2">
        <f>--776.32</f>
        <v>776.32</v>
      </c>
      <c r="I15" s="2"/>
      <c r="J15" s="19"/>
      <c r="K15" s="2"/>
      <c r="L15" s="2">
        <f t="shared" si="0"/>
        <v>27147.5</v>
      </c>
      <c r="M15" s="2"/>
      <c r="N15" s="19">
        <f t="shared" si="1"/>
        <v>34.969471352019781</v>
      </c>
      <c r="O15" s="11"/>
      <c r="P15" s="2">
        <f>--602236.47</f>
        <v>602236.47</v>
      </c>
      <c r="Q15" s="2"/>
      <c r="R15" s="19"/>
      <c r="S15" s="2"/>
      <c r="T15" s="2">
        <f>--779409.89</f>
        <v>779409.89</v>
      </c>
      <c r="U15" s="2"/>
      <c r="V15" s="19"/>
      <c r="W15" s="2"/>
      <c r="X15" s="2">
        <f t="shared" si="2"/>
        <v>-177173.42000000004</v>
      </c>
      <c r="Y15" s="2"/>
      <c r="Z15" s="19">
        <f t="shared" si="3"/>
        <v>-0.22731738751736913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16341.529999999999</v>
      </c>
      <c r="E17" s="4"/>
      <c r="F17" s="12">
        <f t="shared" ref="F17:F19" si="4">IF(D$12=0,0,D17/D$12)</f>
        <v>0.58271204596219073</v>
      </c>
      <c r="G17" s="4"/>
      <c r="H17" s="4">
        <f>SUM(OSRRefH16x_0)</f>
        <v>-3632.16</v>
      </c>
      <c r="I17" s="4"/>
      <c r="J17" s="12">
        <f t="shared" ref="J17:J19" si="5">IF(H$12=0,0,H17/H$12)</f>
        <v>-1.5860822176225535</v>
      </c>
      <c r="K17" s="4"/>
      <c r="L17" s="4">
        <f t="shared" ref="L17:L19" si="6">+D17-H17</f>
        <v>19973.689999999999</v>
      </c>
      <c r="M17" s="4"/>
      <c r="N17" s="12">
        <f t="shared" ref="N17:N19" si="7">IF(H17=0,0,L17/H17)</f>
        <v>-5.4991217347253425</v>
      </c>
      <c r="O17" s="10"/>
      <c r="P17" s="4">
        <f>SUM(OSRRefP16x_0)</f>
        <v>1166478.57</v>
      </c>
      <c r="Q17" s="4"/>
      <c r="R17" s="12">
        <f t="shared" ref="R17:R19" si="8">IF(P$12=0,0,P17/P$12)</f>
        <v>0.74033950581553876</v>
      </c>
      <c r="S17" s="4"/>
      <c r="T17" s="4">
        <f>SUM(OSRRefT16x_0)</f>
        <v>1519042.9900000002</v>
      </c>
      <c r="U17" s="4"/>
      <c r="V17" s="12">
        <f t="shared" ref="V17:V19" si="9">IF(T$12=0,0,T17/T$12)</f>
        <v>0.73429355135791619</v>
      </c>
      <c r="W17" s="4"/>
      <c r="X17" s="4">
        <f t="shared" ref="X17:X19" si="10">+P17-T17</f>
        <v>-352564.42000000016</v>
      </c>
      <c r="Y17" s="4"/>
      <c r="Z17" s="12">
        <f t="shared" ref="Z17:Z19" si="11">IF(T17=0,0,X17/T17)</f>
        <v>-0.23209640696212297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8050.54</v>
      </c>
      <c r="E18" s="2"/>
      <c r="F18" s="19">
        <f t="shared" si="4"/>
        <v>0.28706899748679932</v>
      </c>
      <c r="G18" s="2"/>
      <c r="H18" s="2">
        <v>-1811.85</v>
      </c>
      <c r="I18" s="2"/>
      <c r="J18" s="19">
        <f t="shared" si="5"/>
        <v>-0.79119396337149894</v>
      </c>
      <c r="K18" s="2"/>
      <c r="L18" s="2">
        <f t="shared" si="6"/>
        <v>9862.39</v>
      </c>
      <c r="M18" s="2"/>
      <c r="N18" s="19">
        <f t="shared" si="7"/>
        <v>-5.4432706901785464</v>
      </c>
      <c r="O18" s="11"/>
      <c r="P18" s="2">
        <v>485272.46</v>
      </c>
      <c r="Q18" s="2"/>
      <c r="R18" s="19">
        <f t="shared" si="8"/>
        <v>0.30799226189152434</v>
      </c>
      <c r="S18" s="2"/>
      <c r="T18" s="2">
        <v>656207.59000000008</v>
      </c>
      <c r="U18" s="2"/>
      <c r="V18" s="19">
        <f t="shared" si="9"/>
        <v>0.31720563859033335</v>
      </c>
      <c r="W18" s="2"/>
      <c r="X18" s="2">
        <f t="shared" si="10"/>
        <v>-170935.13000000006</v>
      </c>
      <c r="Y18" s="2"/>
      <c r="Z18" s="19">
        <f t="shared" si="11"/>
        <v>-0.26048941311392032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8290.99</v>
      </c>
      <c r="E19" s="2"/>
      <c r="F19" s="19">
        <f t="shared" si="4"/>
        <v>0.29564304847539147</v>
      </c>
      <c r="G19" s="2"/>
      <c r="H19" s="2">
        <v>-1820.31</v>
      </c>
      <c r="I19" s="2"/>
      <c r="J19" s="19">
        <f t="shared" si="5"/>
        <v>-0.79488825425105458</v>
      </c>
      <c r="K19" s="2"/>
      <c r="L19" s="2">
        <f t="shared" si="6"/>
        <v>10111.299999999999</v>
      </c>
      <c r="M19" s="2"/>
      <c r="N19" s="19">
        <f t="shared" si="7"/>
        <v>-5.5547132081898134</v>
      </c>
      <c r="O19" s="11"/>
      <c r="P19" s="2">
        <v>681206.11</v>
      </c>
      <c r="Q19" s="2"/>
      <c r="R19" s="19">
        <f t="shared" si="8"/>
        <v>0.43234724392401436</v>
      </c>
      <c r="S19" s="2"/>
      <c r="T19" s="2">
        <v>862835.4</v>
      </c>
      <c r="U19" s="2"/>
      <c r="V19" s="19">
        <f t="shared" si="9"/>
        <v>0.41708791276758272</v>
      </c>
      <c r="W19" s="2"/>
      <c r="X19" s="2">
        <f t="shared" si="10"/>
        <v>-181629.29000000004</v>
      </c>
      <c r="Y19" s="2"/>
      <c r="Z19" s="19">
        <f t="shared" si="11"/>
        <v>-0.21050282591558023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11702.39</v>
      </c>
      <c r="E21" s="14"/>
      <c r="F21" s="20">
        <f>IF(D$12=0,0,D21/D$12)</f>
        <v>0.41728795403780927</v>
      </c>
      <c r="G21" s="14"/>
      <c r="H21" s="21">
        <f>H12-H17</f>
        <v>5922.18</v>
      </c>
      <c r="I21" s="14"/>
      <c r="J21" s="20">
        <f>IF(H$12=0,0,H21/H$12)</f>
        <v>2.5860822176225535</v>
      </c>
      <c r="K21" s="15"/>
      <c r="L21" s="21">
        <f>+D21-H21</f>
        <v>5780.2099999999991</v>
      </c>
      <c r="M21" s="15"/>
      <c r="N21" s="20">
        <f>IF(H21=0,0,L21/H21)</f>
        <v>0.97602740882580385</v>
      </c>
      <c r="O21" s="29"/>
      <c r="P21" s="21">
        <f>P12-P17</f>
        <v>409120.94999999995</v>
      </c>
      <c r="Q21" s="14"/>
      <c r="R21" s="20">
        <f>IF(P$12=0,0,P21/P$12)</f>
        <v>0.25966049418446124</v>
      </c>
      <c r="S21" s="14"/>
      <c r="T21" s="21">
        <f>T12-T17</f>
        <v>549670.52</v>
      </c>
      <c r="U21" s="14"/>
      <c r="V21" s="20">
        <f>IF(T$12=0,0,T21/T$12)</f>
        <v>0.26570644864208381</v>
      </c>
      <c r="W21" s="15"/>
      <c r="X21" s="21">
        <f>+P21-T21</f>
        <v>-140549.57000000007</v>
      </c>
      <c r="Y21" s="15"/>
      <c r="Z21" s="20">
        <f>IF(T21=0,0,X21/T21)</f>
        <v>-0.25569784968639042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SUM(OSRRefD22x_0)</f>
        <v>0</v>
      </c>
      <c r="E23" s="22"/>
      <c r="F23" s="35">
        <f t="shared" ref="F23:F25" si="12">IF(D$12=0,0,D23/D$12)</f>
        <v>0</v>
      </c>
      <c r="G23" s="22"/>
      <c r="H23" s="22">
        <f>SUM(OSRRefH22x_0)</f>
        <v>0</v>
      </c>
      <c r="I23" s="22"/>
      <c r="J23" s="35">
        <f t="shared" ref="J23:J25" si="13">IF(H$12=0,0,H23/H$12)</f>
        <v>0</v>
      </c>
      <c r="K23" s="4"/>
      <c r="L23" s="22">
        <f t="shared" ref="L23:L25" si="14">+D23-H23</f>
        <v>0</v>
      </c>
      <c r="M23" s="4"/>
      <c r="N23" s="35">
        <f t="shared" ref="N23:N25" si="15">IF(H23=0,0,L23/H23)</f>
        <v>0</v>
      </c>
      <c r="O23" s="10"/>
      <c r="P23" s="22">
        <f>SUM(OSRRefP22x_0)</f>
        <v>0</v>
      </c>
      <c r="Q23" s="22"/>
      <c r="R23" s="35">
        <f t="shared" ref="R23:R25" si="16">IF(P$12=0,0,P23/P$12)</f>
        <v>0</v>
      </c>
      <c r="S23" s="22"/>
      <c r="T23" s="22">
        <f>SUM(OSRRefT22x_0)</f>
        <v>90</v>
      </c>
      <c r="U23" s="22"/>
      <c r="V23" s="35">
        <f t="shared" ref="V23:V25" si="17">IF(T$12=0,0,T23/T$12)</f>
        <v>4.3505299097698639E-5</v>
      </c>
      <c r="W23" s="4"/>
      <c r="X23" s="22">
        <f t="shared" ref="X23:X25" si="18">+P23-T23</f>
        <v>-90</v>
      </c>
      <c r="Y23" s="4"/>
      <c r="Z23" s="35">
        <f t="shared" ref="Z23:Z25" si="19">IF(T23=0,0,X23/T23)</f>
        <v>-1</v>
      </c>
    </row>
    <row r="24" spans="1:26" s="25" customFormat="1" outlineLevel="1" collapsed="1" x14ac:dyDescent="0.25">
      <c r="A24" s="26"/>
      <c r="B24" s="13" t="str">
        <f>CONCATENATE("     ","Supplies                                          ")</f>
        <v xml:space="preserve">     Supplies                                          </v>
      </c>
      <c r="C24" s="13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3"/>
      <c r="P24" s="1">
        <f>SUM(OSRRefP22_0x_0)</f>
        <v>0</v>
      </c>
      <c r="Q24" s="1"/>
      <c r="R24" s="5">
        <f t="shared" si="16"/>
        <v>0</v>
      </c>
      <c r="S24" s="1"/>
      <c r="T24" s="1">
        <f>SUM(OSRRefT22_0x_0)</f>
        <v>90</v>
      </c>
      <c r="U24" s="1"/>
      <c r="V24" s="5">
        <f t="shared" si="17"/>
        <v>4.3505299097698639E-5</v>
      </c>
      <c r="W24" s="1"/>
      <c r="X24" s="1">
        <f t="shared" si="18"/>
        <v>-90</v>
      </c>
      <c r="Y24" s="1"/>
      <c r="Z24" s="5">
        <f t="shared" si="19"/>
        <v>-1</v>
      </c>
    </row>
    <row r="25" spans="1:26" s="24" customFormat="1" hidden="1" outlineLevel="2" x14ac:dyDescent="0.25">
      <c r="A25" s="27"/>
      <c r="B25" s="11" t="str">
        <f>CONCATENATE("          ", "6241", " - ", "OFFICE EXPENSE")</f>
        <v xml:space="preserve">          6241 - OFFICE EXPENSE</v>
      </c>
      <c r="C25" s="11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90</v>
      </c>
      <c r="U25" s="2"/>
      <c r="V25" s="7">
        <f t="shared" si="17"/>
        <v>4.3505299097698639E-5</v>
      </c>
      <c r="W25" s="2"/>
      <c r="X25" s="6">
        <f t="shared" si="18"/>
        <v>-90</v>
      </c>
      <c r="Y25" s="2"/>
      <c r="Z25" s="7">
        <f t="shared" si="19"/>
        <v>-1</v>
      </c>
    </row>
    <row r="26" spans="1:26" s="53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0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3</v>
      </c>
      <c r="C29" s="28"/>
      <c r="D29" s="21">
        <f>+D21-D23+D27</f>
        <v>11702.39</v>
      </c>
      <c r="E29" s="14"/>
      <c r="F29" s="20">
        <f>IF(D$12=0,0,D29/D$12)</f>
        <v>0.41728795403780927</v>
      </c>
      <c r="G29" s="14"/>
      <c r="H29" s="21">
        <f>+H21-H23+H27</f>
        <v>5922.18</v>
      </c>
      <c r="I29" s="14"/>
      <c r="J29" s="20">
        <f>IF(H$12=0,0,H29/H$12)</f>
        <v>2.5860822176225535</v>
      </c>
      <c r="K29" s="15"/>
      <c r="L29" s="21">
        <f>+D29-H29</f>
        <v>5780.2099999999991</v>
      </c>
      <c r="M29" s="15"/>
      <c r="N29" s="20">
        <f>IF(H29=0,0,L29/H29)</f>
        <v>0.97602740882580385</v>
      </c>
      <c r="O29" s="29"/>
      <c r="P29" s="21">
        <f>+P21-P23+P27</f>
        <v>409120.94999999995</v>
      </c>
      <c r="Q29" s="14"/>
      <c r="R29" s="20">
        <f>IF(P$12=0,0,P29/P$12)</f>
        <v>0.25966049418446124</v>
      </c>
      <c r="S29" s="14"/>
      <c r="T29" s="21">
        <f>+T21-T23+T27</f>
        <v>549580.52</v>
      </c>
      <c r="U29" s="14"/>
      <c r="V29" s="20">
        <f>IF(T$12=0,0,T29/T$12)</f>
        <v>0.26566294334298612</v>
      </c>
      <c r="W29" s="15"/>
      <c r="X29" s="21">
        <f>+P29-T29</f>
        <v>-140459.57000000007</v>
      </c>
      <c r="Y29" s="15"/>
      <c r="Z29" s="20">
        <f>IF(T29=0,0,X29/T29)</f>
        <v>-0.25557596182630354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13</v>
      </c>
      <c r="C31" s="10"/>
      <c r="D31" s="4">
        <v>13073.72</v>
      </c>
      <c r="E31" s="4"/>
      <c r="F31" s="12">
        <f>IF(D$12=0,0,D31/D$12)</f>
        <v>0.46618732331286067</v>
      </c>
      <c r="G31" s="4"/>
      <c r="H31" s="4">
        <v>2275.8000000000002</v>
      </c>
      <c r="I31" s="4"/>
      <c r="J31" s="12">
        <f>IF(H$12=0,0,H31/H$12)</f>
        <v>0.99379044724500232</v>
      </c>
      <c r="K31" s="4"/>
      <c r="L31" s="4">
        <f>+D31-H31</f>
        <v>10797.919999999998</v>
      </c>
      <c r="M31" s="4"/>
      <c r="N31" s="12">
        <f>IF(H31=0,0,L31/H31)</f>
        <v>4.744670006151682</v>
      </c>
      <c r="O31" s="10"/>
      <c r="P31" s="4">
        <v>178898.05</v>
      </c>
      <c r="Q31" s="4"/>
      <c r="R31" s="12">
        <f>IF(P$12=0,0,P31/P$12)</f>
        <v>0.11354284367895719</v>
      </c>
      <c r="S31" s="4"/>
      <c r="T31" s="4">
        <v>215060.46</v>
      </c>
      <c r="U31" s="4"/>
      <c r="V31" s="12">
        <f>IF(T$12=0,0,T31/T$12)</f>
        <v>0.10395855151542949</v>
      </c>
      <c r="W31" s="4"/>
      <c r="X31" s="4">
        <f>+P31-T31</f>
        <v>-36162.410000000003</v>
      </c>
      <c r="Y31" s="4"/>
      <c r="Z31" s="12">
        <f>IF(T31=0,0,X31/T31)</f>
        <v>-0.16814997047806932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8" t="s">
        <v>4</v>
      </c>
      <c r="C33" s="28"/>
      <c r="D33" s="30">
        <f>+D29-D31</f>
        <v>-1371.33</v>
      </c>
      <c r="E33" s="14"/>
      <c r="F33" s="36">
        <f>IF(D$12=0,0,D33/D$12)</f>
        <v>-4.8899369275051417E-2</v>
      </c>
      <c r="G33" s="14"/>
      <c r="H33" s="30">
        <f>+H29-H31</f>
        <v>3646.38</v>
      </c>
      <c r="I33" s="14"/>
      <c r="J33" s="36">
        <f>IF(H$12=0,0,H33/H$12)</f>
        <v>1.5922917703775514</v>
      </c>
      <c r="K33" s="15"/>
      <c r="L33" s="30">
        <f>D33-H33</f>
        <v>-5017.71</v>
      </c>
      <c r="M33" s="15"/>
      <c r="N33" s="36">
        <f>IF(H33=0,0,L33/H33)</f>
        <v>-1.3760798380859922</v>
      </c>
      <c r="O33" s="29"/>
      <c r="P33" s="30">
        <f>+P29-P31</f>
        <v>230222.89999999997</v>
      </c>
      <c r="Q33" s="14"/>
      <c r="R33" s="36">
        <f>IF(P$12=0,0,P33/P$12)</f>
        <v>0.14611765050550407</v>
      </c>
      <c r="S33" s="14"/>
      <c r="T33" s="30">
        <f>+T29-T31</f>
        <v>334520.06000000006</v>
      </c>
      <c r="U33" s="14"/>
      <c r="V33" s="36">
        <f>IF(T$12=0,0,T33/T$12)</f>
        <v>0.16170439182755664</v>
      </c>
      <c r="W33" s="15"/>
      <c r="X33" s="30">
        <f>P33-T33</f>
        <v>-104297.16000000009</v>
      </c>
      <c r="Y33" s="15"/>
      <c r="Z33" s="36">
        <f>IF(T33=0,0,X33/T33)</f>
        <v>-0.31178148180411086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>
        <f>SUM(D33:D35)</f>
        <v>-1371.33</v>
      </c>
      <c r="E36" s="14"/>
      <c r="F36" s="32">
        <f>IF(D$12=0,0,D36/D$12)</f>
        <v>-4.8899369275051417E-2</v>
      </c>
      <c r="G36" s="14"/>
      <c r="H36" s="31">
        <f>SUM(H33:H35)</f>
        <v>3646.38</v>
      </c>
      <c r="I36" s="14"/>
      <c r="J36" s="32">
        <f>IF(H$12=0,0,H36/H$12)</f>
        <v>1.5922917703775514</v>
      </c>
      <c r="K36" s="15"/>
      <c r="L36" s="31">
        <f>+D36-H36</f>
        <v>-5017.71</v>
      </c>
      <c r="M36" s="15"/>
      <c r="N36" s="32">
        <f>IF(H36=0,0,L36/H36)</f>
        <v>-1.3760798380859922</v>
      </c>
      <c r="O36" s="29"/>
      <c r="P36" s="31">
        <f>SUM(P33:P35)</f>
        <v>230222.89999999997</v>
      </c>
      <c r="Q36" s="14"/>
      <c r="R36" s="32">
        <f>IF(P$12=0,0,P36/P$12)</f>
        <v>0.14611765050550407</v>
      </c>
      <c r="S36" s="14"/>
      <c r="T36" s="31">
        <f>SUM(T33:T35)</f>
        <v>334520.06000000006</v>
      </c>
      <c r="U36" s="14"/>
      <c r="V36" s="32">
        <f>IF(T$12=0,0,T36/T$12)</f>
        <v>0.16170439182755664</v>
      </c>
      <c r="W36" s="15"/>
      <c r="X36" s="31">
        <f>+P36-T36</f>
        <v>-104297.16000000009</v>
      </c>
      <c r="Y36" s="15"/>
      <c r="Z36" s="32">
        <f>IF(T36=0,0,X36/T36)</f>
        <v>-0.31178148180411086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>
        <v>43965.471141469905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s">
        <v>313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124650.43999999997</v>
      </c>
      <c r="E12" s="4"/>
      <c r="F12" s="12"/>
      <c r="G12" s="4"/>
      <c r="H12" s="4">
        <f>SUM(OSRRefH13x_0)</f>
        <v>408494.89999999997</v>
      </c>
      <c r="I12" s="4"/>
      <c r="J12" s="12"/>
      <c r="K12" s="4"/>
      <c r="L12" s="4">
        <f t="shared" ref="L12:L44" si="0">+D12-H12</f>
        <v>-283844.45999999996</v>
      </c>
      <c r="M12" s="4"/>
      <c r="N12" s="12">
        <f t="shared" ref="N12:N44" si="1">IF(H12=0,0,L12/H12)</f>
        <v>-0.6948543543628084</v>
      </c>
      <c r="O12" s="10"/>
      <c r="P12" s="4">
        <f>SUM(OSRRefP13x_0)</f>
        <v>2587978.1400000006</v>
      </c>
      <c r="Q12" s="4"/>
      <c r="R12" s="12"/>
      <c r="S12" s="4"/>
      <c r="T12" s="4">
        <f>SUM(OSRRefT13x_0)</f>
        <v>2976944.2099999995</v>
      </c>
      <c r="U12" s="4"/>
      <c r="V12" s="12"/>
      <c r="W12" s="4"/>
      <c r="X12" s="4">
        <f t="shared" ref="X12:X44" si="2">+P12-T12</f>
        <v>-388966.0699999989</v>
      </c>
      <c r="Y12" s="4"/>
      <c r="Z12" s="12">
        <f t="shared" ref="Z12:Z44" si="3">IF(T12=0,0,X12/T12)</f>
        <v>-0.13065950940343588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7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>
        <f>--17.06</f>
        <v>17.059999999999999</v>
      </c>
      <c r="I15" s="2"/>
      <c r="J15" s="19"/>
      <c r="K15" s="2"/>
      <c r="L15" s="2">
        <f t="shared" si="0"/>
        <v>-17.059999999999999</v>
      </c>
      <c r="M15" s="2"/>
      <c r="N15" s="19">
        <f t="shared" si="1"/>
        <v>-1</v>
      </c>
      <c r="O15" s="11"/>
      <c r="P15" s="2">
        <f>--229.51</f>
        <v>229.51</v>
      </c>
      <c r="Q15" s="2"/>
      <c r="R15" s="19"/>
      <c r="S15" s="2"/>
      <c r="T15" s="2">
        <f>--450.94</f>
        <v>450.94</v>
      </c>
      <c r="U15" s="2"/>
      <c r="V15" s="19"/>
      <c r="W15" s="2"/>
      <c r="X15" s="2">
        <f t="shared" si="2"/>
        <v>-221.43</v>
      </c>
      <c r="Y15" s="2"/>
      <c r="Z15" s="19">
        <f t="shared" si="3"/>
        <v>-0.49104093670998361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--67974.91</f>
        <v>67974.91</v>
      </c>
      <c r="E18" s="2"/>
      <c r="F18" s="19"/>
      <c r="G18" s="2"/>
      <c r="H18" s="2">
        <f>--278547.01</f>
        <v>278547.01</v>
      </c>
      <c r="I18" s="2"/>
      <c r="J18" s="19"/>
      <c r="K18" s="2"/>
      <c r="L18" s="2">
        <f t="shared" si="0"/>
        <v>-210572.1</v>
      </c>
      <c r="M18" s="2"/>
      <c r="N18" s="19">
        <f t="shared" si="1"/>
        <v>-0.75596611142944958</v>
      </c>
      <c r="O18" s="11"/>
      <c r="P18" s="2">
        <f>--1844103.4</f>
        <v>1844103.4</v>
      </c>
      <c r="Q18" s="2"/>
      <c r="R18" s="19"/>
      <c r="S18" s="2"/>
      <c r="T18" s="2">
        <f>--2128410.88</f>
        <v>2128410.88</v>
      </c>
      <c r="U18" s="2"/>
      <c r="V18" s="19"/>
      <c r="W18" s="2"/>
      <c r="X18" s="2">
        <f t="shared" si="2"/>
        <v>-284307.48</v>
      </c>
      <c r="Y18" s="2"/>
      <c r="Z18" s="19">
        <f t="shared" si="3"/>
        <v>-0.13357734762190276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--14090.87</f>
        <v>14090.87</v>
      </c>
      <c r="E19" s="2"/>
      <c r="F19" s="19"/>
      <c r="G19" s="2"/>
      <c r="H19" s="2">
        <f>--56557.99</f>
        <v>56557.99</v>
      </c>
      <c r="I19" s="2"/>
      <c r="J19" s="19"/>
      <c r="K19" s="2"/>
      <c r="L19" s="2">
        <f t="shared" si="0"/>
        <v>-42467.119999999995</v>
      </c>
      <c r="M19" s="2"/>
      <c r="N19" s="19">
        <f t="shared" si="1"/>
        <v>-0.75085978126167496</v>
      </c>
      <c r="O19" s="11"/>
      <c r="P19" s="2">
        <f>--306431.84</f>
        <v>306431.84000000003</v>
      </c>
      <c r="Q19" s="2"/>
      <c r="R19" s="19"/>
      <c r="S19" s="2"/>
      <c r="T19" s="2">
        <f>--470292.04</f>
        <v>470292.04</v>
      </c>
      <c r="U19" s="2"/>
      <c r="V19" s="19"/>
      <c r="W19" s="2"/>
      <c r="X19" s="2">
        <f t="shared" si="2"/>
        <v>-163860.19999999995</v>
      </c>
      <c r="Y19" s="2"/>
      <c r="Z19" s="19">
        <f t="shared" si="3"/>
        <v>-0.34842222717611798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--1459.57</f>
        <v>1459.57</v>
      </c>
      <c r="E20" s="2"/>
      <c r="F20" s="19"/>
      <c r="G20" s="2"/>
      <c r="H20" s="2">
        <f>--28055.74</f>
        <v>28055.74</v>
      </c>
      <c r="I20" s="2"/>
      <c r="J20" s="19"/>
      <c r="K20" s="2"/>
      <c r="L20" s="2">
        <f t="shared" si="0"/>
        <v>-26596.170000000002</v>
      </c>
      <c r="M20" s="2"/>
      <c r="N20" s="19">
        <f t="shared" si="1"/>
        <v>-0.94797606479101959</v>
      </c>
      <c r="O20" s="11"/>
      <c r="P20" s="2">
        <f>--204271.87</f>
        <v>204271.87</v>
      </c>
      <c r="Q20" s="2"/>
      <c r="R20" s="19"/>
      <c r="S20" s="2"/>
      <c r="T20" s="2">
        <f>--204765.88</f>
        <v>204765.88</v>
      </c>
      <c r="U20" s="2"/>
      <c r="V20" s="19"/>
      <c r="W20" s="2"/>
      <c r="X20" s="2">
        <f t="shared" si="2"/>
        <v>-494.01000000000931</v>
      </c>
      <c r="Y20" s="2"/>
      <c r="Z20" s="19">
        <f t="shared" si="3"/>
        <v>-2.4125601394138969E-3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0</f>
        <v>0</v>
      </c>
      <c r="E21" s="2"/>
      <c r="F21" s="19"/>
      <c r="G21" s="2"/>
      <c r="H21" s="2">
        <f>--313.43</f>
        <v>313.43</v>
      </c>
      <c r="I21" s="2"/>
      <c r="J21" s="19"/>
      <c r="K21" s="2"/>
      <c r="L21" s="2">
        <f t="shared" si="0"/>
        <v>-313.43</v>
      </c>
      <c r="M21" s="2"/>
      <c r="N21" s="19">
        <f t="shared" si="1"/>
        <v>-1</v>
      </c>
      <c r="O21" s="11"/>
      <c r="P21" s="2">
        <f>--76297.51</f>
        <v>76297.509999999995</v>
      </c>
      <c r="Q21" s="2"/>
      <c r="R21" s="19"/>
      <c r="S21" s="2"/>
      <c r="T21" s="2">
        <f>--2723.16</f>
        <v>2723.16</v>
      </c>
      <c r="U21" s="2"/>
      <c r="V21" s="19"/>
      <c r="W21" s="2"/>
      <c r="X21" s="2">
        <f t="shared" si="2"/>
        <v>73574.349999999991</v>
      </c>
      <c r="Y21" s="2"/>
      <c r="Z21" s="19">
        <f t="shared" si="3"/>
        <v>27.018004817932106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--673.79</f>
        <v>673.79</v>
      </c>
      <c r="E22" s="2"/>
      <c r="F22" s="19"/>
      <c r="G22" s="2"/>
      <c r="H22" s="2">
        <f>--4813.14</f>
        <v>4813.1400000000003</v>
      </c>
      <c r="I22" s="2"/>
      <c r="J22" s="19"/>
      <c r="K22" s="2"/>
      <c r="L22" s="2">
        <f t="shared" si="0"/>
        <v>-4139.3500000000004</v>
      </c>
      <c r="M22" s="2"/>
      <c r="N22" s="19">
        <f t="shared" si="1"/>
        <v>-0.86001030512305898</v>
      </c>
      <c r="O22" s="11"/>
      <c r="P22" s="2">
        <f>--66925.84</f>
        <v>66925.84</v>
      </c>
      <c r="Q22" s="2"/>
      <c r="R22" s="19"/>
      <c r="S22" s="2"/>
      <c r="T22" s="2">
        <f>--80200.37</f>
        <v>80200.37</v>
      </c>
      <c r="U22" s="2"/>
      <c r="V22" s="19"/>
      <c r="W22" s="2"/>
      <c r="X22" s="2">
        <f t="shared" si="2"/>
        <v>-13274.529999999999</v>
      </c>
      <c r="Y22" s="2"/>
      <c r="Z22" s="19">
        <f t="shared" si="3"/>
        <v>-0.16551706681652464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>--8913.15</f>
        <v>8913.15</v>
      </c>
      <c r="E23" s="2"/>
      <c r="F23" s="19"/>
      <c r="G23" s="2"/>
      <c r="H23" s="2">
        <f>--37220.65</f>
        <v>37220.65</v>
      </c>
      <c r="I23" s="2"/>
      <c r="J23" s="19"/>
      <c r="K23" s="2"/>
      <c r="L23" s="2">
        <f t="shared" si="0"/>
        <v>-28307.5</v>
      </c>
      <c r="M23" s="2"/>
      <c r="N23" s="19">
        <f t="shared" si="1"/>
        <v>-0.76053212396881831</v>
      </c>
      <c r="O23" s="11"/>
      <c r="P23" s="2">
        <f>--83313.97</f>
        <v>83313.97</v>
      </c>
      <c r="Q23" s="2"/>
      <c r="R23" s="19"/>
      <c r="S23" s="2"/>
      <c r="T23" s="2">
        <f>--132369.49</f>
        <v>132369.49</v>
      </c>
      <c r="U23" s="2"/>
      <c r="V23" s="19"/>
      <c r="W23" s="2"/>
      <c r="X23" s="2">
        <f t="shared" si="2"/>
        <v>-49055.51999999999</v>
      </c>
      <c r="Y23" s="2"/>
      <c r="Z23" s="19">
        <f t="shared" si="3"/>
        <v>-0.3705953690688088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ref="D24:D26" si="7"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--5</f>
        <v>5</v>
      </c>
      <c r="U24" s="2"/>
      <c r="V24" s="19"/>
      <c r="W24" s="2"/>
      <c r="X24" s="2">
        <f t="shared" si="2"/>
        <v>-44.95</v>
      </c>
      <c r="Y24" s="2"/>
      <c r="Z24" s="19">
        <f t="shared" si="3"/>
        <v>-8.99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7"/>
        <v>0</v>
      </c>
      <c r="E25" s="2"/>
      <c r="F25" s="19"/>
      <c r="G25" s="2"/>
      <c r="H25" s="2">
        <f>--0.99</f>
        <v>0.99</v>
      </c>
      <c r="I25" s="2"/>
      <c r="J25" s="19"/>
      <c r="K25" s="2"/>
      <c r="L25" s="2">
        <f t="shared" si="0"/>
        <v>-0.99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--36.63</f>
        <v>36.630000000000003</v>
      </c>
      <c r="U25" s="2"/>
      <c r="V25" s="19"/>
      <c r="W25" s="2"/>
      <c r="X25" s="2">
        <f t="shared" si="2"/>
        <v>-6.9300000000000033</v>
      </c>
      <c r="Y25" s="2"/>
      <c r="Z25" s="19">
        <f t="shared" si="3"/>
        <v>-0.18918918918918926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 t="shared" si="7"/>
        <v>0</v>
      </c>
      <c r="E26" s="2"/>
      <c r="F26" s="19"/>
      <c r="G26" s="2"/>
      <c r="H26" s="2">
        <f>--15</f>
        <v>15</v>
      </c>
      <c r="I26" s="2"/>
      <c r="J26" s="19"/>
      <c r="K26" s="2"/>
      <c r="L26" s="2">
        <f t="shared" si="0"/>
        <v>-15</v>
      </c>
      <c r="M26" s="2"/>
      <c r="N26" s="19">
        <f t="shared" si="1"/>
        <v>-1</v>
      </c>
      <c r="O26" s="11"/>
      <c r="P26" s="2">
        <f>--123</f>
        <v>123</v>
      </c>
      <c r="Q26" s="2"/>
      <c r="R26" s="19"/>
      <c r="S26" s="2"/>
      <c r="T26" s="2">
        <f>--106.5</f>
        <v>106.5</v>
      </c>
      <c r="U26" s="2"/>
      <c r="V26" s="19"/>
      <c r="W26" s="2"/>
      <c r="X26" s="2">
        <f t="shared" si="2"/>
        <v>16.5</v>
      </c>
      <c r="Y26" s="2"/>
      <c r="Z26" s="19">
        <f t="shared" si="3"/>
        <v>0.15492957746478872</v>
      </c>
    </row>
    <row r="27" spans="1:26" s="24" customFormat="1" hidden="1" outlineLevel="1" x14ac:dyDescent="0.25">
      <c r="A27" s="44"/>
      <c r="B27" s="11" t="str">
        <f>CONCATENATE("          ", "4140", " - ", "NON-TAXABLE SALES-LOGO CLOTHIN")</f>
        <v xml:space="preserve">          4140 - NON-TAXABLE SALES-LOGO CLOTHIN</v>
      </c>
      <c r="C27" s="11"/>
      <c r="D27" s="2">
        <f>--30875.73</f>
        <v>30875.73</v>
      </c>
      <c r="E27" s="2"/>
      <c r="F27" s="19"/>
      <c r="G27" s="2"/>
      <c r="H27" s="2">
        <f>--11589.38</f>
        <v>11589.38</v>
      </c>
      <c r="I27" s="2"/>
      <c r="J27" s="19"/>
      <c r="K27" s="2"/>
      <c r="L27" s="2">
        <f t="shared" si="0"/>
        <v>19286.349999999999</v>
      </c>
      <c r="M27" s="2"/>
      <c r="N27" s="19">
        <f t="shared" si="1"/>
        <v>1.6641399281065941</v>
      </c>
      <c r="O27" s="11"/>
      <c r="P27" s="2">
        <f>--78924.71</f>
        <v>78924.710000000006</v>
      </c>
      <c r="Q27" s="2"/>
      <c r="R27" s="19"/>
      <c r="S27" s="2"/>
      <c r="T27" s="2">
        <f>--47255.77</f>
        <v>47255.77</v>
      </c>
      <c r="U27" s="2"/>
      <c r="V27" s="19"/>
      <c r="W27" s="2"/>
      <c r="X27" s="2">
        <f t="shared" si="2"/>
        <v>31668.94000000001</v>
      </c>
      <c r="Y27" s="2"/>
      <c r="Z27" s="19">
        <f t="shared" si="3"/>
        <v>0.67016027884002338</v>
      </c>
    </row>
    <row r="28" spans="1:26" s="24" customFormat="1" hidden="1" outlineLevel="1" x14ac:dyDescent="0.25">
      <c r="A28" s="44"/>
      <c r="B28" s="11" t="str">
        <f>CONCATENATE("          ", "4141", " - ", "NON-TAXABLE SALES-LOGO GIFTS")</f>
        <v xml:space="preserve">          4141 - NON-TAXABLE SALES-LOGO GIFTS</v>
      </c>
      <c r="C28" s="11"/>
      <c r="D28" s="2">
        <f>--1860.77</f>
        <v>1860.77</v>
      </c>
      <c r="E28" s="2"/>
      <c r="F28" s="19"/>
      <c r="G28" s="2"/>
      <c r="H28" s="2">
        <f>--727.75</f>
        <v>727.75</v>
      </c>
      <c r="I28" s="2"/>
      <c r="J28" s="19"/>
      <c r="K28" s="2"/>
      <c r="L28" s="2">
        <f t="shared" si="0"/>
        <v>1133.02</v>
      </c>
      <c r="M28" s="2"/>
      <c r="N28" s="19">
        <f t="shared" si="1"/>
        <v>1.5568807969769838</v>
      </c>
      <c r="O28" s="11"/>
      <c r="P28" s="2">
        <f>--11910.73</f>
        <v>11910.73</v>
      </c>
      <c r="Q28" s="2"/>
      <c r="R28" s="19"/>
      <c r="S28" s="2"/>
      <c r="T28" s="2">
        <f>--4077.03</f>
        <v>4077.03</v>
      </c>
      <c r="U28" s="2"/>
      <c r="V28" s="19"/>
      <c r="W28" s="2"/>
      <c r="X28" s="2">
        <f t="shared" si="2"/>
        <v>7833.6999999999989</v>
      </c>
      <c r="Y28" s="2"/>
      <c r="Z28" s="19">
        <f t="shared" si="3"/>
        <v>1.921423192863432</v>
      </c>
    </row>
    <row r="29" spans="1:26" s="24" customFormat="1" hidden="1" outlineLevel="1" x14ac:dyDescent="0.25">
      <c r="A29" s="44"/>
      <c r="B29" s="11" t="str">
        <f>CONCATENATE("          ", "4142", " - ", "NON-TAXABLE SALES-EVERYDAY GIF")</f>
        <v xml:space="preserve">          4142 - NON-TAXABLE SALES-EVERYDAY GIF</v>
      </c>
      <c r="C29" s="11"/>
      <c r="D29" s="2">
        <f>--386.65</f>
        <v>386.65</v>
      </c>
      <c r="E29" s="2"/>
      <c r="F29" s="19"/>
      <c r="G29" s="2"/>
      <c r="H29" s="2">
        <f>--796.88</f>
        <v>796.88</v>
      </c>
      <c r="I29" s="2"/>
      <c r="J29" s="19"/>
      <c r="K29" s="2"/>
      <c r="L29" s="2">
        <f t="shared" si="0"/>
        <v>-410.23</v>
      </c>
      <c r="M29" s="2"/>
      <c r="N29" s="19">
        <f t="shared" si="1"/>
        <v>-0.51479520128501155</v>
      </c>
      <c r="O29" s="11"/>
      <c r="P29" s="2">
        <f>--5204.06</f>
        <v>5204.0600000000004</v>
      </c>
      <c r="Q29" s="2"/>
      <c r="R29" s="19"/>
      <c r="S29" s="2"/>
      <c r="T29" s="2">
        <f>--6901.19</f>
        <v>6901.19</v>
      </c>
      <c r="U29" s="2"/>
      <c r="V29" s="19"/>
      <c r="W29" s="2"/>
      <c r="X29" s="2">
        <f t="shared" si="2"/>
        <v>-1697.1299999999992</v>
      </c>
      <c r="Y29" s="2"/>
      <c r="Z29" s="19">
        <f t="shared" si="3"/>
        <v>-0.24591845754138045</v>
      </c>
    </row>
    <row r="30" spans="1:26" s="24" customFormat="1" hidden="1" outlineLevel="1" x14ac:dyDescent="0.25">
      <c r="A30" s="44"/>
      <c r="B30" s="11" t="str">
        <f>CONCATENATE("          ", "4143", " - ", "NON-TAXABLE SALES-CARDS")</f>
        <v xml:space="preserve">          4143 - NON-TAXABLE SALES-CARDS</v>
      </c>
      <c r="C30" s="11"/>
      <c r="D30" s="2">
        <f>-9.99</f>
        <v>-9.99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-9.99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0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"4144", " - ", "NON-TAXABLE SALES-ACCESSORIES")</f>
        <v xml:space="preserve">          4144 - NON-TAXABLE SALES-ACCESSORIES</v>
      </c>
      <c r="C31" s="11"/>
      <c r="D31" s="2">
        <f>--299.4</f>
        <v>299.39999999999998</v>
      </c>
      <c r="E31" s="2"/>
      <c r="F31" s="19"/>
      <c r="G31" s="2"/>
      <c r="H31" s="2">
        <f>--74.8</f>
        <v>74.8</v>
      </c>
      <c r="I31" s="2"/>
      <c r="J31" s="19"/>
      <c r="K31" s="2"/>
      <c r="L31" s="2">
        <f t="shared" si="0"/>
        <v>224.59999999999997</v>
      </c>
      <c r="M31" s="2"/>
      <c r="N31" s="19">
        <f t="shared" si="1"/>
        <v>3.0026737967914436</v>
      </c>
      <c r="O31" s="11"/>
      <c r="P31" s="2">
        <f>--2339.67</f>
        <v>2339.67</v>
      </c>
      <c r="Q31" s="2"/>
      <c r="R31" s="19"/>
      <c r="S31" s="2"/>
      <c r="T31" s="2">
        <f>--580.04</f>
        <v>580.04</v>
      </c>
      <c r="U31" s="2"/>
      <c r="V31" s="19"/>
      <c r="W31" s="2"/>
      <c r="X31" s="2">
        <f t="shared" si="2"/>
        <v>1759.63</v>
      </c>
      <c r="Y31" s="2"/>
      <c r="Z31" s="19">
        <f t="shared" si="3"/>
        <v>3.0336356113371497</v>
      </c>
    </row>
    <row r="32" spans="1:26" s="24" customFormat="1" hidden="1" outlineLevel="1" x14ac:dyDescent="0.25">
      <c r="A32" s="44"/>
      <c r="B32" s="11" t="str">
        <f>CONCATENATE("          ", "4145", " - ", "NON-TAXABLE SALES-SPECIAL ORDE")</f>
        <v xml:space="preserve">          4145 - NON-TAXABLE SALES-SPECIAL ORDE</v>
      </c>
      <c r="C32" s="11"/>
      <c r="D32" s="2">
        <f t="shared" ref="D32:D34" si="8">0</f>
        <v>0</v>
      </c>
      <c r="E32" s="2"/>
      <c r="F32" s="19"/>
      <c r="G32" s="2"/>
      <c r="H32" s="2">
        <f>--29.95</f>
        <v>29.95</v>
      </c>
      <c r="I32" s="2"/>
      <c r="J32" s="19"/>
      <c r="K32" s="2"/>
      <c r="L32" s="2">
        <f t="shared" si="0"/>
        <v>-29.95</v>
      </c>
      <c r="M32" s="2"/>
      <c r="N32" s="19">
        <f t="shared" si="1"/>
        <v>-1</v>
      </c>
      <c r="O32" s="11"/>
      <c r="P32" s="2">
        <f>--140</f>
        <v>140</v>
      </c>
      <c r="Q32" s="2"/>
      <c r="R32" s="19"/>
      <c r="S32" s="2"/>
      <c r="T32" s="2">
        <f>--1950.95</f>
        <v>1950.95</v>
      </c>
      <c r="U32" s="2"/>
      <c r="V32" s="19"/>
      <c r="W32" s="2"/>
      <c r="X32" s="2">
        <f t="shared" si="2"/>
        <v>-1810.95</v>
      </c>
      <c r="Y32" s="2"/>
      <c r="Z32" s="19">
        <f t="shared" si="3"/>
        <v>-0.9282400881621774</v>
      </c>
    </row>
    <row r="33" spans="1:26" s="24" customFormat="1" hidden="1" outlineLevel="1" x14ac:dyDescent="0.25">
      <c r="A33" s="44"/>
      <c r="B33" s="11" t="str">
        <f>CONCATENATE("          ", "4226", " - ", "SALES RETURN TAXABLE-WRITING I")</f>
        <v xml:space="preserve">          4226 - SALES RETURN TAXABLE-WRITING I</v>
      </c>
      <c r="C33" s="11"/>
      <c r="D33" s="2">
        <f t="shared" si="8"/>
        <v>0</v>
      </c>
      <c r="E33" s="2"/>
      <c r="F33" s="19"/>
      <c r="G33" s="2"/>
      <c r="H33" s="2">
        <f t="shared" ref="H33:H34" si="9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-134.8</f>
        <v>-134.80000000000001</v>
      </c>
      <c r="Q33" s="2"/>
      <c r="R33" s="19"/>
      <c r="S33" s="2"/>
      <c r="T33" s="2">
        <f>-5.07</f>
        <v>-5.07</v>
      </c>
      <c r="U33" s="2"/>
      <c r="V33" s="19"/>
      <c r="W33" s="2"/>
      <c r="X33" s="2">
        <f t="shared" si="2"/>
        <v>-129.73000000000002</v>
      </c>
      <c r="Y33" s="2"/>
      <c r="Z33" s="19">
        <f t="shared" si="3"/>
        <v>25.587771203155821</v>
      </c>
    </row>
    <row r="34" spans="1:26" s="24" customFormat="1" hidden="1" outlineLevel="1" x14ac:dyDescent="0.25">
      <c r="A34" s="44"/>
      <c r="B34" s="11" t="str">
        <f>CONCATENATE("          ", "4227", " - ", "SALES RETURN TAXABLE-SCHOOL SU")</f>
        <v xml:space="preserve">          4227 - SALES RETURN TAXABLE-SCHOOL SU</v>
      </c>
      <c r="C34" s="11"/>
      <c r="D34" s="2">
        <f t="shared" si="8"/>
        <v>0</v>
      </c>
      <c r="E34" s="2"/>
      <c r="F34" s="19"/>
      <c r="G34" s="2"/>
      <c r="H34" s="2">
        <f t="shared" si="9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-4.99</f>
        <v>-4.99</v>
      </c>
      <c r="U34" s="2"/>
      <c r="V34" s="19"/>
      <c r="W34" s="2"/>
      <c r="X34" s="2">
        <f t="shared" si="2"/>
        <v>4.99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"4240", " - ", "SALES RETURN TAXABLE-LOGO CLOT")</f>
        <v xml:space="preserve">          4240 - SALES RETURN TAXABLE-LOGO CLOT</v>
      </c>
      <c r="C35" s="11"/>
      <c r="D35" s="2">
        <f>-1642.96</f>
        <v>-1642.96</v>
      </c>
      <c r="E35" s="2"/>
      <c r="F35" s="19"/>
      <c r="G35" s="2"/>
      <c r="H35" s="2">
        <f>-7874.77</f>
        <v>-7874.77</v>
      </c>
      <c r="I35" s="2"/>
      <c r="J35" s="19"/>
      <c r="K35" s="2"/>
      <c r="L35" s="2">
        <f t="shared" si="0"/>
        <v>6231.81</v>
      </c>
      <c r="M35" s="2"/>
      <c r="N35" s="19">
        <f t="shared" si="1"/>
        <v>-0.79136406523619107</v>
      </c>
      <c r="O35" s="11"/>
      <c r="P35" s="2">
        <f>-74455.19</f>
        <v>-74455.19</v>
      </c>
      <c r="Q35" s="2"/>
      <c r="R35" s="19"/>
      <c r="S35" s="2"/>
      <c r="T35" s="2">
        <f>-83871.12</f>
        <v>-83871.12</v>
      </c>
      <c r="U35" s="2"/>
      <c r="V35" s="19"/>
      <c r="W35" s="2"/>
      <c r="X35" s="2">
        <f t="shared" si="2"/>
        <v>9415.929999999993</v>
      </c>
      <c r="Y35" s="2"/>
      <c r="Z35" s="19">
        <f t="shared" si="3"/>
        <v>-0.11226665388515134</v>
      </c>
    </row>
    <row r="36" spans="1:26" s="24" customFormat="1" hidden="1" outlineLevel="1" x14ac:dyDescent="0.25">
      <c r="A36" s="44"/>
      <c r="B36" s="11" t="str">
        <f>CONCATENATE("          ", "4241", " - ", "SALES RETURN TAXABLE-LOGO GIFT")</f>
        <v xml:space="preserve">          4241 - SALES RETURN TAXABLE-LOGO GIFT</v>
      </c>
      <c r="C36" s="11"/>
      <c r="D36" s="2">
        <f>-190.5</f>
        <v>-190.5</v>
      </c>
      <c r="E36" s="2"/>
      <c r="F36" s="19"/>
      <c r="G36" s="2"/>
      <c r="H36" s="2">
        <f>-728.13</f>
        <v>-728.13</v>
      </c>
      <c r="I36" s="2"/>
      <c r="J36" s="19"/>
      <c r="K36" s="2"/>
      <c r="L36" s="2">
        <f t="shared" si="0"/>
        <v>537.63</v>
      </c>
      <c r="M36" s="2"/>
      <c r="N36" s="19">
        <f t="shared" si="1"/>
        <v>-0.73837089530715672</v>
      </c>
      <c r="O36" s="11"/>
      <c r="P36" s="2">
        <f>-5272.48</f>
        <v>-5272.48</v>
      </c>
      <c r="Q36" s="2"/>
      <c r="R36" s="19"/>
      <c r="S36" s="2"/>
      <c r="T36" s="2">
        <f>-9668</f>
        <v>-9668</v>
      </c>
      <c r="U36" s="2"/>
      <c r="V36" s="19"/>
      <c r="W36" s="2"/>
      <c r="X36" s="2">
        <f t="shared" si="2"/>
        <v>4395.5200000000004</v>
      </c>
      <c r="Y36" s="2"/>
      <c r="Z36" s="19">
        <f t="shared" si="3"/>
        <v>-0.45464625568887057</v>
      </c>
    </row>
    <row r="37" spans="1:26" s="24" customFormat="1" hidden="1" outlineLevel="1" x14ac:dyDescent="0.25">
      <c r="A37" s="44"/>
      <c r="B37" s="11" t="str">
        <f>CONCATENATE("          ", "4242", " - ", "SALES RETURN TAXABLE-EVERYDAY")</f>
        <v xml:space="preserve">          4242 - SALES RETURN TAXABLE-EVERYDAY</v>
      </c>
      <c r="C37" s="11"/>
      <c r="D37" s="2">
        <f>-3</f>
        <v>-3</v>
      </c>
      <c r="E37" s="2"/>
      <c r="F37" s="19"/>
      <c r="G37" s="2"/>
      <c r="H37" s="2">
        <f>-832.72</f>
        <v>-832.72</v>
      </c>
      <c r="I37" s="2"/>
      <c r="J37" s="19"/>
      <c r="K37" s="2"/>
      <c r="L37" s="2">
        <f t="shared" si="0"/>
        <v>829.72</v>
      </c>
      <c r="M37" s="2"/>
      <c r="N37" s="19">
        <f t="shared" si="1"/>
        <v>-0.99639734844845806</v>
      </c>
      <c r="O37" s="11"/>
      <c r="P37" s="2">
        <f>-3953.71</f>
        <v>-3953.71</v>
      </c>
      <c r="Q37" s="2"/>
      <c r="R37" s="19"/>
      <c r="S37" s="2"/>
      <c r="T37" s="2">
        <f>-4239.18</f>
        <v>-4239.18</v>
      </c>
      <c r="U37" s="2"/>
      <c r="V37" s="19"/>
      <c r="W37" s="2"/>
      <c r="X37" s="2">
        <f t="shared" si="2"/>
        <v>285.47000000000025</v>
      </c>
      <c r="Y37" s="2"/>
      <c r="Z37" s="19">
        <f t="shared" si="3"/>
        <v>-6.734085365565988E-2</v>
      </c>
    </row>
    <row r="38" spans="1:26" s="24" customFormat="1" hidden="1" outlineLevel="1" x14ac:dyDescent="0.25">
      <c r="A38" s="44"/>
      <c r="B38" s="11" t="str">
        <f>CONCATENATE("          ", "4243", " - ", "SALES RETURN TAXABLE-CARDS")</f>
        <v xml:space="preserve">          4243 - SALES RETURN TAXABLE-CARDS</v>
      </c>
      <c r="C38" s="11"/>
      <c r="D38" s="2">
        <f>-13</f>
        <v>-13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-13</v>
      </c>
      <c r="M38" s="2"/>
      <c r="N38" s="19">
        <f t="shared" si="1"/>
        <v>0</v>
      </c>
      <c r="O38" s="11"/>
      <c r="P38" s="2">
        <f>-3006.31</f>
        <v>-3006.31</v>
      </c>
      <c r="Q38" s="2"/>
      <c r="R38" s="19"/>
      <c r="S38" s="2"/>
      <c r="T38" s="2">
        <f>-25.94</f>
        <v>-25.94</v>
      </c>
      <c r="U38" s="2"/>
      <c r="V38" s="19"/>
      <c r="W38" s="2"/>
      <c r="X38" s="2">
        <f t="shared" si="2"/>
        <v>-2980.37</v>
      </c>
      <c r="Y38" s="2"/>
      <c r="Z38" s="19">
        <f t="shared" si="3"/>
        <v>114.89475713184271</v>
      </c>
    </row>
    <row r="39" spans="1:26" s="24" customFormat="1" hidden="1" outlineLevel="1" x14ac:dyDescent="0.25">
      <c r="A39" s="44"/>
      <c r="B39" s="11" t="str">
        <f>CONCATENATE("          ", "4244", " - ", "SALES RETURN TAXABLE-ACCESSORI")</f>
        <v xml:space="preserve">          4244 - SALES RETURN TAXABLE-ACCESSORI</v>
      </c>
      <c r="C39" s="11"/>
      <c r="D39" s="2">
        <f t="shared" ref="D39:D41" si="10">0</f>
        <v>0</v>
      </c>
      <c r="E39" s="2"/>
      <c r="F39" s="19"/>
      <c r="G39" s="2"/>
      <c r="H39" s="2">
        <f>-174.65</f>
        <v>-174.65</v>
      </c>
      <c r="I39" s="2"/>
      <c r="J39" s="19"/>
      <c r="K39" s="2"/>
      <c r="L39" s="2">
        <f t="shared" si="0"/>
        <v>174.65</v>
      </c>
      <c r="M39" s="2"/>
      <c r="N39" s="19">
        <f t="shared" si="1"/>
        <v>-1</v>
      </c>
      <c r="O39" s="11"/>
      <c r="P39" s="2">
        <f>-2470.7</f>
        <v>-2470.6999999999998</v>
      </c>
      <c r="Q39" s="2"/>
      <c r="R39" s="19"/>
      <c r="S39" s="2"/>
      <c r="T39" s="2">
        <f>-3829.22</f>
        <v>-3829.22</v>
      </c>
      <c r="U39" s="2"/>
      <c r="V39" s="19"/>
      <c r="W39" s="2"/>
      <c r="X39" s="2">
        <f t="shared" si="2"/>
        <v>1358.52</v>
      </c>
      <c r="Y39" s="2"/>
      <c r="Z39" s="19">
        <f t="shared" si="3"/>
        <v>-0.35477721311389787</v>
      </c>
    </row>
    <row r="40" spans="1:26" s="24" customFormat="1" hidden="1" outlineLevel="1" x14ac:dyDescent="0.25">
      <c r="A40" s="44"/>
      <c r="B40" s="11" t="str">
        <f>CONCATENATE("          ", "4245", " - ", "SALES RETURN TAXABLE-SPECIAL O")</f>
        <v xml:space="preserve">          4245 - SALES RETURN TAXABLE-SPECIAL O</v>
      </c>
      <c r="C40" s="11"/>
      <c r="D40" s="2">
        <f t="shared" si="10"/>
        <v>0</v>
      </c>
      <c r="E40" s="2"/>
      <c r="F40" s="19"/>
      <c r="G40" s="2"/>
      <c r="H40" s="2">
        <f>-504</f>
        <v>-504</v>
      </c>
      <c r="I40" s="2"/>
      <c r="J40" s="19"/>
      <c r="K40" s="2"/>
      <c r="L40" s="2">
        <f t="shared" si="0"/>
        <v>504</v>
      </c>
      <c r="M40" s="2"/>
      <c r="N40" s="19">
        <f t="shared" si="1"/>
        <v>-1</v>
      </c>
      <c r="O40" s="11"/>
      <c r="P40" s="2">
        <f>-1735.03</f>
        <v>-1735.03</v>
      </c>
      <c r="Q40" s="2"/>
      <c r="R40" s="19"/>
      <c r="S40" s="2"/>
      <c r="T40" s="2">
        <f>-751.92</f>
        <v>-751.92</v>
      </c>
      <c r="U40" s="2"/>
      <c r="V40" s="19"/>
      <c r="W40" s="2"/>
      <c r="X40" s="2">
        <f t="shared" si="2"/>
        <v>-983.11</v>
      </c>
      <c r="Y40" s="2"/>
      <c r="Z40" s="19">
        <f t="shared" si="3"/>
        <v>1.3074662198106182</v>
      </c>
    </row>
    <row r="41" spans="1:26" s="24" customFormat="1" hidden="1" outlineLevel="1" x14ac:dyDescent="0.25">
      <c r="A41" s="44"/>
      <c r="B41" s="11" t="str">
        <f>CONCATENATE("          ", "4295", " - ", "SALES RETURN TAXABLE-CUSTOMER")</f>
        <v xml:space="preserve">          4295 - SALES RETURN TAXABLE-CUSTOMER</v>
      </c>
      <c r="C41" s="11"/>
      <c r="D41" s="2">
        <f t="shared" si="10"/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--0.99</f>
        <v>0.99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0.99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"4340", " - ", "SALES RETURN NON TAXABLE-LOGO")</f>
        <v xml:space="preserve">          4340 - SALES RETURN NON TAXABLE-LOGO</v>
      </c>
      <c r="C42" s="11"/>
      <c r="D42" s="2">
        <f>-24.95</f>
        <v>-24.95</v>
      </c>
      <c r="E42" s="2"/>
      <c r="F42" s="19"/>
      <c r="G42" s="2"/>
      <c r="H42" s="2">
        <f>-123.75</f>
        <v>-123.75</v>
      </c>
      <c r="I42" s="2"/>
      <c r="J42" s="19"/>
      <c r="K42" s="2"/>
      <c r="L42" s="2">
        <f t="shared" si="0"/>
        <v>98.8</v>
      </c>
      <c r="M42" s="2"/>
      <c r="N42" s="19">
        <f t="shared" si="1"/>
        <v>-0.79838383838383831</v>
      </c>
      <c r="O42" s="11"/>
      <c r="P42" s="2">
        <f>-1020.4</f>
        <v>-1020.4</v>
      </c>
      <c r="Q42" s="2"/>
      <c r="R42" s="19"/>
      <c r="S42" s="2"/>
      <c r="T42" s="2">
        <f>-939.02</f>
        <v>-939.02</v>
      </c>
      <c r="U42" s="2"/>
      <c r="V42" s="19"/>
      <c r="W42" s="2"/>
      <c r="X42" s="2">
        <f t="shared" si="2"/>
        <v>-81.38</v>
      </c>
      <c r="Y42" s="2"/>
      <c r="Z42" s="19">
        <f t="shared" si="3"/>
        <v>8.6664820770590609E-2</v>
      </c>
    </row>
    <row r="43" spans="1:26" s="24" customFormat="1" hidden="1" outlineLevel="1" x14ac:dyDescent="0.25">
      <c r="A43" s="44"/>
      <c r="B43" s="11" t="str">
        <f>CONCATENATE("          ", "4341", " - ", "SALES RETURN NON TAXABLE-LOGO")</f>
        <v xml:space="preserve">          4341 - SALES RETURN NON TAXABLE-LOGO</v>
      </c>
      <c r="C43" s="11"/>
      <c r="D43" s="2">
        <f t="shared" ref="D43:D44" si="11">0</f>
        <v>0</v>
      </c>
      <c r="E43" s="2"/>
      <c r="F43" s="19"/>
      <c r="G43" s="2"/>
      <c r="H43" s="2">
        <f>-6.95</f>
        <v>-6.95</v>
      </c>
      <c r="I43" s="2"/>
      <c r="J43" s="19"/>
      <c r="K43" s="2"/>
      <c r="L43" s="2">
        <f t="shared" si="0"/>
        <v>6.95</v>
      </c>
      <c r="M43" s="2"/>
      <c r="N43" s="19">
        <f t="shared" si="1"/>
        <v>-1</v>
      </c>
      <c r="O43" s="11"/>
      <c r="P43" s="2">
        <f>-245.5</f>
        <v>-245.5</v>
      </c>
      <c r="Q43" s="2"/>
      <c r="R43" s="19"/>
      <c r="S43" s="2"/>
      <c r="T43" s="2">
        <f>-141.55</f>
        <v>-141.55000000000001</v>
      </c>
      <c r="U43" s="2"/>
      <c r="V43" s="19"/>
      <c r="W43" s="2"/>
      <c r="X43" s="2">
        <f t="shared" si="2"/>
        <v>-103.94999999999999</v>
      </c>
      <c r="Y43" s="2"/>
      <c r="Z43" s="19">
        <f t="shared" si="3"/>
        <v>0.73436948074885189</v>
      </c>
    </row>
    <row r="44" spans="1:26" s="24" customFormat="1" hidden="1" outlineLevel="1" x14ac:dyDescent="0.25">
      <c r="A44" s="44"/>
      <c r="B44" s="11" t="str">
        <f>CONCATENATE("          ", "4342", " - ", "SALES RETURN NON TAXABLE-EVERY")</f>
        <v xml:space="preserve">          4342 - SALES RETURN NON TAXABLE-EVERY</v>
      </c>
      <c r="C44" s="11"/>
      <c r="D44" s="2">
        <f t="shared" si="11"/>
        <v>0</v>
      </c>
      <c r="E44" s="2"/>
      <c r="F44" s="19"/>
      <c r="G44" s="2"/>
      <c r="H44" s="2">
        <f>-19.9</f>
        <v>-19.899999999999999</v>
      </c>
      <c r="I44" s="2"/>
      <c r="J44" s="19"/>
      <c r="K44" s="2"/>
      <c r="L44" s="2">
        <f t="shared" si="0"/>
        <v>19.899999999999999</v>
      </c>
      <c r="M44" s="2"/>
      <c r="N44" s="19">
        <f t="shared" si="1"/>
        <v>-1</v>
      </c>
      <c r="O44" s="11"/>
      <c r="P44" s="2">
        <f>-109.8</f>
        <v>-109.8</v>
      </c>
      <c r="Q44" s="2"/>
      <c r="R44" s="19"/>
      <c r="S44" s="2"/>
      <c r="T44" s="2">
        <f>-103.6</f>
        <v>-103.6</v>
      </c>
      <c r="U44" s="2"/>
      <c r="V44" s="19"/>
      <c r="W44" s="2"/>
      <c r="X44" s="2">
        <f t="shared" si="2"/>
        <v>-6.2000000000000028</v>
      </c>
      <c r="Y44" s="2"/>
      <c r="Z44" s="19">
        <f t="shared" si="3"/>
        <v>5.9845559845559879E-2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collapsed="1" x14ac:dyDescent="0.25">
      <c r="A46" s="10"/>
      <c r="B46" s="29" t="s">
        <v>8</v>
      </c>
      <c r="C46" s="10"/>
      <c r="D46" s="4">
        <f>SUM(OSRRefD16x_0)</f>
        <v>58392.840000000004</v>
      </c>
      <c r="E46" s="4"/>
      <c r="F46" s="12">
        <f t="shared" ref="F46:F70" si="12">IF(D$12=0,0,D46/D$12)</f>
        <v>0.46845273871476117</v>
      </c>
      <c r="G46" s="4"/>
      <c r="H46" s="4">
        <f>SUM(OSRRefH16x_0)</f>
        <v>152388.57999999999</v>
      </c>
      <c r="I46" s="4"/>
      <c r="J46" s="12">
        <f t="shared" ref="J46:J70" si="13">IF(H$12=0,0,H46/H$12)</f>
        <v>0.37304891688978248</v>
      </c>
      <c r="K46" s="4"/>
      <c r="L46" s="4">
        <f t="shared" ref="L46:L70" si="14">+D46-H46</f>
        <v>-93995.739999999991</v>
      </c>
      <c r="M46" s="4"/>
      <c r="N46" s="12">
        <f t="shared" ref="N46:N70" si="15">IF(H46=0,0,L46/H46)</f>
        <v>-0.6168161682456782</v>
      </c>
      <c r="O46" s="10"/>
      <c r="P46" s="4">
        <f>SUM(OSRRefP16x_0)</f>
        <v>1190823.8099999996</v>
      </c>
      <c r="Q46" s="4"/>
      <c r="R46" s="12">
        <f t="shared" ref="R46:R70" si="16">IF(P$12=0,0,P46/P$12)</f>
        <v>0.46013673438524461</v>
      </c>
      <c r="S46" s="4"/>
      <c r="T46" s="4">
        <f>SUM(OSRRefT16x_0)</f>
        <v>1316057.8199999998</v>
      </c>
      <c r="U46" s="4"/>
      <c r="V46" s="12">
        <f t="shared" ref="V46:V70" si="17">IF(T$12=0,0,T46/T$12)</f>
        <v>0.44208346786586239</v>
      </c>
      <c r="W46" s="4"/>
      <c r="X46" s="4">
        <f t="shared" ref="X46:X70" si="18">+P46-T46</f>
        <v>-125234.01000000024</v>
      </c>
      <c r="Y46" s="4"/>
      <c r="Z46" s="12">
        <f t="shared" ref="Z46:Z70" si="19">IF(T46=0,0,X46/T46)</f>
        <v>-9.5158440683100268E-2</v>
      </c>
    </row>
    <row r="47" spans="1:26" s="24" customFormat="1" hidden="1" outlineLevel="1" x14ac:dyDescent="0.25">
      <c r="A47" s="44"/>
      <c r="B47" s="11" t="str">
        <f>CONCATENATE("          ", "5000", " - ", "PURCHASES @ COST")</f>
        <v xml:space="preserve">          5000 - PURCHASES @ COST</v>
      </c>
      <c r="C47" s="11"/>
      <c r="D47" s="2"/>
      <c r="E47" s="2"/>
      <c r="F47" s="19">
        <f t="shared" si="12"/>
        <v>0</v>
      </c>
      <c r="G47" s="2"/>
      <c r="H47" s="2">
        <v>1000</v>
      </c>
      <c r="I47" s="2"/>
      <c r="J47" s="19">
        <f t="shared" si="13"/>
        <v>2.4480109788396383E-3</v>
      </c>
      <c r="K47" s="2"/>
      <c r="L47" s="2">
        <f t="shared" si="14"/>
        <v>-1000</v>
      </c>
      <c r="M47" s="2"/>
      <c r="N47" s="19">
        <f t="shared" si="15"/>
        <v>-1</v>
      </c>
      <c r="O47" s="11"/>
      <c r="P47" s="2"/>
      <c r="Q47" s="2"/>
      <c r="R47" s="19">
        <f t="shared" si="16"/>
        <v>0</v>
      </c>
      <c r="S47" s="2"/>
      <c r="T47" s="2">
        <v>1000</v>
      </c>
      <c r="U47" s="2"/>
      <c r="V47" s="19">
        <f t="shared" si="17"/>
        <v>3.3591492801270876E-4</v>
      </c>
      <c r="W47" s="2"/>
      <c r="X47" s="2">
        <f t="shared" si="18"/>
        <v>-1000</v>
      </c>
      <c r="Y47" s="2"/>
      <c r="Z47" s="19">
        <f t="shared" si="19"/>
        <v>-1</v>
      </c>
    </row>
    <row r="48" spans="1:26" s="24" customFormat="1" hidden="1" outlineLevel="1" x14ac:dyDescent="0.25">
      <c r="A48" s="44"/>
      <c r="B48" s="11" t="str">
        <f>CONCATENATE("          ", "5025", " - ", "PURCHASES @ COST-TEST FORMS")</f>
        <v xml:space="preserve">          5025 - PURCHASES @ COST-TEST FORMS</v>
      </c>
      <c r="C48" s="11"/>
      <c r="D48" s="2"/>
      <c r="E48" s="2"/>
      <c r="F48" s="19">
        <f t="shared" si="12"/>
        <v>0</v>
      </c>
      <c r="G48" s="2"/>
      <c r="H48" s="2"/>
      <c r="I48" s="2"/>
      <c r="J48" s="19">
        <f t="shared" si="13"/>
        <v>0</v>
      </c>
      <c r="K48" s="2"/>
      <c r="L48" s="2">
        <f t="shared" si="14"/>
        <v>0</v>
      </c>
      <c r="M48" s="2"/>
      <c r="N48" s="19">
        <f t="shared" si="15"/>
        <v>0</v>
      </c>
      <c r="O48" s="11"/>
      <c r="P48" s="2">
        <v>6.06</v>
      </c>
      <c r="Q48" s="2"/>
      <c r="R48" s="19">
        <f t="shared" si="16"/>
        <v>2.3415962856625976E-6</v>
      </c>
      <c r="S48" s="2"/>
      <c r="T48" s="2">
        <v>19.149999999999999</v>
      </c>
      <c r="U48" s="2"/>
      <c r="V48" s="19">
        <f t="shared" si="17"/>
        <v>6.4327708714433721E-6</v>
      </c>
      <c r="W48" s="2"/>
      <c r="X48" s="2">
        <f t="shared" si="18"/>
        <v>-13.09</v>
      </c>
      <c r="Y48" s="2"/>
      <c r="Z48" s="19">
        <f t="shared" si="19"/>
        <v>-0.68355091383812017</v>
      </c>
    </row>
    <row r="49" spans="1:26" s="24" customFormat="1" hidden="1" outlineLevel="1" x14ac:dyDescent="0.25">
      <c r="A49" s="44"/>
      <c r="B49" s="11" t="str">
        <f>CONCATENATE("          ", "5026", " - ", "PURCHASES @ COST-WRITING INSTR")</f>
        <v xml:space="preserve">          5026 - PURCHASES @ COST-WRITING INSTR</v>
      </c>
      <c r="C49" s="11"/>
      <c r="D49" s="2"/>
      <c r="E49" s="2"/>
      <c r="F49" s="19">
        <f t="shared" si="12"/>
        <v>0</v>
      </c>
      <c r="G49" s="2"/>
      <c r="H49" s="2">
        <v>13.96</v>
      </c>
      <c r="I49" s="2"/>
      <c r="J49" s="19">
        <f t="shared" si="13"/>
        <v>3.4174233264601349E-5</v>
      </c>
      <c r="K49" s="2"/>
      <c r="L49" s="2">
        <f t="shared" si="14"/>
        <v>-13.96</v>
      </c>
      <c r="M49" s="2"/>
      <c r="N49" s="19">
        <f t="shared" si="15"/>
        <v>-1</v>
      </c>
      <c r="O49" s="11"/>
      <c r="P49" s="2">
        <v>1198.07</v>
      </c>
      <c r="Q49" s="2"/>
      <c r="R49" s="19">
        <f t="shared" si="16"/>
        <v>4.6293667689171428E-4</v>
      </c>
      <c r="S49" s="2"/>
      <c r="T49" s="2">
        <v>584.94000000000005</v>
      </c>
      <c r="U49" s="2"/>
      <c r="V49" s="19">
        <f t="shared" si="17"/>
        <v>1.9649007799175388E-4</v>
      </c>
      <c r="W49" s="2"/>
      <c r="X49" s="2">
        <f t="shared" si="18"/>
        <v>613.12999999999988</v>
      </c>
      <c r="Y49" s="2"/>
      <c r="Z49" s="19">
        <f t="shared" si="19"/>
        <v>1.0481929770574756</v>
      </c>
    </row>
    <row r="50" spans="1:26" s="24" customFormat="1" hidden="1" outlineLevel="1" x14ac:dyDescent="0.25">
      <c r="A50" s="44"/>
      <c r="B50" s="11" t="str">
        <f>CONCATENATE("          ", "5027", " - ", "PURCHASES @ COST-SCHOOL SUPPLI")</f>
        <v xml:space="preserve">          5027 - PURCHASES @ COST-SCHOOL SUPPLI</v>
      </c>
      <c r="C50" s="11"/>
      <c r="D50" s="2"/>
      <c r="E50" s="2"/>
      <c r="F50" s="19">
        <f t="shared" si="12"/>
        <v>0</v>
      </c>
      <c r="G50" s="2"/>
      <c r="H50" s="2"/>
      <c r="I50" s="2"/>
      <c r="J50" s="19">
        <f t="shared" si="13"/>
        <v>0</v>
      </c>
      <c r="K50" s="2"/>
      <c r="L50" s="2">
        <f t="shared" si="14"/>
        <v>0</v>
      </c>
      <c r="M50" s="2"/>
      <c r="N50" s="19">
        <f t="shared" si="15"/>
        <v>0</v>
      </c>
      <c r="O50" s="11"/>
      <c r="P50" s="2">
        <v>325.45</v>
      </c>
      <c r="Q50" s="2"/>
      <c r="R50" s="19">
        <f t="shared" si="16"/>
        <v>1.2575453979684693E-4</v>
      </c>
      <c r="S50" s="2"/>
      <c r="T50" s="2">
        <v>569.59</v>
      </c>
      <c r="U50" s="2"/>
      <c r="V50" s="19">
        <f t="shared" si="17"/>
        <v>1.9133378384675879E-4</v>
      </c>
      <c r="W50" s="2"/>
      <c r="X50" s="2">
        <f t="shared" si="18"/>
        <v>-244.14000000000004</v>
      </c>
      <c r="Y50" s="2"/>
      <c r="Z50" s="19">
        <f t="shared" si="19"/>
        <v>-0.42862409803542906</v>
      </c>
    </row>
    <row r="51" spans="1:26" s="24" customFormat="1" hidden="1" outlineLevel="1" x14ac:dyDescent="0.25">
      <c r="A51" s="44"/>
      <c r="B51" s="11" t="str">
        <f>CONCATENATE("          ", "5034", " - ", "PURCHASES @ COST-SODA")</f>
        <v xml:space="preserve">          5034 - PURCHASES @ COST-SODA</v>
      </c>
      <c r="C51" s="11"/>
      <c r="D51" s="2"/>
      <c r="E51" s="2"/>
      <c r="F51" s="19">
        <f t="shared" si="12"/>
        <v>0</v>
      </c>
      <c r="G51" s="2"/>
      <c r="H51" s="2"/>
      <c r="I51" s="2"/>
      <c r="J51" s="19">
        <f t="shared" si="13"/>
        <v>0</v>
      </c>
      <c r="K51" s="2"/>
      <c r="L51" s="2">
        <f t="shared" si="14"/>
        <v>0</v>
      </c>
      <c r="M51" s="2"/>
      <c r="N51" s="19">
        <f t="shared" si="15"/>
        <v>0</v>
      </c>
      <c r="O51" s="11"/>
      <c r="P51" s="2"/>
      <c r="Q51" s="2"/>
      <c r="R51" s="19">
        <f t="shared" si="16"/>
        <v>0</v>
      </c>
      <c r="S51" s="2"/>
      <c r="T51" s="2">
        <v>18.54</v>
      </c>
      <c r="U51" s="2"/>
      <c r="V51" s="19">
        <f t="shared" si="17"/>
        <v>6.2278627653556205E-6</v>
      </c>
      <c r="W51" s="2"/>
      <c r="X51" s="2">
        <f t="shared" si="18"/>
        <v>-18.54</v>
      </c>
      <c r="Y51" s="2"/>
      <c r="Z51" s="19">
        <f t="shared" si="19"/>
        <v>-1</v>
      </c>
    </row>
    <row r="52" spans="1:26" s="24" customFormat="1" hidden="1" outlineLevel="1" x14ac:dyDescent="0.25">
      <c r="A52" s="44"/>
      <c r="B52" s="11" t="str">
        <f>CONCATENATE("          ", "5037", " - ", "PURCHASES @ COST-WATER")</f>
        <v xml:space="preserve">          5037 - PURCHASES @ COST-WATER</v>
      </c>
      <c r="C52" s="11"/>
      <c r="D52" s="2"/>
      <c r="E52" s="2"/>
      <c r="F52" s="19">
        <f t="shared" si="12"/>
        <v>0</v>
      </c>
      <c r="G52" s="2"/>
      <c r="H52" s="2">
        <v>17.04</v>
      </c>
      <c r="I52" s="2"/>
      <c r="J52" s="19">
        <f t="shared" si="13"/>
        <v>4.1714107079427432E-5</v>
      </c>
      <c r="K52" s="2"/>
      <c r="L52" s="2">
        <f t="shared" si="14"/>
        <v>-17.04</v>
      </c>
      <c r="M52" s="2"/>
      <c r="N52" s="19">
        <f t="shared" si="15"/>
        <v>-1</v>
      </c>
      <c r="O52" s="11"/>
      <c r="P52" s="2">
        <v>29.76</v>
      </c>
      <c r="Q52" s="2"/>
      <c r="R52" s="19">
        <f t="shared" si="16"/>
        <v>1.1499324333550976E-5</v>
      </c>
      <c r="S52" s="2"/>
      <c r="T52" s="2">
        <v>67.790000000000006</v>
      </c>
      <c r="U52" s="2"/>
      <c r="V52" s="19">
        <f t="shared" si="17"/>
        <v>2.2771672969981529E-5</v>
      </c>
      <c r="W52" s="2"/>
      <c r="X52" s="2">
        <f t="shared" si="18"/>
        <v>-38.03</v>
      </c>
      <c r="Y52" s="2"/>
      <c r="Z52" s="19">
        <f t="shared" si="19"/>
        <v>-0.56099719722672958</v>
      </c>
    </row>
    <row r="53" spans="1:26" s="24" customFormat="1" hidden="1" outlineLevel="1" x14ac:dyDescent="0.25">
      <c r="A53" s="44"/>
      <c r="B53" s="11" t="str">
        <f>CONCATENATE("          ", "5040", " - ", "PURCHASES @ COST-LOGO CLOTHING")</f>
        <v xml:space="preserve">          5040 - PURCHASES @ COST-LOGO CLOTHING</v>
      </c>
      <c r="C53" s="11"/>
      <c r="D53" s="2">
        <v>8012.9</v>
      </c>
      <c r="E53" s="2"/>
      <c r="F53" s="19">
        <f t="shared" si="12"/>
        <v>6.4282966028840344E-2</v>
      </c>
      <c r="G53" s="2"/>
      <c r="H53" s="2">
        <v>64538.15</v>
      </c>
      <c r="I53" s="2"/>
      <c r="J53" s="19">
        <f t="shared" si="13"/>
        <v>0.15799009975399939</v>
      </c>
      <c r="K53" s="2"/>
      <c r="L53" s="2">
        <f t="shared" si="14"/>
        <v>-56525.25</v>
      </c>
      <c r="M53" s="2"/>
      <c r="N53" s="19">
        <f t="shared" si="15"/>
        <v>-0.87584242808323443</v>
      </c>
      <c r="O53" s="11"/>
      <c r="P53" s="2">
        <v>974911.44</v>
      </c>
      <c r="Q53" s="2"/>
      <c r="R53" s="19">
        <f t="shared" si="16"/>
        <v>0.37670775689009478</v>
      </c>
      <c r="S53" s="2"/>
      <c r="T53" s="2">
        <v>1004849.15</v>
      </c>
      <c r="U53" s="2"/>
      <c r="V53" s="19">
        <f t="shared" si="17"/>
        <v>0.33754382988588161</v>
      </c>
      <c r="W53" s="2"/>
      <c r="X53" s="2">
        <f t="shared" si="18"/>
        <v>-29937.710000000079</v>
      </c>
      <c r="Y53" s="2"/>
      <c r="Z53" s="19">
        <f t="shared" si="19"/>
        <v>-2.9793238119373518E-2</v>
      </c>
    </row>
    <row r="54" spans="1:26" s="24" customFormat="1" hidden="1" outlineLevel="1" x14ac:dyDescent="0.25">
      <c r="A54" s="44"/>
      <c r="B54" s="11" t="str">
        <f>CONCATENATE("          ", "5041", " - ", "PURCHASES @ COST-LOGO GIFTS")</f>
        <v xml:space="preserve">          5041 - PURCHASES @ COST-LOGO GIFTS</v>
      </c>
      <c r="C54" s="11"/>
      <c r="D54" s="2">
        <v>-4050.7</v>
      </c>
      <c r="E54" s="2"/>
      <c r="F54" s="19">
        <f t="shared" si="12"/>
        <v>-3.249647574448996E-2</v>
      </c>
      <c r="G54" s="2"/>
      <c r="H54" s="2">
        <v>29207.06</v>
      </c>
      <c r="I54" s="2"/>
      <c r="J54" s="19">
        <f t="shared" si="13"/>
        <v>7.1499203539628048E-2</v>
      </c>
      <c r="K54" s="2"/>
      <c r="L54" s="2">
        <f t="shared" si="14"/>
        <v>-33257.760000000002</v>
      </c>
      <c r="M54" s="2"/>
      <c r="N54" s="19">
        <f t="shared" si="15"/>
        <v>-1.1386890703822981</v>
      </c>
      <c r="O54" s="11"/>
      <c r="P54" s="2">
        <v>145460.03</v>
      </c>
      <c r="Q54" s="2"/>
      <c r="R54" s="19">
        <f t="shared" si="16"/>
        <v>5.6206050488509907E-2</v>
      </c>
      <c r="S54" s="2"/>
      <c r="T54" s="2">
        <v>245362.05000000002</v>
      </c>
      <c r="U54" s="2"/>
      <c r="V54" s="19">
        <f t="shared" si="17"/>
        <v>8.2420775362800652E-2</v>
      </c>
      <c r="W54" s="2"/>
      <c r="X54" s="2">
        <f t="shared" si="18"/>
        <v>-99902.020000000019</v>
      </c>
      <c r="Y54" s="2"/>
      <c r="Z54" s="19">
        <f t="shared" si="19"/>
        <v>-0.40716166171581958</v>
      </c>
    </row>
    <row r="55" spans="1:26" s="24" customFormat="1" hidden="1" outlineLevel="1" x14ac:dyDescent="0.25">
      <c r="A55" s="44"/>
      <c r="B55" s="11" t="str">
        <f>CONCATENATE("          ", "5042", " - ", "PURCHASES @ COST-EVERYDAY GIFT")</f>
        <v xml:space="preserve">          5042 - PURCHASES @ COST-EVERYDAY GIFT</v>
      </c>
      <c r="C55" s="11"/>
      <c r="D55" s="2">
        <v>521.79999999999995</v>
      </c>
      <c r="E55" s="2"/>
      <c r="F55" s="19">
        <f t="shared" si="12"/>
        <v>4.1861063627212231E-3</v>
      </c>
      <c r="G55" s="2"/>
      <c r="H55" s="2">
        <v>11722.65</v>
      </c>
      <c r="I55" s="2"/>
      <c r="J55" s="19">
        <f t="shared" si="13"/>
        <v>2.8697175901094482E-2</v>
      </c>
      <c r="K55" s="2"/>
      <c r="L55" s="2">
        <f t="shared" si="14"/>
        <v>-11200.85</v>
      </c>
      <c r="M55" s="2"/>
      <c r="N55" s="19">
        <f t="shared" si="15"/>
        <v>-0.9554878803001029</v>
      </c>
      <c r="O55" s="11"/>
      <c r="P55" s="2">
        <v>115885.04</v>
      </c>
      <c r="Q55" s="2"/>
      <c r="R55" s="19">
        <f t="shared" si="16"/>
        <v>4.4778214394036564E-2</v>
      </c>
      <c r="S55" s="2"/>
      <c r="T55" s="2">
        <v>130290.17</v>
      </c>
      <c r="U55" s="2"/>
      <c r="V55" s="19">
        <f t="shared" si="17"/>
        <v>4.3766413076313584E-2</v>
      </c>
      <c r="W55" s="2"/>
      <c r="X55" s="2">
        <f t="shared" si="18"/>
        <v>-14405.130000000005</v>
      </c>
      <c r="Y55" s="2"/>
      <c r="Z55" s="19">
        <f t="shared" si="19"/>
        <v>-0.11056190962065676</v>
      </c>
    </row>
    <row r="56" spans="1:26" s="24" customFormat="1" hidden="1" outlineLevel="1" x14ac:dyDescent="0.25">
      <c r="A56" s="44"/>
      <c r="B56" s="11" t="str">
        <f>CONCATENATE("          ", "5043", " - ", "PURCHASES @ COST-CARDS")</f>
        <v xml:space="preserve">          5043 - PURCHASES @ COST-CARDS</v>
      </c>
      <c r="C56" s="11"/>
      <c r="D56" s="2">
        <v>6137.75</v>
      </c>
      <c r="E56" s="2"/>
      <c r="F56" s="19">
        <f t="shared" si="12"/>
        <v>4.9239697830188174E-2</v>
      </c>
      <c r="G56" s="2"/>
      <c r="H56" s="2">
        <v>978.5</v>
      </c>
      <c r="I56" s="2"/>
      <c r="J56" s="19">
        <f t="shared" si="13"/>
        <v>2.3953787427945859E-3</v>
      </c>
      <c r="K56" s="2"/>
      <c r="L56" s="2">
        <f t="shared" si="14"/>
        <v>5159.25</v>
      </c>
      <c r="M56" s="2"/>
      <c r="N56" s="19">
        <f t="shared" si="15"/>
        <v>5.2726111394992339</v>
      </c>
      <c r="O56" s="11"/>
      <c r="P56" s="2">
        <v>30914.659999999996</v>
      </c>
      <c r="Q56" s="2"/>
      <c r="R56" s="19">
        <f t="shared" si="16"/>
        <v>1.1945487298435987E-2</v>
      </c>
      <c r="S56" s="2"/>
      <c r="T56" s="2">
        <v>4361.58</v>
      </c>
      <c r="U56" s="2"/>
      <c r="V56" s="19">
        <f t="shared" si="17"/>
        <v>1.4651198317216702E-3</v>
      </c>
      <c r="W56" s="2"/>
      <c r="X56" s="2">
        <f t="shared" si="18"/>
        <v>26553.079999999994</v>
      </c>
      <c r="Y56" s="2"/>
      <c r="Z56" s="19">
        <f t="shared" si="19"/>
        <v>6.0879497796670003</v>
      </c>
    </row>
    <row r="57" spans="1:26" s="24" customFormat="1" hidden="1" outlineLevel="1" x14ac:dyDescent="0.25">
      <c r="A57" s="44"/>
      <c r="B57" s="11" t="str">
        <f>CONCATENATE("          ", "5044", " - ", "PURCHASES @ COST-ACCESSORIES")</f>
        <v xml:space="preserve">          5044 - PURCHASES @ COST-ACCESSORIES</v>
      </c>
      <c r="C57" s="11"/>
      <c r="D57" s="2">
        <v>4380</v>
      </c>
      <c r="E57" s="2"/>
      <c r="F57" s="19">
        <f t="shared" si="12"/>
        <v>3.5138263450975392E-2</v>
      </c>
      <c r="G57" s="2"/>
      <c r="H57" s="2">
        <v>1248</v>
      </c>
      <c r="I57" s="2"/>
      <c r="J57" s="19">
        <f t="shared" si="13"/>
        <v>3.0551177015918684E-3</v>
      </c>
      <c r="K57" s="2"/>
      <c r="L57" s="2">
        <f t="shared" si="14"/>
        <v>3132</v>
      </c>
      <c r="M57" s="2"/>
      <c r="N57" s="19">
        <f t="shared" si="15"/>
        <v>2.5096153846153846</v>
      </c>
      <c r="O57" s="11"/>
      <c r="P57" s="2">
        <v>36474.03</v>
      </c>
      <c r="Q57" s="2"/>
      <c r="R57" s="19">
        <f t="shared" si="16"/>
        <v>1.4093639137152832E-2</v>
      </c>
      <c r="S57" s="2"/>
      <c r="T57" s="2">
        <v>34227.11</v>
      </c>
      <c r="U57" s="2"/>
      <c r="V57" s="19">
        <f t="shared" si="17"/>
        <v>1.1497397191733065E-2</v>
      </c>
      <c r="W57" s="2"/>
      <c r="X57" s="2">
        <f t="shared" si="18"/>
        <v>2246.9199999999983</v>
      </c>
      <c r="Y57" s="2"/>
      <c r="Z57" s="19">
        <f t="shared" si="19"/>
        <v>6.5647377181421343E-2</v>
      </c>
    </row>
    <row r="58" spans="1:26" s="24" customFormat="1" hidden="1" outlineLevel="1" x14ac:dyDescent="0.25">
      <c r="A58" s="44"/>
      <c r="B58" s="11" t="str">
        <f>CONCATENATE("          ", "5045", " - ", "PURCHASES @ COST-SPECIAL ORDER")</f>
        <v xml:space="preserve">          5045 - PURCHASES @ COST-SPECIAL ORDER</v>
      </c>
      <c r="C58" s="11"/>
      <c r="D58" s="2">
        <v>4221.8999999999996</v>
      </c>
      <c r="E58" s="2"/>
      <c r="F58" s="19">
        <f t="shared" si="12"/>
        <v>3.3869916544217581E-2</v>
      </c>
      <c r="G58" s="2"/>
      <c r="H58" s="2">
        <v>30972.289999999997</v>
      </c>
      <c r="I58" s="2"/>
      <c r="J58" s="19">
        <f t="shared" si="13"/>
        <v>7.5820505959805135E-2</v>
      </c>
      <c r="K58" s="2"/>
      <c r="L58" s="2">
        <f t="shared" si="14"/>
        <v>-26750.39</v>
      </c>
      <c r="M58" s="2"/>
      <c r="N58" s="19">
        <f t="shared" si="15"/>
        <v>-0.86368783192976695</v>
      </c>
      <c r="O58" s="11"/>
      <c r="P58" s="2">
        <v>61923.149999999994</v>
      </c>
      <c r="Q58" s="2"/>
      <c r="R58" s="19">
        <f t="shared" si="16"/>
        <v>2.392723069909701E-2</v>
      </c>
      <c r="S58" s="2"/>
      <c r="T58" s="2">
        <v>99636.95</v>
      </c>
      <c r="U58" s="2"/>
      <c r="V58" s="19">
        <f t="shared" si="17"/>
        <v>3.346953888665586E-2</v>
      </c>
      <c r="W58" s="2"/>
      <c r="X58" s="2">
        <f t="shared" si="18"/>
        <v>-37713.800000000003</v>
      </c>
      <c r="Y58" s="2"/>
      <c r="Z58" s="19">
        <f t="shared" si="19"/>
        <v>-0.37851218850035057</v>
      </c>
    </row>
    <row r="59" spans="1:26" s="24" customFormat="1" hidden="1" outlineLevel="1" x14ac:dyDescent="0.25">
      <c r="A59" s="44"/>
      <c r="B59" s="11" t="str">
        <f>CONCATENATE("          ", "5083", " - ", "PURCHASES @ COST-COMPUTER EQUI")</f>
        <v xml:space="preserve">          5083 - PURCHASES @ COST-COMPUTER EQUI</v>
      </c>
      <c r="C59" s="11"/>
      <c r="D59" s="2"/>
      <c r="E59" s="2"/>
      <c r="F59" s="19">
        <f t="shared" si="12"/>
        <v>0</v>
      </c>
      <c r="G59" s="2"/>
      <c r="H59" s="2"/>
      <c r="I59" s="2"/>
      <c r="J59" s="19">
        <f t="shared" si="13"/>
        <v>0</v>
      </c>
      <c r="K59" s="2"/>
      <c r="L59" s="2">
        <f t="shared" si="14"/>
        <v>0</v>
      </c>
      <c r="M59" s="2"/>
      <c r="N59" s="19">
        <f t="shared" si="15"/>
        <v>0</v>
      </c>
      <c r="O59" s="11"/>
      <c r="P59" s="2">
        <v>90.35</v>
      </c>
      <c r="Q59" s="2"/>
      <c r="R59" s="19">
        <f t="shared" si="16"/>
        <v>3.4911423169903583E-5</v>
      </c>
      <c r="S59" s="2"/>
      <c r="T59" s="2">
        <v>15.8</v>
      </c>
      <c r="U59" s="2"/>
      <c r="V59" s="19">
        <f t="shared" si="17"/>
        <v>5.3074558626007985E-6</v>
      </c>
      <c r="W59" s="2"/>
      <c r="X59" s="2">
        <f t="shared" si="18"/>
        <v>74.55</v>
      </c>
      <c r="Y59" s="2"/>
      <c r="Z59" s="19">
        <f t="shared" si="19"/>
        <v>4.7183544303797467</v>
      </c>
    </row>
    <row r="60" spans="1:26" s="24" customFormat="1" hidden="1" outlineLevel="1" x14ac:dyDescent="0.25">
      <c r="A60" s="44"/>
      <c r="B60" s="11" t="str">
        <f>CONCATENATE("          ", "5092", " - ", "PURCHASES @ COST-GRAD MERCH")</f>
        <v xml:space="preserve">          5092 - PURCHASES @ COST-GRAD MERCH</v>
      </c>
      <c r="C60" s="11"/>
      <c r="D60" s="2"/>
      <c r="E60" s="2"/>
      <c r="F60" s="19">
        <f t="shared" si="12"/>
        <v>0</v>
      </c>
      <c r="G60" s="2"/>
      <c r="H60" s="2"/>
      <c r="I60" s="2"/>
      <c r="J60" s="19">
        <f t="shared" si="13"/>
        <v>0</v>
      </c>
      <c r="K60" s="2"/>
      <c r="L60" s="2">
        <f t="shared" si="14"/>
        <v>0</v>
      </c>
      <c r="M60" s="2"/>
      <c r="N60" s="19">
        <f t="shared" si="15"/>
        <v>0</v>
      </c>
      <c r="O60" s="11"/>
      <c r="P60" s="2">
        <v>-60.35</v>
      </c>
      <c r="Q60" s="2"/>
      <c r="R60" s="19">
        <f t="shared" si="16"/>
        <v>-2.3319362349791714E-5</v>
      </c>
      <c r="S60" s="2"/>
      <c r="T60" s="2"/>
      <c r="U60" s="2"/>
      <c r="V60" s="19">
        <f t="shared" si="17"/>
        <v>0</v>
      </c>
      <c r="W60" s="2"/>
      <c r="X60" s="2">
        <f t="shared" si="18"/>
        <v>-60.35</v>
      </c>
      <c r="Y60" s="2"/>
      <c r="Z60" s="19">
        <f t="shared" si="19"/>
        <v>0</v>
      </c>
    </row>
    <row r="61" spans="1:26" s="24" customFormat="1" hidden="1" outlineLevel="1" x14ac:dyDescent="0.25">
      <c r="A61" s="44"/>
      <c r="B61" s="11" t="str">
        <f>CONCATENATE("          ", "5095", " - ", "PURCHASES @ COST-CUSTOMER SERV")</f>
        <v xml:space="preserve">          5095 - PURCHASES @ COST-CUSTOMER SERV</v>
      </c>
      <c r="C61" s="11"/>
      <c r="D61" s="2"/>
      <c r="E61" s="2"/>
      <c r="F61" s="19">
        <f t="shared" si="12"/>
        <v>0</v>
      </c>
      <c r="G61" s="2"/>
      <c r="H61" s="2">
        <v>4.32</v>
      </c>
      <c r="I61" s="2"/>
      <c r="J61" s="19">
        <f t="shared" si="13"/>
        <v>1.0575407428587238E-5</v>
      </c>
      <c r="K61" s="2"/>
      <c r="L61" s="2">
        <f t="shared" si="14"/>
        <v>-4.32</v>
      </c>
      <c r="M61" s="2"/>
      <c r="N61" s="19">
        <f t="shared" si="15"/>
        <v>-1</v>
      </c>
      <c r="O61" s="11"/>
      <c r="P61" s="2">
        <v>-11.85</v>
      </c>
      <c r="Q61" s="2"/>
      <c r="R61" s="19">
        <f t="shared" si="16"/>
        <v>-4.5788640239441884E-6</v>
      </c>
      <c r="S61" s="2"/>
      <c r="T61" s="2">
        <v>73.44</v>
      </c>
      <c r="U61" s="2"/>
      <c r="V61" s="19">
        <f t="shared" si="17"/>
        <v>2.4669592313253329E-5</v>
      </c>
      <c r="W61" s="2"/>
      <c r="X61" s="2">
        <f t="shared" si="18"/>
        <v>-85.289999999999992</v>
      </c>
      <c r="Y61" s="2"/>
      <c r="Z61" s="19">
        <f t="shared" si="19"/>
        <v>-1.1613562091503267</v>
      </c>
    </row>
    <row r="62" spans="1:26" s="24" customFormat="1" hidden="1" outlineLevel="1" x14ac:dyDescent="0.25">
      <c r="A62" s="44"/>
      <c r="B62" s="11" t="str">
        <f>CONCATENATE("          ", "5200", " - ", "PURCHASES OFFSET")</f>
        <v xml:space="preserve">          5200 - PURCHASES OFFSET</v>
      </c>
      <c r="C62" s="11"/>
      <c r="D62" s="2">
        <v>-20517</v>
      </c>
      <c r="E62" s="2"/>
      <c r="F62" s="19">
        <f t="shared" si="12"/>
        <v>-0.16459629023371281</v>
      </c>
      <c r="G62" s="2"/>
      <c r="H62" s="2">
        <v>-174797</v>
      </c>
      <c r="I62" s="2"/>
      <c r="J62" s="19">
        <f t="shared" si="13"/>
        <v>-0.42790497506823222</v>
      </c>
      <c r="K62" s="2"/>
      <c r="L62" s="2">
        <f t="shared" si="14"/>
        <v>154280</v>
      </c>
      <c r="M62" s="2"/>
      <c r="N62" s="19">
        <f t="shared" si="15"/>
        <v>-0.88262384365864399</v>
      </c>
      <c r="O62" s="11"/>
      <c r="P62" s="2">
        <v>-1371748</v>
      </c>
      <c r="Q62" s="2"/>
      <c r="R62" s="19">
        <f t="shared" si="16"/>
        <v>-0.53004620819556059</v>
      </c>
      <c r="S62" s="2"/>
      <c r="T62" s="2">
        <v>-1592083</v>
      </c>
      <c r="U62" s="2"/>
      <c r="V62" s="19">
        <f t="shared" si="17"/>
        <v>-0.53480444633525737</v>
      </c>
      <c r="W62" s="2"/>
      <c r="X62" s="2">
        <f t="shared" si="18"/>
        <v>220335</v>
      </c>
      <c r="Y62" s="2"/>
      <c r="Z62" s="19">
        <f t="shared" si="19"/>
        <v>-0.13839416663578469</v>
      </c>
    </row>
    <row r="63" spans="1:26" s="24" customFormat="1" hidden="1" outlineLevel="1" x14ac:dyDescent="0.25">
      <c r="A63" s="44"/>
      <c r="B63" s="11" t="str">
        <f>CONCATENATE("          ", "5300", " - ", "COG$ OFFSET")</f>
        <v xml:space="preserve">          5300 - COG$ OFFSET</v>
      </c>
      <c r="C63" s="11"/>
      <c r="D63" s="2">
        <v>58392</v>
      </c>
      <c r="E63" s="2"/>
      <c r="F63" s="19">
        <f t="shared" si="12"/>
        <v>0.46844599986971575</v>
      </c>
      <c r="G63" s="2"/>
      <c r="H63" s="2">
        <v>182458</v>
      </c>
      <c r="I63" s="2"/>
      <c r="J63" s="19">
        <f t="shared" si="13"/>
        <v>0.44665918717712266</v>
      </c>
      <c r="K63" s="2"/>
      <c r="L63" s="2">
        <f t="shared" si="14"/>
        <v>-124066</v>
      </c>
      <c r="M63" s="2"/>
      <c r="N63" s="19">
        <f t="shared" si="15"/>
        <v>-0.67997018491926908</v>
      </c>
      <c r="O63" s="11"/>
      <c r="P63" s="2">
        <v>1152669</v>
      </c>
      <c r="Q63" s="2"/>
      <c r="R63" s="19">
        <f t="shared" si="16"/>
        <v>0.44539363844858432</v>
      </c>
      <c r="S63" s="2"/>
      <c r="T63" s="2">
        <v>1346129</v>
      </c>
      <c r="U63" s="2"/>
      <c r="V63" s="19">
        <f t="shared" si="17"/>
        <v>0.45218482613081962</v>
      </c>
      <c r="W63" s="2"/>
      <c r="X63" s="2">
        <f t="shared" si="18"/>
        <v>-193460</v>
      </c>
      <c r="Y63" s="2"/>
      <c r="Z63" s="19">
        <f t="shared" si="19"/>
        <v>-0.14371579544011012</v>
      </c>
    </row>
    <row r="64" spans="1:26" s="24" customFormat="1" hidden="1" outlineLevel="1" x14ac:dyDescent="0.25">
      <c r="A64" s="44"/>
      <c r="B64" s="11" t="str">
        <f>CONCATENATE("          ", "5500", " - ", "FREIGHT-IN")</f>
        <v xml:space="preserve">          5500 - FREIGHT-IN</v>
      </c>
      <c r="C64" s="11"/>
      <c r="D64" s="2"/>
      <c r="E64" s="2"/>
      <c r="F64" s="19">
        <f t="shared" si="12"/>
        <v>0</v>
      </c>
      <c r="G64" s="2"/>
      <c r="H64" s="2"/>
      <c r="I64" s="2"/>
      <c r="J64" s="19">
        <f t="shared" si="13"/>
        <v>0</v>
      </c>
      <c r="K64" s="2"/>
      <c r="L64" s="2">
        <f t="shared" si="14"/>
        <v>0</v>
      </c>
      <c r="M64" s="2"/>
      <c r="N64" s="19">
        <f t="shared" si="15"/>
        <v>0</v>
      </c>
      <c r="O64" s="11"/>
      <c r="P64" s="2">
        <v>29.23</v>
      </c>
      <c r="Q64" s="2"/>
      <c r="R64" s="19">
        <f t="shared" si="16"/>
        <v>1.1294531259062333E-5</v>
      </c>
      <c r="S64" s="2"/>
      <c r="T64" s="2"/>
      <c r="U64" s="2"/>
      <c r="V64" s="19">
        <f t="shared" si="17"/>
        <v>0</v>
      </c>
      <c r="W64" s="2"/>
      <c r="X64" s="2">
        <f t="shared" si="18"/>
        <v>29.23</v>
      </c>
      <c r="Y64" s="2"/>
      <c r="Z64" s="19">
        <f t="shared" si="19"/>
        <v>0</v>
      </c>
    </row>
    <row r="65" spans="1:26" s="24" customFormat="1" hidden="1" outlineLevel="1" x14ac:dyDescent="0.25">
      <c r="A65" s="44"/>
      <c r="B65" s="11" t="str">
        <f>CONCATENATE("          ", "5540", " - ", "FREIGHT-IN-LOGO CLOTHING")</f>
        <v xml:space="preserve">          5540 - FREIGHT-IN-LOGO CLOTHING</v>
      </c>
      <c r="C65" s="11"/>
      <c r="D65" s="2">
        <v>1044.9100000000001</v>
      </c>
      <c r="E65" s="2"/>
      <c r="F65" s="19">
        <f t="shared" si="12"/>
        <v>8.3827221147394285E-3</v>
      </c>
      <c r="G65" s="2"/>
      <c r="H65" s="2">
        <v>4017.61</v>
      </c>
      <c r="I65" s="2"/>
      <c r="J65" s="19">
        <f t="shared" si="13"/>
        <v>9.8351533886959185E-3</v>
      </c>
      <c r="K65" s="2"/>
      <c r="L65" s="2">
        <f t="shared" si="14"/>
        <v>-2972.7</v>
      </c>
      <c r="M65" s="2"/>
      <c r="N65" s="19">
        <f t="shared" si="15"/>
        <v>-0.73991751314836429</v>
      </c>
      <c r="O65" s="11"/>
      <c r="P65" s="2">
        <v>31703.299999999996</v>
      </c>
      <c r="Q65" s="2"/>
      <c r="R65" s="19">
        <f t="shared" si="16"/>
        <v>1.2250219393275088E-2</v>
      </c>
      <c r="S65" s="2"/>
      <c r="T65" s="2">
        <v>29023.84</v>
      </c>
      <c r="U65" s="2"/>
      <c r="V65" s="19">
        <f t="shared" si="17"/>
        <v>9.7495411242523779E-3</v>
      </c>
      <c r="W65" s="2"/>
      <c r="X65" s="2">
        <f t="shared" si="18"/>
        <v>2679.4599999999955</v>
      </c>
      <c r="Y65" s="2"/>
      <c r="Z65" s="19">
        <f t="shared" si="19"/>
        <v>9.2319279599115608E-2</v>
      </c>
    </row>
    <row r="66" spans="1:26" s="24" customFormat="1" hidden="1" outlineLevel="1" x14ac:dyDescent="0.25">
      <c r="A66" s="44"/>
      <c r="B66" s="11" t="str">
        <f>CONCATENATE("          ", "5541", " - ", "FREIGHT-IN-LOGO GIFTS")</f>
        <v xml:space="preserve">          5541 - FREIGHT-IN-LOGO GIFTS</v>
      </c>
      <c r="C66" s="11"/>
      <c r="D66" s="2">
        <v>186.99</v>
      </c>
      <c r="E66" s="2"/>
      <c r="F66" s="19">
        <f t="shared" si="12"/>
        <v>1.5001150417118466E-3</v>
      </c>
      <c r="G66" s="2"/>
      <c r="H66" s="2">
        <v>769.17</v>
      </c>
      <c r="I66" s="2"/>
      <c r="J66" s="19">
        <f t="shared" si="13"/>
        <v>1.8829366045940844E-3</v>
      </c>
      <c r="K66" s="2"/>
      <c r="L66" s="2">
        <f t="shared" si="14"/>
        <v>-582.17999999999995</v>
      </c>
      <c r="M66" s="2"/>
      <c r="N66" s="19">
        <f t="shared" si="15"/>
        <v>-0.75689379460977413</v>
      </c>
      <c r="O66" s="11"/>
      <c r="P66" s="2">
        <v>4882.9399999999996</v>
      </c>
      <c r="Q66" s="2"/>
      <c r="R66" s="19">
        <f t="shared" si="16"/>
        <v>1.8867779153652351E-3</v>
      </c>
      <c r="S66" s="2"/>
      <c r="T66" s="2">
        <v>7484.78</v>
      </c>
      <c r="U66" s="2"/>
      <c r="V66" s="19">
        <f t="shared" si="17"/>
        <v>2.5142493348909623E-3</v>
      </c>
      <c r="W66" s="2"/>
      <c r="X66" s="2">
        <f t="shared" si="18"/>
        <v>-2601.84</v>
      </c>
      <c r="Y66" s="2"/>
      <c r="Z66" s="19">
        <f t="shared" si="19"/>
        <v>-0.3476174316412774</v>
      </c>
    </row>
    <row r="67" spans="1:26" s="24" customFormat="1" hidden="1" outlineLevel="1" x14ac:dyDescent="0.25">
      <c r="A67" s="44"/>
      <c r="B67" s="11" t="str">
        <f>CONCATENATE("          ", "5542", " - ", "FREIGHT-IN-EVERYDAY GIFTS")</f>
        <v xml:space="preserve">          5542 - FREIGHT-IN-EVERYDAY GIFTS</v>
      </c>
      <c r="C67" s="11"/>
      <c r="D67" s="2">
        <v>45.1</v>
      </c>
      <c r="E67" s="2"/>
      <c r="F67" s="19">
        <f t="shared" si="12"/>
        <v>3.6181179946095666E-4</v>
      </c>
      <c r="G67" s="2"/>
      <c r="H67" s="2">
        <v>86.05</v>
      </c>
      <c r="I67" s="2"/>
      <c r="J67" s="19">
        <f t="shared" si="13"/>
        <v>2.1065134472915086E-4</v>
      </c>
      <c r="K67" s="2"/>
      <c r="L67" s="2">
        <f t="shared" si="14"/>
        <v>-40.949999999999996</v>
      </c>
      <c r="M67" s="2"/>
      <c r="N67" s="19">
        <f t="shared" si="15"/>
        <v>-0.47588611272515974</v>
      </c>
      <c r="O67" s="11"/>
      <c r="P67" s="2">
        <v>1839.04</v>
      </c>
      <c r="Q67" s="2"/>
      <c r="R67" s="19">
        <f t="shared" si="16"/>
        <v>7.1060878435395109E-4</v>
      </c>
      <c r="S67" s="2"/>
      <c r="T67" s="2">
        <v>1592.16</v>
      </c>
      <c r="U67" s="2"/>
      <c r="V67" s="19">
        <f t="shared" si="17"/>
        <v>5.3483031178471439E-4</v>
      </c>
      <c r="W67" s="2"/>
      <c r="X67" s="2">
        <f t="shared" si="18"/>
        <v>246.87999999999988</v>
      </c>
      <c r="Y67" s="2"/>
      <c r="Z67" s="19">
        <f t="shared" si="19"/>
        <v>0.1550597929856295</v>
      </c>
    </row>
    <row r="68" spans="1:26" s="24" customFormat="1" hidden="1" outlineLevel="1" x14ac:dyDescent="0.25">
      <c r="A68" s="44"/>
      <c r="B68" s="11" t="str">
        <f>CONCATENATE("          ", "5543", " - ", "FREIGHT-IN-CARDS")</f>
        <v xml:space="preserve">          5543 - FREIGHT-IN-CARDS</v>
      </c>
      <c r="C68" s="11"/>
      <c r="D68" s="2"/>
      <c r="E68" s="2"/>
      <c r="F68" s="19">
        <f t="shared" si="12"/>
        <v>0</v>
      </c>
      <c r="G68" s="2"/>
      <c r="H68" s="2"/>
      <c r="I68" s="2"/>
      <c r="J68" s="19">
        <f t="shared" si="13"/>
        <v>0</v>
      </c>
      <c r="K68" s="2"/>
      <c r="L68" s="2">
        <f t="shared" si="14"/>
        <v>0</v>
      </c>
      <c r="M68" s="2"/>
      <c r="N68" s="19">
        <f t="shared" si="15"/>
        <v>0</v>
      </c>
      <c r="O68" s="11"/>
      <c r="P68" s="2">
        <v>2926.76</v>
      </c>
      <c r="Q68" s="2"/>
      <c r="R68" s="19">
        <f t="shared" si="16"/>
        <v>1.1309059975290207E-3</v>
      </c>
      <c r="S68" s="2"/>
      <c r="T68" s="2">
        <v>57.18</v>
      </c>
      <c r="U68" s="2"/>
      <c r="V68" s="19">
        <f t="shared" si="17"/>
        <v>1.9207615583766688E-5</v>
      </c>
      <c r="W68" s="2"/>
      <c r="X68" s="2">
        <f t="shared" si="18"/>
        <v>2869.5800000000004</v>
      </c>
      <c r="Y68" s="2"/>
      <c r="Z68" s="19">
        <f t="shared" si="19"/>
        <v>50.185029730675069</v>
      </c>
    </row>
    <row r="69" spans="1:26" s="24" customFormat="1" hidden="1" outlineLevel="1" x14ac:dyDescent="0.25">
      <c r="A69" s="44"/>
      <c r="B69" s="11" t="str">
        <f>CONCATENATE("          ", "5544", " - ", "FREIGHT-IN-ACCESSORIES")</f>
        <v xml:space="preserve">          5544 - FREIGHT-IN-ACCESSORIES</v>
      </c>
      <c r="C69" s="11"/>
      <c r="D69" s="2"/>
      <c r="E69" s="2"/>
      <c r="F69" s="19">
        <f t="shared" si="12"/>
        <v>0</v>
      </c>
      <c r="G69" s="2"/>
      <c r="H69" s="2">
        <v>66.27</v>
      </c>
      <c r="I69" s="2"/>
      <c r="J69" s="19">
        <f t="shared" si="13"/>
        <v>1.6222968756770281E-4</v>
      </c>
      <c r="K69" s="2"/>
      <c r="L69" s="2">
        <f t="shared" si="14"/>
        <v>-66.27</v>
      </c>
      <c r="M69" s="2"/>
      <c r="N69" s="19">
        <f t="shared" si="15"/>
        <v>-1</v>
      </c>
      <c r="O69" s="11"/>
      <c r="P69" s="2">
        <v>483.44</v>
      </c>
      <c r="Q69" s="2"/>
      <c r="R69" s="19">
        <f t="shared" si="16"/>
        <v>1.8680219609582943E-4</v>
      </c>
      <c r="S69" s="2"/>
      <c r="T69" s="2">
        <v>1133.42</v>
      </c>
      <c r="U69" s="2"/>
      <c r="V69" s="19">
        <f t="shared" si="17"/>
        <v>3.8073269770816441E-4</v>
      </c>
      <c r="W69" s="2"/>
      <c r="X69" s="2">
        <f t="shared" si="18"/>
        <v>-649.98</v>
      </c>
      <c r="Y69" s="2"/>
      <c r="Z69" s="19">
        <f t="shared" si="19"/>
        <v>-0.57346791127737284</v>
      </c>
    </row>
    <row r="70" spans="1:26" s="24" customFormat="1" hidden="1" outlineLevel="1" x14ac:dyDescent="0.25">
      <c r="A70" s="44"/>
      <c r="B70" s="11" t="str">
        <f>CONCATENATE("          ", "5545", " - ", "FREIGHT-IN-SPECIAL ORDERS")</f>
        <v xml:space="preserve">          5545 - FREIGHT-IN-SPECIAL ORDERS</v>
      </c>
      <c r="C70" s="11"/>
      <c r="D70" s="2">
        <v>17.190000000000001</v>
      </c>
      <c r="E70" s="2"/>
      <c r="F70" s="19">
        <f t="shared" si="12"/>
        <v>1.3790565039321166E-4</v>
      </c>
      <c r="G70" s="2"/>
      <c r="H70" s="2">
        <v>86.51</v>
      </c>
      <c r="I70" s="2"/>
      <c r="J70" s="19">
        <f t="shared" si="13"/>
        <v>2.1177742977941709E-4</v>
      </c>
      <c r="K70" s="2"/>
      <c r="L70" s="2">
        <f t="shared" si="14"/>
        <v>-69.320000000000007</v>
      </c>
      <c r="M70" s="2"/>
      <c r="N70" s="19">
        <f t="shared" si="15"/>
        <v>-0.80129464801757022</v>
      </c>
      <c r="O70" s="11"/>
      <c r="P70" s="2">
        <v>892.26</v>
      </c>
      <c r="Q70" s="2"/>
      <c r="R70" s="19">
        <f t="shared" si="16"/>
        <v>3.4477107291176724E-4</v>
      </c>
      <c r="S70" s="2"/>
      <c r="T70" s="2">
        <v>1644.18</v>
      </c>
      <c r="U70" s="2"/>
      <c r="V70" s="19">
        <f t="shared" si="17"/>
        <v>5.523046063399355E-4</v>
      </c>
      <c r="W70" s="2"/>
      <c r="X70" s="2">
        <f t="shared" si="18"/>
        <v>-751.92000000000007</v>
      </c>
      <c r="Y70" s="2"/>
      <c r="Z70" s="19">
        <f t="shared" si="19"/>
        <v>-0.45732219100098531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6</v>
      </c>
      <c r="C72" s="28"/>
      <c r="D72" s="21">
        <f>D12-D46</f>
        <v>66257.599999999977</v>
      </c>
      <c r="E72" s="14"/>
      <c r="F72" s="20">
        <f>IF(D$12=0,0,D72/D$12)</f>
        <v>0.53154726128523888</v>
      </c>
      <c r="G72" s="14"/>
      <c r="H72" s="21">
        <f>H12-H46</f>
        <v>256106.31999999998</v>
      </c>
      <c r="I72" s="14"/>
      <c r="J72" s="20">
        <f>IF(H$12=0,0,H72/H$12)</f>
        <v>0.62695108311021752</v>
      </c>
      <c r="K72" s="15"/>
      <c r="L72" s="21">
        <f>+D72-H72</f>
        <v>-189848.72</v>
      </c>
      <c r="M72" s="15"/>
      <c r="N72" s="20">
        <f>IF(H72=0,0,L72/H72)</f>
        <v>-0.74128869603842662</v>
      </c>
      <c r="O72" s="29"/>
      <c r="P72" s="21">
        <f>P12-P46</f>
        <v>1397154.330000001</v>
      </c>
      <c r="Q72" s="14"/>
      <c r="R72" s="20">
        <f>IF(P$12=0,0,P72/P$12)</f>
        <v>0.53986326561475539</v>
      </c>
      <c r="S72" s="14"/>
      <c r="T72" s="21">
        <f>T12-T46</f>
        <v>1660886.3899999997</v>
      </c>
      <c r="U72" s="14"/>
      <c r="V72" s="20">
        <f>IF(T$12=0,0,T72/T$12)</f>
        <v>0.55791653213413761</v>
      </c>
      <c r="W72" s="15"/>
      <c r="X72" s="21">
        <f>+P72-T72</f>
        <v>-263732.05999999866</v>
      </c>
      <c r="Y72" s="15"/>
      <c r="Z72" s="20">
        <f>IF(T72=0,0,X72/T72)</f>
        <v>-0.1587899458914819</v>
      </c>
    </row>
    <row r="73" spans="1:26" x14ac:dyDescent="0.25">
      <c r="A73" s="9"/>
      <c r="B73" s="10"/>
      <c r="C73" s="9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9" t="s">
        <v>9</v>
      </c>
      <c r="C74" s="10"/>
      <c r="D74" s="22">
        <f>SUM(OSRRefD22x_0)</f>
        <v>85912.510000000009</v>
      </c>
      <c r="E74" s="22"/>
      <c r="F74" s="35">
        <f t="shared" ref="F74:F83" si="20">IF(D$12=0,0,D74/D$12)</f>
        <v>0.6892274908937347</v>
      </c>
      <c r="G74" s="22"/>
      <c r="H74" s="22">
        <f>SUM(OSRRefH22x_0)</f>
        <v>85536.140000000014</v>
      </c>
      <c r="I74" s="22"/>
      <c r="J74" s="35">
        <f t="shared" ref="J74:J83" si="21">IF(H$12=0,0,H74/H$12)</f>
        <v>0.20939340980756435</v>
      </c>
      <c r="K74" s="4"/>
      <c r="L74" s="22">
        <f t="shared" ref="L74:L83" si="22">+D74-H74</f>
        <v>376.36999999999534</v>
      </c>
      <c r="M74" s="4"/>
      <c r="N74" s="35">
        <f t="shared" ref="N74:N83" si="23">IF(H74=0,0,L74/H74)</f>
        <v>4.4001284135570685E-3</v>
      </c>
      <c r="O74" s="10"/>
      <c r="P74" s="22">
        <f>SUM(OSRRefP22x_0)</f>
        <v>921266.12</v>
      </c>
      <c r="Q74" s="22"/>
      <c r="R74" s="35">
        <f t="shared" ref="R74:R83" si="24">IF(P$12=0,0,P74/P$12)</f>
        <v>0.35597909648494935</v>
      </c>
      <c r="S74" s="22"/>
      <c r="T74" s="22">
        <f>SUM(OSRRefT22x_0)</f>
        <v>823146.23999999987</v>
      </c>
      <c r="U74" s="22"/>
      <c r="V74" s="35">
        <f t="shared" ref="V74:V83" si="25">IF(T$12=0,0,T74/T$12)</f>
        <v>0.27650710995353184</v>
      </c>
      <c r="W74" s="4"/>
      <c r="X74" s="22">
        <f t="shared" ref="X74:X83" si="26">+P74-T74</f>
        <v>98119.880000000121</v>
      </c>
      <c r="Y74" s="4"/>
      <c r="Z74" s="35">
        <f t="shared" ref="Z74:Z83" si="27">IF(T74=0,0,X74/T74)</f>
        <v>0.11920103042686575</v>
      </c>
    </row>
    <row r="75" spans="1:26" s="25" customFormat="1" outlineLevel="1" collapsed="1" x14ac:dyDescent="0.25">
      <c r="A75" s="26"/>
      <c r="B75" s="13" t="str">
        <f>CONCATENATE("     ","*Benefits                                         ")</f>
        <v xml:space="preserve">     *Benefits                                         </v>
      </c>
      <c r="C75" s="13"/>
      <c r="D75" s="1">
        <f>SUM(OSRRefD22_0x_0)</f>
        <v>9655.869999999999</v>
      </c>
      <c r="E75" s="1"/>
      <c r="F75" s="5">
        <f t="shared" si="20"/>
        <v>7.7463585367207696E-2</v>
      </c>
      <c r="G75" s="1"/>
      <c r="H75" s="1">
        <f>SUM(OSRRefH22_0x_0)</f>
        <v>6379.6499999999987</v>
      </c>
      <c r="I75" s="1"/>
      <c r="J75" s="5">
        <f t="shared" si="21"/>
        <v>1.5617453241154294E-2</v>
      </c>
      <c r="K75" s="1"/>
      <c r="L75" s="1">
        <f t="shared" si="22"/>
        <v>3276.2200000000003</v>
      </c>
      <c r="M75" s="1"/>
      <c r="N75" s="5">
        <f t="shared" si="23"/>
        <v>0.51354227896514715</v>
      </c>
      <c r="O75" s="13"/>
      <c r="P75" s="1">
        <f>SUM(OSRRefP22_0x_0)</f>
        <v>92288.000000000015</v>
      </c>
      <c r="Q75" s="1"/>
      <c r="R75" s="5">
        <f t="shared" si="24"/>
        <v>3.5660270298882815E-2</v>
      </c>
      <c r="S75" s="1"/>
      <c r="T75" s="1">
        <f>SUM(OSRRefT22_0x_0)</f>
        <v>73295.09</v>
      </c>
      <c r="U75" s="1"/>
      <c r="V75" s="5">
        <f t="shared" si="25"/>
        <v>2.462091488103501E-2</v>
      </c>
      <c r="W75" s="1"/>
      <c r="X75" s="1">
        <f t="shared" si="26"/>
        <v>18992.910000000018</v>
      </c>
      <c r="Y75" s="1"/>
      <c r="Z75" s="5">
        <f t="shared" si="27"/>
        <v>0.25912936323565494</v>
      </c>
    </row>
    <row r="76" spans="1:26" s="24" customFormat="1" hidden="1" outlineLevel="2" x14ac:dyDescent="0.25">
      <c r="A76" s="27"/>
      <c r="B76" s="11" t="str">
        <f>CONCATENATE("          ", "6111", " - ", "F.I.C.A.")</f>
        <v xml:space="preserve">          6111 - F.I.C.A.</v>
      </c>
      <c r="C76" s="11"/>
      <c r="D76" s="6">
        <v>2066.7800000000002</v>
      </c>
      <c r="E76" s="2"/>
      <c r="F76" s="7">
        <f t="shared" si="20"/>
        <v>1.6580607336805234E-2</v>
      </c>
      <c r="G76" s="2"/>
      <c r="H76" s="6">
        <v>1086.1600000000001</v>
      </c>
      <c r="I76" s="2"/>
      <c r="J76" s="7">
        <f t="shared" si="21"/>
        <v>2.6589316047764613E-3</v>
      </c>
      <c r="K76" s="2"/>
      <c r="L76" s="6">
        <f t="shared" si="22"/>
        <v>980.62000000000012</v>
      </c>
      <c r="M76" s="2"/>
      <c r="N76" s="7">
        <f t="shared" si="23"/>
        <v>0.90283199528614577</v>
      </c>
      <c r="O76" s="11"/>
      <c r="P76" s="6">
        <v>17452.609999999997</v>
      </c>
      <c r="Q76" s="2"/>
      <c r="R76" s="7">
        <f t="shared" si="24"/>
        <v>6.7437238863230862E-3</v>
      </c>
      <c r="S76" s="2"/>
      <c r="T76" s="6">
        <v>15192.249999999998</v>
      </c>
      <c r="U76" s="2"/>
      <c r="V76" s="7">
        <f t="shared" si="25"/>
        <v>5.1033035651010744E-3</v>
      </c>
      <c r="W76" s="2"/>
      <c r="X76" s="6">
        <f t="shared" si="26"/>
        <v>2260.3599999999988</v>
      </c>
      <c r="Y76" s="2"/>
      <c r="Z76" s="7">
        <f t="shared" si="27"/>
        <v>0.14878375487501844</v>
      </c>
    </row>
    <row r="77" spans="1:26" s="24" customFormat="1" hidden="1" outlineLevel="2" x14ac:dyDescent="0.25">
      <c r="A77" s="27"/>
      <c r="B77" s="11" t="str">
        <f>CONCATENATE("          ", "6112", " - ", "COMPENSATION INSURANCE")</f>
        <v xml:space="preserve">          6112 - COMPENSATION INSURANCE</v>
      </c>
      <c r="C77" s="11"/>
      <c r="D77" s="6">
        <v>341.19</v>
      </c>
      <c r="E77" s="2"/>
      <c r="F77" s="7">
        <f t="shared" si="20"/>
        <v>2.7371744536160486E-3</v>
      </c>
      <c r="G77" s="2"/>
      <c r="H77" s="6">
        <v>359.79</v>
      </c>
      <c r="I77" s="2"/>
      <c r="J77" s="7">
        <f t="shared" si="21"/>
        <v>8.8076987007671347E-4</v>
      </c>
      <c r="K77" s="2"/>
      <c r="L77" s="6">
        <f t="shared" si="22"/>
        <v>-18.600000000000023</v>
      </c>
      <c r="M77" s="2"/>
      <c r="N77" s="7">
        <f t="shared" si="23"/>
        <v>-5.1696823146835713E-2</v>
      </c>
      <c r="O77" s="11"/>
      <c r="P77" s="6">
        <v>5816.77</v>
      </c>
      <c r="Q77" s="2"/>
      <c r="R77" s="7">
        <f t="shared" si="24"/>
        <v>2.2476117205534043E-3</v>
      </c>
      <c r="S77" s="2"/>
      <c r="T77" s="6">
        <v>3508.08</v>
      </c>
      <c r="U77" s="2"/>
      <c r="V77" s="7">
        <f t="shared" si="25"/>
        <v>1.1784164406628233E-3</v>
      </c>
      <c r="W77" s="2"/>
      <c r="X77" s="6">
        <f t="shared" si="26"/>
        <v>2308.6900000000005</v>
      </c>
      <c r="Y77" s="2"/>
      <c r="Z77" s="7">
        <f t="shared" si="27"/>
        <v>0.65810642858771762</v>
      </c>
    </row>
    <row r="78" spans="1:26" s="24" customFormat="1" hidden="1" outlineLevel="2" x14ac:dyDescent="0.25">
      <c r="A78" s="27"/>
      <c r="B78" s="11" t="str">
        <f>CONCATENATE("          ", "6113", " - ", "GROUP INSURANCE")</f>
        <v xml:space="preserve">          6113 - GROUP INSURANCE</v>
      </c>
      <c r="C78" s="11"/>
      <c r="D78" s="6">
        <v>3476.37</v>
      </c>
      <c r="E78" s="2"/>
      <c r="F78" s="7">
        <f t="shared" si="20"/>
        <v>2.7888950893394365E-2</v>
      </c>
      <c r="G78" s="2"/>
      <c r="H78" s="6">
        <v>3252.74</v>
      </c>
      <c r="I78" s="2"/>
      <c r="J78" s="7">
        <f t="shared" si="21"/>
        <v>7.9627432313108433E-3</v>
      </c>
      <c r="K78" s="2"/>
      <c r="L78" s="6">
        <f t="shared" si="22"/>
        <v>223.63000000000011</v>
      </c>
      <c r="M78" s="2"/>
      <c r="N78" s="7">
        <f t="shared" si="23"/>
        <v>6.8751268161611478E-2</v>
      </c>
      <c r="O78" s="11"/>
      <c r="P78" s="6">
        <v>29910.700000000004</v>
      </c>
      <c r="Q78" s="2"/>
      <c r="R78" s="7">
        <f t="shared" si="24"/>
        <v>1.1557555119070672E-2</v>
      </c>
      <c r="S78" s="2"/>
      <c r="T78" s="6">
        <v>26583.37</v>
      </c>
      <c r="U78" s="2"/>
      <c r="V78" s="7">
        <f t="shared" si="25"/>
        <v>8.9297508198852016E-3</v>
      </c>
      <c r="W78" s="2"/>
      <c r="X78" s="6">
        <f t="shared" si="26"/>
        <v>3327.3300000000054</v>
      </c>
      <c r="Y78" s="2"/>
      <c r="Z78" s="7">
        <f t="shared" si="27"/>
        <v>0.12516584616623119</v>
      </c>
    </row>
    <row r="79" spans="1:26" s="24" customFormat="1" hidden="1" outlineLevel="2" x14ac:dyDescent="0.25">
      <c r="A79" s="27"/>
      <c r="B79" s="11" t="str">
        <f>CONCATENATE("          ", "6114", " - ", "STATE UNEMPLOYMENT INSURANCE")</f>
        <v xml:space="preserve">          6114 - STATE UNEMPLOYMENT INSURANCE</v>
      </c>
      <c r="C79" s="11"/>
      <c r="D79" s="6">
        <v>46.69</v>
      </c>
      <c r="E79" s="2"/>
      <c r="F79" s="7">
        <f t="shared" si="20"/>
        <v>3.7456747043973536E-4</v>
      </c>
      <c r="G79" s="2"/>
      <c r="H79" s="6">
        <v>78.61</v>
      </c>
      <c r="I79" s="2"/>
      <c r="J79" s="7">
        <f t="shared" si="21"/>
        <v>1.9243814304658395E-4</v>
      </c>
      <c r="K79" s="2"/>
      <c r="L79" s="6">
        <f t="shared" si="22"/>
        <v>-31.92</v>
      </c>
      <c r="M79" s="2"/>
      <c r="N79" s="7">
        <f t="shared" si="23"/>
        <v>-0.40605520926090832</v>
      </c>
      <c r="O79" s="11"/>
      <c r="P79" s="6">
        <v>905.48</v>
      </c>
      <c r="Q79" s="2"/>
      <c r="R79" s="7">
        <f t="shared" si="24"/>
        <v>3.4987930771316321E-4</v>
      </c>
      <c r="S79" s="2"/>
      <c r="T79" s="6">
        <v>866.35</v>
      </c>
      <c r="U79" s="2"/>
      <c r="V79" s="7">
        <f t="shared" si="25"/>
        <v>2.9101989788381027E-4</v>
      </c>
      <c r="W79" s="2"/>
      <c r="X79" s="6">
        <f t="shared" si="26"/>
        <v>39.129999999999995</v>
      </c>
      <c r="Y79" s="2"/>
      <c r="Z79" s="7">
        <f t="shared" si="27"/>
        <v>4.5166503145380038E-2</v>
      </c>
    </row>
    <row r="80" spans="1:26" s="24" customFormat="1" hidden="1" outlineLevel="2" x14ac:dyDescent="0.25">
      <c r="A80" s="27"/>
      <c r="B80" s="11" t="str">
        <f>CONCATENATE("          ", "6115", " - ", "P.E.R.S.")</f>
        <v xml:space="preserve">          6115 - P.E.R.S.</v>
      </c>
      <c r="C80" s="11"/>
      <c r="D80" s="6">
        <v>1019.1</v>
      </c>
      <c r="E80" s="2"/>
      <c r="F80" s="7">
        <f t="shared" si="20"/>
        <v>8.1756630782851645E-3</v>
      </c>
      <c r="G80" s="2"/>
      <c r="H80" s="6">
        <v>635.73</v>
      </c>
      <c r="I80" s="2"/>
      <c r="J80" s="7">
        <f t="shared" si="21"/>
        <v>1.5562740195777232E-3</v>
      </c>
      <c r="K80" s="2"/>
      <c r="L80" s="6">
        <f t="shared" si="22"/>
        <v>383.37</v>
      </c>
      <c r="M80" s="2"/>
      <c r="N80" s="7">
        <f t="shared" si="23"/>
        <v>0.60303902600160442</v>
      </c>
      <c r="O80" s="11"/>
      <c r="P80" s="6">
        <v>10158.65</v>
      </c>
      <c r="Q80" s="2"/>
      <c r="R80" s="7">
        <f t="shared" si="24"/>
        <v>3.9253229550076487E-3</v>
      </c>
      <c r="S80" s="2"/>
      <c r="T80" s="6">
        <v>9409.4</v>
      </c>
      <c r="U80" s="2"/>
      <c r="V80" s="7">
        <f t="shared" si="25"/>
        <v>3.1607579236427818E-3</v>
      </c>
      <c r="W80" s="2"/>
      <c r="X80" s="6">
        <f t="shared" si="26"/>
        <v>749.25</v>
      </c>
      <c r="Y80" s="2"/>
      <c r="Z80" s="7">
        <f t="shared" si="27"/>
        <v>7.9627818989521121E-2</v>
      </c>
    </row>
    <row r="81" spans="1:26" s="24" customFormat="1" hidden="1" outlineLevel="2" x14ac:dyDescent="0.25">
      <c r="A81" s="27"/>
      <c r="B81" s="11" t="str">
        <f>CONCATENATE("          ", "6118", " - ", "VACATION")</f>
        <v xml:space="preserve">          6118 - VACATION</v>
      </c>
      <c r="C81" s="11"/>
      <c r="D81" s="6">
        <v>1501.08</v>
      </c>
      <c r="E81" s="2"/>
      <c r="F81" s="7">
        <f t="shared" si="20"/>
        <v>1.204231609611647E-2</v>
      </c>
      <c r="G81" s="2"/>
      <c r="H81" s="6">
        <v>604.32000000000005</v>
      </c>
      <c r="I81" s="2"/>
      <c r="J81" s="7">
        <f t="shared" si="21"/>
        <v>1.4793819947323701E-3</v>
      </c>
      <c r="K81" s="2"/>
      <c r="L81" s="6">
        <f t="shared" si="22"/>
        <v>896.75999999999988</v>
      </c>
      <c r="M81" s="2"/>
      <c r="N81" s="7">
        <f t="shared" si="23"/>
        <v>1.4839158061953928</v>
      </c>
      <c r="O81" s="11"/>
      <c r="P81" s="6">
        <v>11642.46</v>
      </c>
      <c r="Q81" s="2"/>
      <c r="R81" s="7">
        <f t="shared" si="24"/>
        <v>4.4986701471906544E-3</v>
      </c>
      <c r="S81" s="2"/>
      <c r="T81" s="6">
        <v>8783.35</v>
      </c>
      <c r="U81" s="2"/>
      <c r="V81" s="7">
        <f t="shared" si="25"/>
        <v>2.9504583829604255E-3</v>
      </c>
      <c r="W81" s="2"/>
      <c r="X81" s="6">
        <f t="shared" si="26"/>
        <v>2859.1099999999988</v>
      </c>
      <c r="Y81" s="2"/>
      <c r="Z81" s="7">
        <f t="shared" si="27"/>
        <v>0.3255147523439233</v>
      </c>
    </row>
    <row r="82" spans="1:26" s="24" customFormat="1" hidden="1" outlineLevel="2" x14ac:dyDescent="0.25">
      <c r="A82" s="27"/>
      <c r="B82" s="11" t="str">
        <f>CONCATENATE("          ", "6119", " - ", "SICK LEAVE")</f>
        <v xml:space="preserve">          6119 - SICK LEAVE</v>
      </c>
      <c r="C82" s="11"/>
      <c r="D82" s="6">
        <v>1058.1600000000001</v>
      </c>
      <c r="E82" s="2"/>
      <c r="F82" s="7">
        <f t="shared" si="20"/>
        <v>8.4890193728959177E-3</v>
      </c>
      <c r="G82" s="2"/>
      <c r="H82" s="6">
        <v>362.3</v>
      </c>
      <c r="I82" s="2"/>
      <c r="J82" s="7">
        <f t="shared" si="21"/>
        <v>8.8691437763360086E-4</v>
      </c>
      <c r="K82" s="2"/>
      <c r="L82" s="6">
        <f t="shared" si="22"/>
        <v>695.86000000000013</v>
      </c>
      <c r="M82" s="2"/>
      <c r="N82" s="7">
        <f t="shared" si="23"/>
        <v>1.9206734750207013</v>
      </c>
      <c r="O82" s="11"/>
      <c r="P82" s="6">
        <v>13952.55</v>
      </c>
      <c r="Q82" s="2"/>
      <c r="R82" s="7">
        <f t="shared" si="24"/>
        <v>5.3912936065217288E-3</v>
      </c>
      <c r="S82" s="2"/>
      <c r="T82" s="6">
        <v>6429.15</v>
      </c>
      <c r="U82" s="2"/>
      <c r="V82" s="7">
        <f t="shared" si="25"/>
        <v>2.1596474594329064E-3</v>
      </c>
      <c r="W82" s="2"/>
      <c r="X82" s="6">
        <f t="shared" si="26"/>
        <v>7523.4</v>
      </c>
      <c r="Y82" s="2"/>
      <c r="Z82" s="7">
        <f t="shared" si="27"/>
        <v>1.1702013485452976</v>
      </c>
    </row>
    <row r="83" spans="1:26" s="24" customFormat="1" hidden="1" outlineLevel="2" x14ac:dyDescent="0.25">
      <c r="A83" s="27"/>
      <c r="B83" s="11" t="str">
        <f>CONCATENATE("          ", "6156", " - ", "EMPLOYEE MEALS")</f>
        <v xml:space="preserve">          6156 - EMPLOYEE MEALS</v>
      </c>
      <c r="C83" s="11"/>
      <c r="D83" s="6">
        <v>146.5</v>
      </c>
      <c r="E83" s="2"/>
      <c r="F83" s="7">
        <f t="shared" si="20"/>
        <v>1.1752866656547704E-3</v>
      </c>
      <c r="G83" s="2"/>
      <c r="H83" s="6"/>
      <c r="I83" s="2"/>
      <c r="J83" s="7">
        <f t="shared" si="21"/>
        <v>0</v>
      </c>
      <c r="K83" s="2"/>
      <c r="L83" s="6">
        <f t="shared" si="22"/>
        <v>146.5</v>
      </c>
      <c r="M83" s="2"/>
      <c r="N83" s="7">
        <f t="shared" si="23"/>
        <v>0</v>
      </c>
      <c r="O83" s="11"/>
      <c r="P83" s="6">
        <v>2448.7800000000002</v>
      </c>
      <c r="Q83" s="2"/>
      <c r="R83" s="7">
        <f t="shared" si="24"/>
        <v>9.4621355650245165E-4</v>
      </c>
      <c r="S83" s="2"/>
      <c r="T83" s="6">
        <v>2523.14</v>
      </c>
      <c r="U83" s="2"/>
      <c r="V83" s="7">
        <f t="shared" si="25"/>
        <v>8.4756039146598595E-4</v>
      </c>
      <c r="W83" s="2"/>
      <c r="X83" s="6">
        <f t="shared" si="26"/>
        <v>-74.359999999999673</v>
      </c>
      <c r="Y83" s="2"/>
      <c r="Z83" s="7">
        <f t="shared" si="27"/>
        <v>-2.947121443915109E-2</v>
      </c>
    </row>
    <row r="84" spans="1:26" s="25" customFormat="1" outlineLevel="1" collapsed="1" x14ac:dyDescent="0.25">
      <c r="A84" s="26"/>
      <c r="B84" s="13" t="str">
        <f>CONCATENATE("     ","*Payroll                                          ")</f>
        <v xml:space="preserve">     *Payroll                                          </v>
      </c>
      <c r="C84" s="13"/>
      <c r="D84" s="1">
        <f>SUM(OSRRefD22_1x_0)</f>
        <v>14784.730000000001</v>
      </c>
      <c r="E84" s="1"/>
      <c r="F84" s="5">
        <f t="shared" ref="F84:F90" si="28">IF(D$12=0,0,D84/D$12)</f>
        <v>0.11860952917615056</v>
      </c>
      <c r="G84" s="1"/>
      <c r="H84" s="1">
        <f>SUM(OSRRefH22_1x_0)</f>
        <v>30550.240000000002</v>
      </c>
      <c r="I84" s="1"/>
      <c r="J84" s="5">
        <f t="shared" ref="J84:J90" si="29">IF(H$12=0,0,H84/H$12)</f>
        <v>7.4787322926185867E-2</v>
      </c>
      <c r="K84" s="1"/>
      <c r="L84" s="1">
        <f t="shared" ref="L84:L90" si="30">+D84-H84</f>
        <v>-15765.51</v>
      </c>
      <c r="M84" s="1"/>
      <c r="N84" s="5">
        <f t="shared" ref="N84:N90" si="31">IF(H84=0,0,L84/H84)</f>
        <v>-0.51605191972305287</v>
      </c>
      <c r="O84" s="13"/>
      <c r="P84" s="1">
        <f>SUM(OSRRefP22_1x_0)</f>
        <v>337848.54000000004</v>
      </c>
      <c r="Q84" s="1"/>
      <c r="R84" s="5">
        <f t="shared" ref="R84:R90" si="32">IF(P$12=0,0,P84/P$12)</f>
        <v>0.13054536078886661</v>
      </c>
      <c r="S84" s="1"/>
      <c r="T84" s="1">
        <f>SUM(OSRRefT22_1x_0)</f>
        <v>309524.40999999997</v>
      </c>
      <c r="U84" s="1"/>
      <c r="V84" s="5">
        <f t="shared" ref="V84:V90" si="33">IF(T$12=0,0,T84/T$12)</f>
        <v>0.10397386990332615</v>
      </c>
      <c r="W84" s="1"/>
      <c r="X84" s="1">
        <f t="shared" ref="X84:X90" si="34">+P84-T84</f>
        <v>28324.130000000063</v>
      </c>
      <c r="Y84" s="1"/>
      <c r="Z84" s="5">
        <f t="shared" ref="Z84:Z90" si="35">IF(T84=0,0,X84/T84)</f>
        <v>9.1508550165720584E-2</v>
      </c>
    </row>
    <row r="85" spans="1:26" s="24" customFormat="1" hidden="1" outlineLevel="2" x14ac:dyDescent="0.25">
      <c r="A85" s="27"/>
      <c r="B85" s="11" t="str">
        <f>CONCATENATE("          ", "6002", " - ", "STAFF SALARIES")</f>
        <v xml:space="preserve">          6002 - STAFF SALARIES</v>
      </c>
      <c r="C85" s="11"/>
      <c r="D85" s="6">
        <v>7549.7</v>
      </c>
      <c r="E85" s="2"/>
      <c r="F85" s="7">
        <f t="shared" si="28"/>
        <v>6.0566974332381028E-2</v>
      </c>
      <c r="G85" s="2"/>
      <c r="H85" s="6">
        <v>4430.16</v>
      </c>
      <c r="I85" s="2"/>
      <c r="J85" s="7">
        <f t="shared" si="29"/>
        <v>1.0845080318016211E-2</v>
      </c>
      <c r="K85" s="2"/>
      <c r="L85" s="6">
        <f t="shared" si="30"/>
        <v>3119.54</v>
      </c>
      <c r="M85" s="2"/>
      <c r="N85" s="7">
        <f t="shared" si="31"/>
        <v>0.704159669176734</v>
      </c>
      <c r="O85" s="11"/>
      <c r="P85" s="6">
        <v>96097</v>
      </c>
      <c r="Q85" s="2"/>
      <c r="R85" s="7">
        <f t="shared" si="32"/>
        <v>3.7132075621009682E-2</v>
      </c>
      <c r="S85" s="2"/>
      <c r="T85" s="6">
        <v>88461.67</v>
      </c>
      <c r="U85" s="2"/>
      <c r="V85" s="7">
        <f t="shared" si="33"/>
        <v>2.9715595509933999E-2</v>
      </c>
      <c r="W85" s="2"/>
      <c r="X85" s="6">
        <f t="shared" si="34"/>
        <v>7635.3300000000017</v>
      </c>
      <c r="Y85" s="2"/>
      <c r="Z85" s="7">
        <f t="shared" si="35"/>
        <v>8.6312297744322503E-2</v>
      </c>
    </row>
    <row r="86" spans="1:26" s="24" customFormat="1" hidden="1" outlineLevel="2" x14ac:dyDescent="0.25">
      <c r="A86" s="27"/>
      <c r="B86" s="11" t="str">
        <f>CONCATENATE("          ", "6004", " - ", "STAFF HOURLY")</f>
        <v xml:space="preserve">          6004 - STAFF HOURLY</v>
      </c>
      <c r="C86" s="11"/>
      <c r="D86" s="6">
        <v>4882.32</v>
      </c>
      <c r="E86" s="2"/>
      <c r="F86" s="7">
        <f t="shared" si="28"/>
        <v>3.9168092788120126E-2</v>
      </c>
      <c r="G86" s="2"/>
      <c r="H86" s="6"/>
      <c r="I86" s="2"/>
      <c r="J86" s="7">
        <f t="shared" si="29"/>
        <v>0</v>
      </c>
      <c r="K86" s="2"/>
      <c r="L86" s="6">
        <f t="shared" si="30"/>
        <v>4882.32</v>
      </c>
      <c r="M86" s="2"/>
      <c r="N86" s="7">
        <f t="shared" si="31"/>
        <v>0</v>
      </c>
      <c r="O86" s="11"/>
      <c r="P86" s="6">
        <v>12748.51</v>
      </c>
      <c r="Q86" s="2"/>
      <c r="R86" s="7">
        <f t="shared" si="32"/>
        <v>4.9260501095268125E-3</v>
      </c>
      <c r="S86" s="2"/>
      <c r="T86" s="6"/>
      <c r="U86" s="2"/>
      <c r="V86" s="7">
        <f t="shared" si="33"/>
        <v>0</v>
      </c>
      <c r="W86" s="2"/>
      <c r="X86" s="6">
        <f t="shared" si="34"/>
        <v>12748.51</v>
      </c>
      <c r="Y86" s="2"/>
      <c r="Z86" s="7">
        <f t="shared" si="35"/>
        <v>0</v>
      </c>
    </row>
    <row r="87" spans="1:26" s="24" customFormat="1" hidden="1" outlineLevel="2" x14ac:dyDescent="0.25">
      <c r="A87" s="27"/>
      <c r="B87" s="11" t="str">
        <f>CONCATENATE("          ", "6005", " - ", "TEMPORARY WAGES-HOURLY")</f>
        <v xml:space="preserve">          6005 - TEMPORARY WAGES-HOURLY</v>
      </c>
      <c r="C87" s="11"/>
      <c r="D87" s="6">
        <v>1196.76</v>
      </c>
      <c r="E87" s="2"/>
      <c r="F87" s="7">
        <f t="shared" si="28"/>
        <v>9.6009288053856869E-3</v>
      </c>
      <c r="G87" s="2"/>
      <c r="H87" s="6">
        <v>5640.54</v>
      </c>
      <c r="I87" s="2"/>
      <c r="J87" s="7">
        <f t="shared" si="29"/>
        <v>1.3808103846584133E-2</v>
      </c>
      <c r="K87" s="2"/>
      <c r="L87" s="6">
        <f t="shared" si="30"/>
        <v>-4443.78</v>
      </c>
      <c r="M87" s="2"/>
      <c r="N87" s="7">
        <f t="shared" si="31"/>
        <v>-0.7878288248997436</v>
      </c>
      <c r="O87" s="11"/>
      <c r="P87" s="6">
        <v>42291.11</v>
      </c>
      <c r="Q87" s="2"/>
      <c r="R87" s="7">
        <f t="shared" si="32"/>
        <v>1.6341370642334711E-2</v>
      </c>
      <c r="S87" s="2"/>
      <c r="T87" s="6">
        <v>52366.380000000005</v>
      </c>
      <c r="U87" s="2"/>
      <c r="V87" s="7">
        <f t="shared" si="33"/>
        <v>1.7590648767986154E-2</v>
      </c>
      <c r="W87" s="2"/>
      <c r="X87" s="6">
        <f t="shared" si="34"/>
        <v>-10075.270000000004</v>
      </c>
      <c r="Y87" s="2"/>
      <c r="Z87" s="7">
        <f t="shared" si="35"/>
        <v>-0.19239958920207972</v>
      </c>
    </row>
    <row r="88" spans="1:26" s="24" customFormat="1" hidden="1" outlineLevel="2" x14ac:dyDescent="0.25">
      <c r="A88" s="27"/>
      <c r="B88" s="11" t="str">
        <f>CONCATENATE("          ", "6006", " - ", "TEMPORARY PART TIME")</f>
        <v xml:space="preserve">          6006 - TEMPORARY PART TIME</v>
      </c>
      <c r="C88" s="11"/>
      <c r="D88" s="6"/>
      <c r="E88" s="2"/>
      <c r="F88" s="7">
        <f t="shared" si="28"/>
        <v>0</v>
      </c>
      <c r="G88" s="2"/>
      <c r="H88" s="6">
        <v>1348.32</v>
      </c>
      <c r="I88" s="2"/>
      <c r="J88" s="7">
        <f t="shared" si="29"/>
        <v>3.3007021629890606E-3</v>
      </c>
      <c r="K88" s="2"/>
      <c r="L88" s="6">
        <f t="shared" si="30"/>
        <v>-1348.32</v>
      </c>
      <c r="M88" s="2"/>
      <c r="N88" s="7">
        <f t="shared" si="31"/>
        <v>-1</v>
      </c>
      <c r="O88" s="11"/>
      <c r="P88" s="6">
        <v>1227.45</v>
      </c>
      <c r="Q88" s="2"/>
      <c r="R88" s="7">
        <f t="shared" si="32"/>
        <v>4.7428916845487719E-4</v>
      </c>
      <c r="S88" s="2"/>
      <c r="T88" s="6">
        <v>12430.05</v>
      </c>
      <c r="U88" s="2"/>
      <c r="V88" s="7">
        <f t="shared" si="33"/>
        <v>4.1754393509443703E-3</v>
      </c>
      <c r="W88" s="2"/>
      <c r="X88" s="6">
        <f t="shared" si="34"/>
        <v>-11202.599999999999</v>
      </c>
      <c r="Y88" s="2"/>
      <c r="Z88" s="7">
        <f t="shared" si="35"/>
        <v>-0.90125140285035055</v>
      </c>
    </row>
    <row r="89" spans="1:26" s="24" customFormat="1" hidden="1" outlineLevel="2" x14ac:dyDescent="0.25">
      <c r="A89" s="27"/>
      <c r="B89" s="11" t="str">
        <f>CONCATENATE("          ", "6007", " - ", "STUDENT HOURLY")</f>
        <v xml:space="preserve">          6007 - STUDENT HOURLY</v>
      </c>
      <c r="C89" s="11"/>
      <c r="D89" s="6">
        <v>1155.95</v>
      </c>
      <c r="E89" s="2"/>
      <c r="F89" s="7">
        <f t="shared" si="28"/>
        <v>9.2735332502636991E-3</v>
      </c>
      <c r="G89" s="2"/>
      <c r="H89" s="6">
        <v>19023.22</v>
      </c>
      <c r="I89" s="2"/>
      <c r="J89" s="7">
        <f t="shared" si="29"/>
        <v>4.6569051412881785E-2</v>
      </c>
      <c r="K89" s="2"/>
      <c r="L89" s="6">
        <f t="shared" si="30"/>
        <v>-17867.27</v>
      </c>
      <c r="M89" s="2"/>
      <c r="N89" s="7">
        <f t="shared" si="31"/>
        <v>-0.93923478780143421</v>
      </c>
      <c r="O89" s="11"/>
      <c r="P89" s="6">
        <v>185289.47</v>
      </c>
      <c r="Q89" s="2"/>
      <c r="R89" s="7">
        <f t="shared" si="32"/>
        <v>7.1596226852209788E-2</v>
      </c>
      <c r="S89" s="2"/>
      <c r="T89" s="6">
        <v>155445.06</v>
      </c>
      <c r="U89" s="2"/>
      <c r="V89" s="7">
        <f t="shared" si="33"/>
        <v>5.2216316139831194E-2</v>
      </c>
      <c r="W89" s="2"/>
      <c r="X89" s="6">
        <f t="shared" si="34"/>
        <v>29844.410000000003</v>
      </c>
      <c r="Y89" s="2"/>
      <c r="Z89" s="7">
        <f t="shared" si="35"/>
        <v>0.19199329975491022</v>
      </c>
    </row>
    <row r="90" spans="1:26" s="24" customFormat="1" hidden="1" outlineLevel="2" x14ac:dyDescent="0.25">
      <c r="A90" s="27"/>
      <c r="B90" s="11" t="str">
        <f>CONCATENATE("          ", "6008", " - ", "STUDENT HOURLY-FICA EXEMPT")</f>
        <v xml:space="preserve">          6008 - STUDENT HOURLY-FICA EXEMPT</v>
      </c>
      <c r="C90" s="11"/>
      <c r="D90" s="6"/>
      <c r="E90" s="2"/>
      <c r="F90" s="7">
        <f t="shared" si="28"/>
        <v>0</v>
      </c>
      <c r="G90" s="2"/>
      <c r="H90" s="6">
        <v>108</v>
      </c>
      <c r="I90" s="2"/>
      <c r="J90" s="7">
        <f t="shared" si="29"/>
        <v>2.6438518571468089E-4</v>
      </c>
      <c r="K90" s="2"/>
      <c r="L90" s="6">
        <f t="shared" si="30"/>
        <v>-108</v>
      </c>
      <c r="M90" s="2"/>
      <c r="N90" s="7">
        <f t="shared" si="31"/>
        <v>-1</v>
      </c>
      <c r="O90" s="11"/>
      <c r="P90" s="6">
        <v>195</v>
      </c>
      <c r="Q90" s="2"/>
      <c r="R90" s="7">
        <f t="shared" si="32"/>
        <v>7.5348395330727163E-5</v>
      </c>
      <c r="S90" s="2"/>
      <c r="T90" s="6">
        <v>821.25</v>
      </c>
      <c r="U90" s="2"/>
      <c r="V90" s="7">
        <f t="shared" si="33"/>
        <v>2.7587013463043706E-4</v>
      </c>
      <c r="W90" s="2"/>
      <c r="X90" s="6">
        <f t="shared" si="34"/>
        <v>-626.25</v>
      </c>
      <c r="Y90" s="2"/>
      <c r="Z90" s="7">
        <f t="shared" si="35"/>
        <v>-0.76255707762557079</v>
      </c>
    </row>
    <row r="91" spans="1:26" s="25" customFormat="1" outlineLevel="1" collapsed="1" x14ac:dyDescent="0.25">
      <c r="A91" s="26"/>
      <c r="B91" s="13" t="str">
        <f>CONCATENATE("     ","Advertising/Promo                                 ")</f>
        <v xml:space="preserve">     Advertising/Promo                                 </v>
      </c>
      <c r="C91" s="13"/>
      <c r="D91" s="1">
        <f>SUM(OSRRefD22_2x_0)</f>
        <v>799.5</v>
      </c>
      <c r="E91" s="1"/>
      <c r="F91" s="5">
        <f t="shared" ref="F91:F99" si="36">IF(D$12=0,0,D91/D$12)</f>
        <v>6.413936444989686E-3</v>
      </c>
      <c r="G91" s="1"/>
      <c r="H91" s="1">
        <f>SUM(OSRRefH22_2x_0)</f>
        <v>651.53</v>
      </c>
      <c r="I91" s="1"/>
      <c r="J91" s="5">
        <f t="shared" ref="J91:J99" si="37">IF(H$12=0,0,H91/H$12)</f>
        <v>1.5949525930433893E-3</v>
      </c>
      <c r="K91" s="1"/>
      <c r="L91" s="1">
        <f t="shared" ref="L91:L99" si="38">+D91-H91</f>
        <v>147.97000000000003</v>
      </c>
      <c r="M91" s="1"/>
      <c r="N91" s="5">
        <f t="shared" ref="N91:N99" si="39">IF(H91=0,0,L91/H91)</f>
        <v>0.22711156815495839</v>
      </c>
      <c r="O91" s="13"/>
      <c r="P91" s="1">
        <f>SUM(OSRRefP22_2x_0)</f>
        <v>21824.68</v>
      </c>
      <c r="Q91" s="1"/>
      <c r="R91" s="5">
        <f t="shared" ref="R91:R99" si="40">IF(P$12=0,0,P91/P$12)</f>
        <v>8.433100597982638E-3</v>
      </c>
      <c r="S91" s="1"/>
      <c r="T91" s="1">
        <f>SUM(OSRRefT22_2x_0)</f>
        <v>9928.67</v>
      </c>
      <c r="U91" s="1"/>
      <c r="V91" s="5">
        <f t="shared" ref="V91:V99" si="41">IF(T$12=0,0,T91/T$12)</f>
        <v>3.3351884683119411E-3</v>
      </c>
      <c r="W91" s="1"/>
      <c r="X91" s="1">
        <f t="shared" ref="X91:X99" si="42">+P91-T91</f>
        <v>11896.01</v>
      </c>
      <c r="Y91" s="1"/>
      <c r="Z91" s="5">
        <f t="shared" ref="Z91:Z99" si="43">IF(T91=0,0,X91/T91)</f>
        <v>1.1981473852993403</v>
      </c>
    </row>
    <row r="92" spans="1:26" s="24" customFormat="1" hidden="1" outlineLevel="2" x14ac:dyDescent="0.25">
      <c r="A92" s="27"/>
      <c r="B92" s="11" t="str">
        <f>CONCATENATE("          ", "6362", " - ", "ADVERTISING EXPENSE")</f>
        <v xml:space="preserve">          6362 - ADVERTISING EXPENSE</v>
      </c>
      <c r="C92" s="11"/>
      <c r="D92" s="6">
        <v>799.5</v>
      </c>
      <c r="E92" s="2"/>
      <c r="F92" s="7">
        <f t="shared" si="36"/>
        <v>6.413936444989686E-3</v>
      </c>
      <c r="G92" s="2"/>
      <c r="H92" s="6">
        <v>651.53</v>
      </c>
      <c r="I92" s="2"/>
      <c r="J92" s="7">
        <f t="shared" si="37"/>
        <v>1.5949525930433893E-3</v>
      </c>
      <c r="K92" s="2"/>
      <c r="L92" s="6">
        <f t="shared" si="38"/>
        <v>147.97000000000003</v>
      </c>
      <c r="M92" s="2"/>
      <c r="N92" s="7">
        <f t="shared" si="39"/>
        <v>0.22711156815495839</v>
      </c>
      <c r="O92" s="11"/>
      <c r="P92" s="6">
        <v>21824.68</v>
      </c>
      <c r="Q92" s="2"/>
      <c r="R92" s="7">
        <f t="shared" si="40"/>
        <v>8.433100597982638E-3</v>
      </c>
      <c r="S92" s="2"/>
      <c r="T92" s="6">
        <v>9928.67</v>
      </c>
      <c r="U92" s="2"/>
      <c r="V92" s="7">
        <f t="shared" si="41"/>
        <v>3.3351884683119411E-3</v>
      </c>
      <c r="W92" s="2"/>
      <c r="X92" s="6">
        <f t="shared" si="42"/>
        <v>11896.01</v>
      </c>
      <c r="Y92" s="2"/>
      <c r="Z92" s="7">
        <f t="shared" si="43"/>
        <v>1.1981473852993403</v>
      </c>
    </row>
    <row r="93" spans="1:26" s="25" customFormat="1" outlineLevel="1" collapsed="1" x14ac:dyDescent="0.25">
      <c r="A93" s="26"/>
      <c r="B93" s="13" t="str">
        <f>CONCATENATE("     ","Bad Debts/Over/Short                              ")</f>
        <v xml:space="preserve">     Bad Debts/Over/Short                              </v>
      </c>
      <c r="C93" s="13"/>
      <c r="D93" s="1">
        <f>SUM(OSRRefD22_3x_0)</f>
        <v>0</v>
      </c>
      <c r="E93" s="1"/>
      <c r="F93" s="5">
        <f t="shared" si="36"/>
        <v>0</v>
      </c>
      <c r="G93" s="1"/>
      <c r="H93" s="1">
        <f>SUM(OSRRefH22_3x_0)</f>
        <v>-0.47</v>
      </c>
      <c r="I93" s="1"/>
      <c r="J93" s="5">
        <f t="shared" si="37"/>
        <v>-1.1505651600546299E-6</v>
      </c>
      <c r="K93" s="1"/>
      <c r="L93" s="1">
        <f t="shared" si="38"/>
        <v>0.47</v>
      </c>
      <c r="M93" s="1"/>
      <c r="N93" s="5">
        <f t="shared" si="39"/>
        <v>-1</v>
      </c>
      <c r="O93" s="13"/>
      <c r="P93" s="1">
        <f>SUM(OSRRefP22_3x_0)</f>
        <v>44.45</v>
      </c>
      <c r="Q93" s="1"/>
      <c r="R93" s="5">
        <f t="shared" si="40"/>
        <v>1.7175570115132421E-5</v>
      </c>
      <c r="S93" s="1"/>
      <c r="T93" s="1">
        <f>SUM(OSRRefT22_3x_0)</f>
        <v>137.32</v>
      </c>
      <c r="U93" s="1"/>
      <c r="V93" s="5">
        <f t="shared" si="41"/>
        <v>4.6127837914705164E-5</v>
      </c>
      <c r="W93" s="1"/>
      <c r="X93" s="1">
        <f t="shared" si="42"/>
        <v>-92.86999999999999</v>
      </c>
      <c r="Y93" s="1"/>
      <c r="Z93" s="5">
        <f t="shared" si="43"/>
        <v>-0.6763035246140402</v>
      </c>
    </row>
    <row r="94" spans="1:26" s="24" customFormat="1" hidden="1" outlineLevel="2" x14ac:dyDescent="0.25">
      <c r="A94" s="27"/>
      <c r="B94" s="11" t="str">
        <f>CONCATENATE("          ", "6272", " - ", "CASH (OVER/SHORT)")</f>
        <v xml:space="preserve">          6272 - CASH (OVER/SHORT)</v>
      </c>
      <c r="C94" s="11"/>
      <c r="D94" s="6"/>
      <c r="E94" s="2"/>
      <c r="F94" s="7">
        <f t="shared" si="36"/>
        <v>0</v>
      </c>
      <c r="G94" s="2"/>
      <c r="H94" s="6">
        <v>-0.47</v>
      </c>
      <c r="I94" s="2"/>
      <c r="J94" s="7">
        <f t="shared" si="37"/>
        <v>-1.1505651600546299E-6</v>
      </c>
      <c r="K94" s="2"/>
      <c r="L94" s="6">
        <f t="shared" si="38"/>
        <v>0.47</v>
      </c>
      <c r="M94" s="2"/>
      <c r="N94" s="7">
        <f t="shared" si="39"/>
        <v>-1</v>
      </c>
      <c r="O94" s="11"/>
      <c r="P94" s="6">
        <v>44.45</v>
      </c>
      <c r="Q94" s="2"/>
      <c r="R94" s="7">
        <f t="shared" si="40"/>
        <v>1.7175570115132421E-5</v>
      </c>
      <c r="S94" s="2"/>
      <c r="T94" s="6">
        <v>137.32</v>
      </c>
      <c r="U94" s="2"/>
      <c r="V94" s="7">
        <f t="shared" si="41"/>
        <v>4.6127837914705164E-5</v>
      </c>
      <c r="W94" s="2"/>
      <c r="X94" s="6">
        <f t="shared" si="42"/>
        <v>-92.86999999999999</v>
      </c>
      <c r="Y94" s="2"/>
      <c r="Z94" s="7">
        <f t="shared" si="43"/>
        <v>-0.6763035246140402</v>
      </c>
    </row>
    <row r="95" spans="1:26" s="25" customFormat="1" outlineLevel="1" collapsed="1" x14ac:dyDescent="0.25">
      <c r="A95" s="26"/>
      <c r="B95" s="13" t="str">
        <f>CONCATENATE("     ","Bank/card Fees                                    ")</f>
        <v xml:space="preserve">     Bank/card Fees                                    </v>
      </c>
      <c r="C95" s="13"/>
      <c r="D95" s="1">
        <f>SUM(OSRRefD22_4x_0)</f>
        <v>13.04</v>
      </c>
      <c r="E95" s="1"/>
      <c r="F95" s="5">
        <f t="shared" si="36"/>
        <v>1.0461254689514134E-4</v>
      </c>
      <c r="G95" s="1"/>
      <c r="H95" s="1">
        <f>SUM(OSRRefH22_4x_0)</f>
        <v>539.79999999999995</v>
      </c>
      <c r="I95" s="1"/>
      <c r="J95" s="5">
        <f t="shared" si="37"/>
        <v>1.3214363263776366E-3</v>
      </c>
      <c r="K95" s="1"/>
      <c r="L95" s="1">
        <f t="shared" si="38"/>
        <v>-526.76</v>
      </c>
      <c r="M95" s="1"/>
      <c r="N95" s="5">
        <f t="shared" si="39"/>
        <v>-0.97584290477954805</v>
      </c>
      <c r="O95" s="13"/>
      <c r="P95" s="1">
        <f>SUM(OSRRefP22_4x_0)</f>
        <v>6160.92</v>
      </c>
      <c r="Q95" s="1"/>
      <c r="R95" s="5">
        <f t="shared" si="40"/>
        <v>2.3805919782614541E-3</v>
      </c>
      <c r="S95" s="1"/>
      <c r="T95" s="1">
        <f>SUM(OSRRefT22_4x_0)</f>
        <v>6088.83</v>
      </c>
      <c r="U95" s="1"/>
      <c r="V95" s="5">
        <f t="shared" si="41"/>
        <v>2.0453288911316215E-3</v>
      </c>
      <c r="W95" s="1"/>
      <c r="X95" s="1">
        <f t="shared" si="42"/>
        <v>72.090000000000146</v>
      </c>
      <c r="Y95" s="1"/>
      <c r="Z95" s="5">
        <f t="shared" si="43"/>
        <v>1.1839713048319652E-2</v>
      </c>
    </row>
    <row r="96" spans="1:26" s="24" customFormat="1" hidden="1" outlineLevel="2" x14ac:dyDescent="0.25">
      <c r="A96" s="27"/>
      <c r="B96" s="11" t="str">
        <f>CONCATENATE("          ", "6381", " - ", "BANK/CREDIT CARD FEES")</f>
        <v xml:space="preserve">          6381 - BANK/CREDIT CARD FEES</v>
      </c>
      <c r="C96" s="11"/>
      <c r="D96" s="6">
        <v>13.04</v>
      </c>
      <c r="E96" s="2"/>
      <c r="F96" s="7">
        <f t="shared" si="36"/>
        <v>1.0461254689514134E-4</v>
      </c>
      <c r="G96" s="2"/>
      <c r="H96" s="6">
        <v>539.79999999999995</v>
      </c>
      <c r="I96" s="2"/>
      <c r="J96" s="7">
        <f t="shared" si="37"/>
        <v>1.3214363263776366E-3</v>
      </c>
      <c r="K96" s="2"/>
      <c r="L96" s="6">
        <f t="shared" si="38"/>
        <v>-526.76</v>
      </c>
      <c r="M96" s="2"/>
      <c r="N96" s="7">
        <f t="shared" si="39"/>
        <v>-0.97584290477954805</v>
      </c>
      <c r="O96" s="11"/>
      <c r="P96" s="6">
        <v>6160.92</v>
      </c>
      <c r="Q96" s="2"/>
      <c r="R96" s="7">
        <f t="shared" si="40"/>
        <v>2.3805919782614541E-3</v>
      </c>
      <c r="S96" s="2"/>
      <c r="T96" s="6">
        <v>6088.83</v>
      </c>
      <c r="U96" s="2"/>
      <c r="V96" s="7">
        <f t="shared" si="41"/>
        <v>2.0453288911316215E-3</v>
      </c>
      <c r="W96" s="2"/>
      <c r="X96" s="6">
        <f t="shared" si="42"/>
        <v>72.090000000000146</v>
      </c>
      <c r="Y96" s="2"/>
      <c r="Z96" s="7">
        <f t="shared" si="43"/>
        <v>1.1839713048319652E-2</v>
      </c>
    </row>
    <row r="97" spans="1:26" s="25" customFormat="1" outlineLevel="1" collapsed="1" x14ac:dyDescent="0.25">
      <c r="A97" s="26"/>
      <c r="B97" s="13" t="str">
        <f>CONCATENATE("     ","Discounts and Markdowns                           ")</f>
        <v xml:space="preserve">     Discounts and Markdowns                           </v>
      </c>
      <c r="C97" s="13"/>
      <c r="D97" s="1">
        <f>SUM(OSRRefD22_5x_0)</f>
        <v>30989.040000000001</v>
      </c>
      <c r="E97" s="1"/>
      <c r="F97" s="5">
        <f t="shared" si="36"/>
        <v>0.24860754603032295</v>
      </c>
      <c r="G97" s="1"/>
      <c r="H97" s="1">
        <f>SUM(OSRRefH22_5x_0)</f>
        <v>27618.9</v>
      </c>
      <c r="I97" s="1"/>
      <c r="J97" s="5">
        <f t="shared" si="37"/>
        <v>6.7611370423474079E-2</v>
      </c>
      <c r="K97" s="1"/>
      <c r="L97" s="1">
        <f t="shared" si="38"/>
        <v>3370.1399999999994</v>
      </c>
      <c r="M97" s="1"/>
      <c r="N97" s="5">
        <f t="shared" si="39"/>
        <v>0.12202296253652388</v>
      </c>
      <c r="O97" s="13"/>
      <c r="P97" s="1">
        <f>SUM(OSRRefP22_5x_0)</f>
        <v>285852.18</v>
      </c>
      <c r="Q97" s="1"/>
      <c r="R97" s="5">
        <f t="shared" si="40"/>
        <v>0.11045386187071886</v>
      </c>
      <c r="S97" s="1"/>
      <c r="T97" s="1">
        <f>SUM(OSRRefT22_5x_0)</f>
        <v>252878.90000000002</v>
      </c>
      <c r="U97" s="1"/>
      <c r="V97" s="5">
        <f t="shared" si="41"/>
        <v>8.4945797489432984E-2</v>
      </c>
      <c r="W97" s="1"/>
      <c r="X97" s="1">
        <f t="shared" si="42"/>
        <v>32973.27999999997</v>
      </c>
      <c r="Y97" s="1"/>
      <c r="Z97" s="5">
        <f t="shared" si="43"/>
        <v>0.13039158269037063</v>
      </c>
    </row>
    <row r="98" spans="1:26" s="24" customFormat="1" hidden="1" outlineLevel="2" x14ac:dyDescent="0.25">
      <c r="A98" s="27"/>
      <c r="B98" s="11" t="str">
        <f>CONCATENATE("          ", "6382", " - ", "DISCOUNTS/MARK DOWNS")</f>
        <v xml:space="preserve">          6382 - DISCOUNTS/MARK DOWNS</v>
      </c>
      <c r="C98" s="11"/>
      <c r="D98" s="6">
        <v>30989.040000000001</v>
      </c>
      <c r="E98" s="2"/>
      <c r="F98" s="7">
        <f t="shared" si="36"/>
        <v>0.24860754603032295</v>
      </c>
      <c r="G98" s="2"/>
      <c r="H98" s="6">
        <v>27618.9</v>
      </c>
      <c r="I98" s="2"/>
      <c r="J98" s="7">
        <f t="shared" si="37"/>
        <v>6.7611370423474079E-2</v>
      </c>
      <c r="K98" s="2"/>
      <c r="L98" s="6">
        <f t="shared" si="38"/>
        <v>3370.1399999999994</v>
      </c>
      <c r="M98" s="2"/>
      <c r="N98" s="7">
        <f t="shared" si="39"/>
        <v>0.12202296253652388</v>
      </c>
      <c r="O98" s="11"/>
      <c r="P98" s="6">
        <v>285871.57</v>
      </c>
      <c r="Q98" s="2"/>
      <c r="R98" s="7">
        <f t="shared" si="40"/>
        <v>0.11046135420602894</v>
      </c>
      <c r="S98" s="2"/>
      <c r="T98" s="6">
        <v>252884.76</v>
      </c>
      <c r="U98" s="2"/>
      <c r="V98" s="7">
        <f t="shared" si="41"/>
        <v>8.4947765950911136E-2</v>
      </c>
      <c r="W98" s="2"/>
      <c r="X98" s="6">
        <f t="shared" si="42"/>
        <v>32986.81</v>
      </c>
      <c r="Y98" s="2"/>
      <c r="Z98" s="7">
        <f t="shared" si="43"/>
        <v>0.1304420638080365</v>
      </c>
    </row>
    <row r="99" spans="1:26" s="24" customFormat="1" hidden="1" outlineLevel="2" x14ac:dyDescent="0.25">
      <c r="A99" s="27"/>
      <c r="B99" s="11" t="str">
        <f>CONCATENATE("          ", "9175", " - ", "EARNED DISCOUNTS")</f>
        <v xml:space="preserve">          9175 - EARNED DISCOUNTS</v>
      </c>
      <c r="C99" s="11"/>
      <c r="D99" s="6"/>
      <c r="E99" s="2"/>
      <c r="F99" s="7">
        <f t="shared" si="36"/>
        <v>0</v>
      </c>
      <c r="G99" s="2"/>
      <c r="H99" s="6"/>
      <c r="I99" s="2"/>
      <c r="J99" s="7">
        <f t="shared" si="37"/>
        <v>0</v>
      </c>
      <c r="K99" s="2"/>
      <c r="L99" s="6">
        <f t="shared" si="38"/>
        <v>0</v>
      </c>
      <c r="M99" s="2"/>
      <c r="N99" s="7">
        <f t="shared" si="39"/>
        <v>0</v>
      </c>
      <c r="O99" s="11"/>
      <c r="P99" s="6">
        <v>-19.39</v>
      </c>
      <c r="Q99" s="2"/>
      <c r="R99" s="7">
        <f t="shared" si="40"/>
        <v>-7.4923353100656389E-6</v>
      </c>
      <c r="S99" s="2"/>
      <c r="T99" s="6">
        <v>-5.86</v>
      </c>
      <c r="U99" s="2"/>
      <c r="V99" s="7">
        <f t="shared" si="41"/>
        <v>-1.9684614781544735E-6</v>
      </c>
      <c r="W99" s="2"/>
      <c r="X99" s="6">
        <f t="shared" si="42"/>
        <v>-13.530000000000001</v>
      </c>
      <c r="Y99" s="2"/>
      <c r="Z99" s="7">
        <f t="shared" si="43"/>
        <v>2.308873720136519</v>
      </c>
    </row>
    <row r="100" spans="1:26" s="25" customFormat="1" outlineLevel="1" collapsed="1" x14ac:dyDescent="0.25">
      <c r="A100" s="26"/>
      <c r="B100" s="13" t="str">
        <f>CONCATENATE("     ","Donations                                         ")</f>
        <v xml:space="preserve">     Donations                                         </v>
      </c>
      <c r="C100" s="13"/>
      <c r="D100" s="1">
        <f>SUM(OSRRefD22_6x_0)</f>
        <v>0</v>
      </c>
      <c r="E100" s="1"/>
      <c r="F100" s="5">
        <f t="shared" ref="F100:F106" si="44">IF(D$12=0,0,D100/D$12)</f>
        <v>0</v>
      </c>
      <c r="G100" s="1"/>
      <c r="H100" s="1">
        <f>SUM(OSRRefH22_6x_0)</f>
        <v>0</v>
      </c>
      <c r="I100" s="1"/>
      <c r="J100" s="5">
        <f t="shared" ref="J100:J106" si="45">IF(H$12=0,0,H100/H$12)</f>
        <v>0</v>
      </c>
      <c r="K100" s="1"/>
      <c r="L100" s="1">
        <f t="shared" ref="L100:L106" si="46">+D100-H100</f>
        <v>0</v>
      </c>
      <c r="M100" s="1"/>
      <c r="N100" s="5">
        <f t="shared" ref="N100:N106" si="47">IF(H100=0,0,L100/H100)</f>
        <v>0</v>
      </c>
      <c r="O100" s="13"/>
      <c r="P100" s="1">
        <f>SUM(OSRRefP22_6x_0)</f>
        <v>0</v>
      </c>
      <c r="Q100" s="1"/>
      <c r="R100" s="5">
        <f t="shared" ref="R100:R106" si="48">IF(P$12=0,0,P100/P$12)</f>
        <v>0</v>
      </c>
      <c r="S100" s="1"/>
      <c r="T100" s="1">
        <f>SUM(OSRRefT22_6x_0)</f>
        <v>141.53</v>
      </c>
      <c r="U100" s="1"/>
      <c r="V100" s="5">
        <f t="shared" ref="V100:V106" si="49">IF(T$12=0,0,T100/T$12)</f>
        <v>4.754203976163867E-5</v>
      </c>
      <c r="W100" s="1"/>
      <c r="X100" s="1">
        <f t="shared" ref="X100:X106" si="50">+P100-T100</f>
        <v>-141.53</v>
      </c>
      <c r="Y100" s="1"/>
      <c r="Z100" s="5">
        <f t="shared" ref="Z100:Z106" si="51">IF(T100=0,0,X100/T100)</f>
        <v>-1</v>
      </c>
    </row>
    <row r="101" spans="1:26" s="24" customFormat="1" hidden="1" outlineLevel="2" x14ac:dyDescent="0.25">
      <c r="A101" s="27"/>
      <c r="B101" s="11" t="str">
        <f>CONCATENATE("          ", "6399", " - ", "DONATION-ON CAMPUS")</f>
        <v xml:space="preserve">          6399 - DONATION-ON CAMPUS</v>
      </c>
      <c r="C101" s="11"/>
      <c r="D101" s="6"/>
      <c r="E101" s="2"/>
      <c r="F101" s="7">
        <f t="shared" si="44"/>
        <v>0</v>
      </c>
      <c r="G101" s="2"/>
      <c r="H101" s="6"/>
      <c r="I101" s="2"/>
      <c r="J101" s="7">
        <f t="shared" si="45"/>
        <v>0</v>
      </c>
      <c r="K101" s="2"/>
      <c r="L101" s="6">
        <f t="shared" si="46"/>
        <v>0</v>
      </c>
      <c r="M101" s="2"/>
      <c r="N101" s="7">
        <f t="shared" si="47"/>
        <v>0</v>
      </c>
      <c r="O101" s="11"/>
      <c r="P101" s="6"/>
      <c r="Q101" s="2"/>
      <c r="R101" s="7">
        <f t="shared" si="48"/>
        <v>0</v>
      </c>
      <c r="S101" s="2"/>
      <c r="T101" s="6">
        <v>141.53</v>
      </c>
      <c r="U101" s="2"/>
      <c r="V101" s="7">
        <f t="shared" si="49"/>
        <v>4.754203976163867E-5</v>
      </c>
      <c r="W101" s="2"/>
      <c r="X101" s="6">
        <f t="shared" si="50"/>
        <v>-141.53</v>
      </c>
      <c r="Y101" s="2"/>
      <c r="Z101" s="7">
        <f t="shared" si="51"/>
        <v>-1</v>
      </c>
    </row>
    <row r="102" spans="1:26" s="25" customFormat="1" outlineLevel="1" collapsed="1" x14ac:dyDescent="0.25">
      <c r="A102" s="26"/>
      <c r="B102" s="13" t="str">
        <f>CONCATENATE("     ","Employees' Appreciation                           ")</f>
        <v xml:space="preserve">     Employees' Appreciation                           </v>
      </c>
      <c r="C102" s="13"/>
      <c r="D102" s="1">
        <f>SUM(OSRRefD22_7x_0)</f>
        <v>0</v>
      </c>
      <c r="E102" s="1"/>
      <c r="F102" s="5">
        <f t="shared" si="44"/>
        <v>0</v>
      </c>
      <c r="G102" s="1"/>
      <c r="H102" s="1">
        <f>SUM(OSRRefH22_7x_0)</f>
        <v>15.25</v>
      </c>
      <c r="I102" s="1"/>
      <c r="J102" s="5">
        <f t="shared" si="45"/>
        <v>3.7332167427304484E-5</v>
      </c>
      <c r="K102" s="1"/>
      <c r="L102" s="1">
        <f t="shared" si="46"/>
        <v>-15.25</v>
      </c>
      <c r="M102" s="1"/>
      <c r="N102" s="5">
        <f t="shared" si="47"/>
        <v>-1</v>
      </c>
      <c r="O102" s="13"/>
      <c r="P102" s="1">
        <f>SUM(OSRRefP22_7x_0)</f>
        <v>376.37</v>
      </c>
      <c r="Q102" s="1"/>
      <c r="R102" s="5">
        <f t="shared" si="48"/>
        <v>1.4543013102885015E-4</v>
      </c>
      <c r="S102" s="1"/>
      <c r="T102" s="1">
        <f>SUM(OSRRefT22_7x_0)</f>
        <v>619.89</v>
      </c>
      <c r="U102" s="1"/>
      <c r="V102" s="5">
        <f t="shared" si="49"/>
        <v>2.0823030472579804E-4</v>
      </c>
      <c r="W102" s="1"/>
      <c r="X102" s="1">
        <f t="shared" si="50"/>
        <v>-243.51999999999998</v>
      </c>
      <c r="Y102" s="1"/>
      <c r="Z102" s="5">
        <f t="shared" si="51"/>
        <v>-0.39284389165819739</v>
      </c>
    </row>
    <row r="103" spans="1:26" s="24" customFormat="1" hidden="1" outlineLevel="2" x14ac:dyDescent="0.25">
      <c r="A103" s="27"/>
      <c r="B103" s="11" t="str">
        <f>CONCATENATE("          ", "6277", " - ", "EMPLOYEE APPRECIATION")</f>
        <v xml:space="preserve">          6277 - EMPLOYEE APPRECIATION</v>
      </c>
      <c r="C103" s="11"/>
      <c r="D103" s="6"/>
      <c r="E103" s="2"/>
      <c r="F103" s="7">
        <f t="shared" si="44"/>
        <v>0</v>
      </c>
      <c r="G103" s="2"/>
      <c r="H103" s="6">
        <v>15.25</v>
      </c>
      <c r="I103" s="2"/>
      <c r="J103" s="7">
        <f t="shared" si="45"/>
        <v>3.7332167427304484E-5</v>
      </c>
      <c r="K103" s="2"/>
      <c r="L103" s="6">
        <f t="shared" si="46"/>
        <v>-15.25</v>
      </c>
      <c r="M103" s="2"/>
      <c r="N103" s="7">
        <f t="shared" si="47"/>
        <v>-1</v>
      </c>
      <c r="O103" s="11"/>
      <c r="P103" s="6">
        <v>376.37</v>
      </c>
      <c r="Q103" s="2"/>
      <c r="R103" s="7">
        <f t="shared" si="48"/>
        <v>1.4543013102885015E-4</v>
      </c>
      <c r="S103" s="2"/>
      <c r="T103" s="6">
        <v>619.89</v>
      </c>
      <c r="U103" s="2"/>
      <c r="V103" s="7">
        <f t="shared" si="49"/>
        <v>2.0823030472579804E-4</v>
      </c>
      <c r="W103" s="2"/>
      <c r="X103" s="6">
        <f t="shared" si="50"/>
        <v>-243.51999999999998</v>
      </c>
      <c r="Y103" s="2"/>
      <c r="Z103" s="7">
        <f t="shared" si="51"/>
        <v>-0.39284389165819739</v>
      </c>
    </row>
    <row r="104" spans="1:26" s="25" customFormat="1" outlineLevel="1" collapsed="1" x14ac:dyDescent="0.25">
      <c r="A104" s="26"/>
      <c r="B104" s="13" t="str">
        <f>CONCATENATE("     ","Freight out/Postage                               ")</f>
        <v xml:space="preserve">     Freight out/Postage                               </v>
      </c>
      <c r="C104" s="13"/>
      <c r="D104" s="1">
        <f>SUM(OSRRefD22_8x_0)</f>
        <v>37.69</v>
      </c>
      <c r="E104" s="1"/>
      <c r="F104" s="5">
        <f t="shared" si="44"/>
        <v>3.0236555923910101E-4</v>
      </c>
      <c r="G104" s="1"/>
      <c r="H104" s="1">
        <f>SUM(OSRRefH22_8x_0)</f>
        <v>0</v>
      </c>
      <c r="I104" s="1"/>
      <c r="J104" s="5">
        <f t="shared" si="45"/>
        <v>0</v>
      </c>
      <c r="K104" s="1"/>
      <c r="L104" s="1">
        <f t="shared" si="46"/>
        <v>37.69</v>
      </c>
      <c r="M104" s="1"/>
      <c r="N104" s="5">
        <f t="shared" si="47"/>
        <v>0</v>
      </c>
      <c r="O104" s="13"/>
      <c r="P104" s="1">
        <f>SUM(OSRRefP22_8x_0)</f>
        <v>118.87</v>
      </c>
      <c r="Q104" s="1"/>
      <c r="R104" s="5">
        <f t="shared" si="48"/>
        <v>4.5931608989556603E-5</v>
      </c>
      <c r="S104" s="1"/>
      <c r="T104" s="1">
        <f>SUM(OSRRefT22_8x_0)</f>
        <v>32.6</v>
      </c>
      <c r="U104" s="1"/>
      <c r="V104" s="5">
        <f t="shared" si="49"/>
        <v>1.0950826653214306E-5</v>
      </c>
      <c r="W104" s="1"/>
      <c r="X104" s="1">
        <f t="shared" si="50"/>
        <v>86.27000000000001</v>
      </c>
      <c r="Y104" s="1"/>
      <c r="Z104" s="5">
        <f t="shared" si="51"/>
        <v>2.6463190184049084</v>
      </c>
    </row>
    <row r="105" spans="1:26" s="24" customFormat="1" hidden="1" outlineLevel="2" x14ac:dyDescent="0.25">
      <c r="A105" s="27"/>
      <c r="B105" s="11" t="str">
        <f>CONCATENATE("          ", "6305", " - ", "FREIGHT OUT")</f>
        <v xml:space="preserve">          6305 - FREIGHT OUT</v>
      </c>
      <c r="C105" s="11"/>
      <c r="D105" s="6">
        <v>37.69</v>
      </c>
      <c r="E105" s="2"/>
      <c r="F105" s="7">
        <f t="shared" si="44"/>
        <v>3.0236555923910101E-4</v>
      </c>
      <c r="G105" s="2"/>
      <c r="H105" s="6"/>
      <c r="I105" s="2"/>
      <c r="J105" s="7">
        <f t="shared" si="45"/>
        <v>0</v>
      </c>
      <c r="K105" s="2"/>
      <c r="L105" s="6">
        <f t="shared" si="46"/>
        <v>37.69</v>
      </c>
      <c r="M105" s="2"/>
      <c r="N105" s="7">
        <f t="shared" si="47"/>
        <v>0</v>
      </c>
      <c r="O105" s="11"/>
      <c r="P105" s="6">
        <v>118.37</v>
      </c>
      <c r="Q105" s="2"/>
      <c r="R105" s="7">
        <f t="shared" si="48"/>
        <v>4.5738407975888073E-5</v>
      </c>
      <c r="S105" s="2"/>
      <c r="T105" s="6">
        <v>32.6</v>
      </c>
      <c r="U105" s="2"/>
      <c r="V105" s="7">
        <f t="shared" si="49"/>
        <v>1.0950826653214306E-5</v>
      </c>
      <c r="W105" s="2"/>
      <c r="X105" s="6">
        <f t="shared" si="50"/>
        <v>85.77000000000001</v>
      </c>
      <c r="Y105" s="2"/>
      <c r="Z105" s="7">
        <f t="shared" si="51"/>
        <v>2.6309815950920248</v>
      </c>
    </row>
    <row r="106" spans="1:26" s="24" customFormat="1" hidden="1" outlineLevel="2" x14ac:dyDescent="0.25">
      <c r="A106" s="27"/>
      <c r="B106" s="11" t="str">
        <f>CONCATENATE("          ", "6307", " - ", "POSTAGE")</f>
        <v xml:space="preserve">          6307 - POSTAGE</v>
      </c>
      <c r="C106" s="11"/>
      <c r="D106" s="6"/>
      <c r="E106" s="2"/>
      <c r="F106" s="7">
        <f t="shared" si="44"/>
        <v>0</v>
      </c>
      <c r="G106" s="2"/>
      <c r="H106" s="6"/>
      <c r="I106" s="2"/>
      <c r="J106" s="7">
        <f t="shared" si="45"/>
        <v>0</v>
      </c>
      <c r="K106" s="2"/>
      <c r="L106" s="6">
        <f t="shared" si="46"/>
        <v>0</v>
      </c>
      <c r="M106" s="2"/>
      <c r="N106" s="7">
        <f t="shared" si="47"/>
        <v>0</v>
      </c>
      <c r="O106" s="11"/>
      <c r="P106" s="6">
        <v>0.5</v>
      </c>
      <c r="Q106" s="2"/>
      <c r="R106" s="7">
        <f t="shared" si="48"/>
        <v>1.9320101366853116E-7</v>
      </c>
      <c r="S106" s="2"/>
      <c r="T106" s="6"/>
      <c r="U106" s="2"/>
      <c r="V106" s="7">
        <f t="shared" si="49"/>
        <v>0</v>
      </c>
      <c r="W106" s="2"/>
      <c r="X106" s="6">
        <f t="shared" si="50"/>
        <v>0.5</v>
      </c>
      <c r="Y106" s="2"/>
      <c r="Z106" s="7">
        <f t="shared" si="51"/>
        <v>0</v>
      </c>
    </row>
    <row r="107" spans="1:26" s="25" customFormat="1" outlineLevel="1" collapsed="1" x14ac:dyDescent="0.25">
      <c r="A107" s="26"/>
      <c r="B107" s="13" t="str">
        <f>CONCATENATE("     ","General                                           ")</f>
        <v xml:space="preserve">     General                                           </v>
      </c>
      <c r="C107" s="13"/>
      <c r="D107" s="1">
        <f>SUM(OSRRefD22_9x_0)</f>
        <v>0</v>
      </c>
      <c r="E107" s="1"/>
      <c r="F107" s="5">
        <f t="shared" ref="F107:F120" si="52">IF(D$12=0,0,D107/D$12)</f>
        <v>0</v>
      </c>
      <c r="G107" s="1"/>
      <c r="H107" s="1">
        <f>SUM(OSRRefH22_9x_0)</f>
        <v>0</v>
      </c>
      <c r="I107" s="1"/>
      <c r="J107" s="5">
        <f t="shared" ref="J107:J120" si="53">IF(H$12=0,0,H107/H$12)</f>
        <v>0</v>
      </c>
      <c r="K107" s="1"/>
      <c r="L107" s="1">
        <f t="shared" ref="L107:L120" si="54">+D107-H107</f>
        <v>0</v>
      </c>
      <c r="M107" s="1"/>
      <c r="N107" s="5">
        <f t="shared" ref="N107:N120" si="55">IF(H107=0,0,L107/H107)</f>
        <v>0</v>
      </c>
      <c r="O107" s="13"/>
      <c r="P107" s="1">
        <f>SUM(OSRRefP22_9x_0)</f>
        <v>1271.44</v>
      </c>
      <c r="Q107" s="1"/>
      <c r="R107" s="5">
        <f t="shared" ref="R107:R120" si="56">IF(P$12=0,0,P107/P$12)</f>
        <v>4.9128699363743455E-4</v>
      </c>
      <c r="S107" s="1"/>
      <c r="T107" s="1">
        <f>SUM(OSRRefT22_9x_0)</f>
        <v>1527.44</v>
      </c>
      <c r="U107" s="1"/>
      <c r="V107" s="5">
        <f t="shared" ref="V107:V120" si="57">IF(T$12=0,0,T107/T$12)</f>
        <v>5.1308989764373191E-4</v>
      </c>
      <c r="W107" s="1"/>
      <c r="X107" s="1">
        <f t="shared" ref="X107:X120" si="58">+P107-T107</f>
        <v>-256</v>
      </c>
      <c r="Y107" s="1"/>
      <c r="Z107" s="5">
        <f t="shared" ref="Z107:Z120" si="59">IF(T107=0,0,X107/T107)</f>
        <v>-0.16760069135285183</v>
      </c>
    </row>
    <row r="108" spans="1:26" s="24" customFormat="1" hidden="1" outlineLevel="2" x14ac:dyDescent="0.25">
      <c r="A108" s="27"/>
      <c r="B108" s="11" t="str">
        <f>CONCATENATE("          ", "6279", " - ", "GENERAL EXPENSE")</f>
        <v xml:space="preserve">          6279 - GENERAL EXPENSE</v>
      </c>
      <c r="C108" s="11"/>
      <c r="D108" s="6"/>
      <c r="E108" s="2"/>
      <c r="F108" s="7">
        <f t="shared" si="52"/>
        <v>0</v>
      </c>
      <c r="G108" s="2"/>
      <c r="H108" s="6"/>
      <c r="I108" s="2"/>
      <c r="J108" s="7">
        <f t="shared" si="53"/>
        <v>0</v>
      </c>
      <c r="K108" s="2"/>
      <c r="L108" s="6">
        <f t="shared" si="54"/>
        <v>0</v>
      </c>
      <c r="M108" s="2"/>
      <c r="N108" s="7">
        <f t="shared" si="55"/>
        <v>0</v>
      </c>
      <c r="O108" s="11"/>
      <c r="P108" s="6">
        <v>1271.44</v>
      </c>
      <c r="Q108" s="2"/>
      <c r="R108" s="7">
        <f t="shared" si="56"/>
        <v>4.9128699363743455E-4</v>
      </c>
      <c r="S108" s="2"/>
      <c r="T108" s="6">
        <v>1527.44</v>
      </c>
      <c r="U108" s="2"/>
      <c r="V108" s="7">
        <f t="shared" si="57"/>
        <v>5.1308989764373191E-4</v>
      </c>
      <c r="W108" s="2"/>
      <c r="X108" s="6">
        <f t="shared" si="58"/>
        <v>-256</v>
      </c>
      <c r="Y108" s="2"/>
      <c r="Z108" s="7">
        <f t="shared" si="59"/>
        <v>-0.16760069135285183</v>
      </c>
    </row>
    <row r="109" spans="1:26" s="25" customFormat="1" outlineLevel="1" collapsed="1" x14ac:dyDescent="0.25">
      <c r="A109" s="26"/>
      <c r="B109" s="13" t="str">
        <f>CONCATENATE("     ","Insurance                                         ")</f>
        <v xml:space="preserve">     Insurance                                         </v>
      </c>
      <c r="C109" s="13"/>
      <c r="D109" s="1">
        <f>SUM(OSRRefD22_10x_0)</f>
        <v>161.18</v>
      </c>
      <c r="E109" s="1"/>
      <c r="F109" s="5">
        <f t="shared" si="52"/>
        <v>1.2930560052575831E-3</v>
      </c>
      <c r="G109" s="1"/>
      <c r="H109" s="1">
        <f>SUM(OSRRefH22_10x_0)</f>
        <v>151.85</v>
      </c>
      <c r="I109" s="1"/>
      <c r="J109" s="5">
        <f t="shared" si="53"/>
        <v>3.7173046713679904E-4</v>
      </c>
      <c r="K109" s="1"/>
      <c r="L109" s="1">
        <f t="shared" si="54"/>
        <v>9.3300000000000125</v>
      </c>
      <c r="M109" s="1"/>
      <c r="N109" s="5">
        <f t="shared" si="55"/>
        <v>6.1442212709911181E-2</v>
      </c>
      <c r="O109" s="13"/>
      <c r="P109" s="1">
        <f>SUM(OSRRefP22_10x_0)</f>
        <v>1611.8</v>
      </c>
      <c r="Q109" s="1"/>
      <c r="R109" s="5">
        <f t="shared" si="56"/>
        <v>6.2280278766187712E-4</v>
      </c>
      <c r="S109" s="1"/>
      <c r="T109" s="1">
        <f>SUM(OSRRefT22_10x_0)</f>
        <v>1247.55</v>
      </c>
      <c r="U109" s="1"/>
      <c r="V109" s="5">
        <f t="shared" si="57"/>
        <v>4.1907066844225479E-4</v>
      </c>
      <c r="W109" s="1"/>
      <c r="X109" s="1">
        <f t="shared" si="58"/>
        <v>364.25</v>
      </c>
      <c r="Y109" s="1"/>
      <c r="Z109" s="5">
        <f t="shared" si="59"/>
        <v>0.2919722656406557</v>
      </c>
    </row>
    <row r="110" spans="1:26" s="24" customFormat="1" hidden="1" outlineLevel="2" x14ac:dyDescent="0.25">
      <c r="A110" s="27"/>
      <c r="B110" s="11" t="str">
        <f>CONCATENATE("          ", "6314", " - ", "LIABILITY INSURANCE")</f>
        <v xml:space="preserve">          6314 - LIABILITY INSURANCE</v>
      </c>
      <c r="C110" s="11"/>
      <c r="D110" s="6">
        <v>161.18</v>
      </c>
      <c r="E110" s="2"/>
      <c r="F110" s="7">
        <f t="shared" si="52"/>
        <v>1.2930560052575831E-3</v>
      </c>
      <c r="G110" s="2"/>
      <c r="H110" s="6">
        <v>151.85</v>
      </c>
      <c r="I110" s="2"/>
      <c r="J110" s="7">
        <f t="shared" si="53"/>
        <v>3.7173046713679904E-4</v>
      </c>
      <c r="K110" s="2"/>
      <c r="L110" s="6">
        <f t="shared" si="54"/>
        <v>9.3300000000000125</v>
      </c>
      <c r="M110" s="2"/>
      <c r="N110" s="7">
        <f t="shared" si="55"/>
        <v>6.1442212709911181E-2</v>
      </c>
      <c r="O110" s="11"/>
      <c r="P110" s="6">
        <v>1611.8</v>
      </c>
      <c r="Q110" s="2"/>
      <c r="R110" s="7">
        <f t="shared" si="56"/>
        <v>6.2280278766187712E-4</v>
      </c>
      <c r="S110" s="2"/>
      <c r="T110" s="6">
        <v>1247.55</v>
      </c>
      <c r="U110" s="2"/>
      <c r="V110" s="7">
        <f t="shared" si="57"/>
        <v>4.1907066844225479E-4</v>
      </c>
      <c r="W110" s="2"/>
      <c r="X110" s="6">
        <f t="shared" si="58"/>
        <v>364.25</v>
      </c>
      <c r="Y110" s="2"/>
      <c r="Z110" s="7">
        <f t="shared" si="59"/>
        <v>0.2919722656406557</v>
      </c>
    </row>
    <row r="111" spans="1:26" s="25" customFormat="1" outlineLevel="1" collapsed="1" x14ac:dyDescent="0.25">
      <c r="A111" s="26"/>
      <c r="B111" s="13" t="str">
        <f>CONCATENATE("     ","Inventory Adjustment                              ")</f>
        <v xml:space="preserve">     Inventory Adjustment                              </v>
      </c>
      <c r="C111" s="13"/>
      <c r="D111" s="1">
        <f>SUM(OSRRefD22_11x_0)</f>
        <v>3450</v>
      </c>
      <c r="E111" s="1"/>
      <c r="F111" s="5">
        <f t="shared" si="52"/>
        <v>2.7677399293576505E-2</v>
      </c>
      <c r="G111" s="1"/>
      <c r="H111" s="1">
        <f>SUM(OSRRefH22_11x_0)</f>
        <v>1600</v>
      </c>
      <c r="I111" s="1"/>
      <c r="J111" s="5">
        <f t="shared" si="53"/>
        <v>3.9168175661434207E-3</v>
      </c>
      <c r="K111" s="1"/>
      <c r="L111" s="1">
        <f t="shared" si="54"/>
        <v>1850</v>
      </c>
      <c r="M111" s="1"/>
      <c r="N111" s="5">
        <f t="shared" si="55"/>
        <v>1.15625</v>
      </c>
      <c r="O111" s="13"/>
      <c r="P111" s="1">
        <f>SUM(OSRRefP22_11x_0)</f>
        <v>32100</v>
      </c>
      <c r="Q111" s="1"/>
      <c r="R111" s="5">
        <f t="shared" si="56"/>
        <v>1.2403505077519701E-2</v>
      </c>
      <c r="S111" s="1"/>
      <c r="T111" s="1">
        <f>SUM(OSRRefT22_11x_0)</f>
        <v>13600</v>
      </c>
      <c r="U111" s="1"/>
      <c r="V111" s="5">
        <f t="shared" si="57"/>
        <v>4.5684430209728391E-3</v>
      </c>
      <c r="W111" s="1"/>
      <c r="X111" s="1">
        <f t="shared" si="58"/>
        <v>18500</v>
      </c>
      <c r="Y111" s="1"/>
      <c r="Z111" s="5">
        <f t="shared" si="59"/>
        <v>1.3602941176470589</v>
      </c>
    </row>
    <row r="112" spans="1:26" s="24" customFormat="1" hidden="1" outlineLevel="2" x14ac:dyDescent="0.25">
      <c r="A112" s="27"/>
      <c r="B112" s="11" t="str">
        <f>CONCATENATE("          ", "6408", " - ", "INVENTORY ADJUSTMENT")</f>
        <v xml:space="preserve">          6408 - INVENTORY ADJUSTMENT</v>
      </c>
      <c r="C112" s="11"/>
      <c r="D112" s="6">
        <v>3450</v>
      </c>
      <c r="E112" s="2"/>
      <c r="F112" s="7">
        <f t="shared" si="52"/>
        <v>2.7677399293576505E-2</v>
      </c>
      <c r="G112" s="2"/>
      <c r="H112" s="6">
        <v>1600</v>
      </c>
      <c r="I112" s="2"/>
      <c r="J112" s="7">
        <f t="shared" si="53"/>
        <v>3.9168175661434207E-3</v>
      </c>
      <c r="K112" s="2"/>
      <c r="L112" s="6">
        <f t="shared" si="54"/>
        <v>1850</v>
      </c>
      <c r="M112" s="2"/>
      <c r="N112" s="7">
        <f t="shared" si="55"/>
        <v>1.15625</v>
      </c>
      <c r="O112" s="11"/>
      <c r="P112" s="6">
        <v>32100</v>
      </c>
      <c r="Q112" s="2"/>
      <c r="R112" s="7">
        <f t="shared" si="56"/>
        <v>1.2403505077519701E-2</v>
      </c>
      <c r="S112" s="2"/>
      <c r="T112" s="6">
        <v>13600</v>
      </c>
      <c r="U112" s="2"/>
      <c r="V112" s="7">
        <f t="shared" si="57"/>
        <v>4.5684430209728391E-3</v>
      </c>
      <c r="W112" s="2"/>
      <c r="X112" s="6">
        <f t="shared" si="58"/>
        <v>18500</v>
      </c>
      <c r="Y112" s="2"/>
      <c r="Z112" s="7">
        <f t="shared" si="59"/>
        <v>1.3602941176470589</v>
      </c>
    </row>
    <row r="113" spans="1:26" s="25" customFormat="1" outlineLevel="1" collapsed="1" x14ac:dyDescent="0.25">
      <c r="A113" s="26"/>
      <c r="B113" s="13" t="str">
        <f>CONCATENATE("     ","Professional Services                             ")</f>
        <v xml:space="preserve">     Professional Services                             </v>
      </c>
      <c r="C113" s="13"/>
      <c r="D113" s="1">
        <f>SUM(OSRRefD22_12x_0)</f>
        <v>2930</v>
      </c>
      <c r="E113" s="1"/>
      <c r="F113" s="5">
        <f t="shared" si="52"/>
        <v>2.3505733313095412E-2</v>
      </c>
      <c r="G113" s="1"/>
      <c r="H113" s="1">
        <f>SUM(OSRRefH22_12x_0)</f>
        <v>0</v>
      </c>
      <c r="I113" s="1"/>
      <c r="J113" s="5">
        <f t="shared" si="53"/>
        <v>0</v>
      </c>
      <c r="K113" s="1"/>
      <c r="L113" s="1">
        <f t="shared" si="54"/>
        <v>2930</v>
      </c>
      <c r="M113" s="1"/>
      <c r="N113" s="5">
        <f t="shared" si="55"/>
        <v>0</v>
      </c>
      <c r="O113" s="13"/>
      <c r="P113" s="1">
        <f>SUM(OSRRefP22_12x_0)</f>
        <v>3680</v>
      </c>
      <c r="Q113" s="1"/>
      <c r="R113" s="5">
        <f t="shared" si="56"/>
        <v>1.4219594606003894E-3</v>
      </c>
      <c r="S113" s="1"/>
      <c r="T113" s="1">
        <f>SUM(OSRRefT22_12x_0)</f>
        <v>750</v>
      </c>
      <c r="U113" s="1"/>
      <c r="V113" s="5">
        <f t="shared" si="57"/>
        <v>2.519361960095316E-4</v>
      </c>
      <c r="W113" s="1"/>
      <c r="X113" s="1">
        <f t="shared" si="58"/>
        <v>2930</v>
      </c>
      <c r="Y113" s="1"/>
      <c r="Z113" s="5">
        <f t="shared" si="59"/>
        <v>3.9066666666666667</v>
      </c>
    </row>
    <row r="114" spans="1:26" s="24" customFormat="1" hidden="1" outlineLevel="2" x14ac:dyDescent="0.25">
      <c r="A114" s="27"/>
      <c r="B114" s="11" t="str">
        <f>CONCATENATE("          ", "6336", " - ", "PROFESSIONAL SERVICES")</f>
        <v xml:space="preserve">          6336 - PROFESSIONAL SERVICES</v>
      </c>
      <c r="C114" s="11"/>
      <c r="D114" s="6">
        <v>2930</v>
      </c>
      <c r="E114" s="2"/>
      <c r="F114" s="7">
        <f t="shared" si="52"/>
        <v>2.3505733313095412E-2</v>
      </c>
      <c r="G114" s="2"/>
      <c r="H114" s="6"/>
      <c r="I114" s="2"/>
      <c r="J114" s="7">
        <f t="shared" si="53"/>
        <v>0</v>
      </c>
      <c r="K114" s="2"/>
      <c r="L114" s="6">
        <f t="shared" si="54"/>
        <v>2930</v>
      </c>
      <c r="M114" s="2"/>
      <c r="N114" s="7">
        <f t="shared" si="55"/>
        <v>0</v>
      </c>
      <c r="O114" s="11"/>
      <c r="P114" s="6">
        <v>3680</v>
      </c>
      <c r="Q114" s="2"/>
      <c r="R114" s="7">
        <f t="shared" si="56"/>
        <v>1.4219594606003894E-3</v>
      </c>
      <c r="S114" s="2"/>
      <c r="T114" s="6">
        <v>750</v>
      </c>
      <c r="U114" s="2"/>
      <c r="V114" s="7">
        <f t="shared" si="57"/>
        <v>2.519361960095316E-4</v>
      </c>
      <c r="W114" s="2"/>
      <c r="X114" s="6">
        <f t="shared" si="58"/>
        <v>2930</v>
      </c>
      <c r="Y114" s="2"/>
      <c r="Z114" s="7">
        <f t="shared" si="59"/>
        <v>3.9066666666666667</v>
      </c>
    </row>
    <row r="115" spans="1:26" s="25" customFormat="1" outlineLevel="1" collapsed="1" x14ac:dyDescent="0.25">
      <c r="A115" s="26"/>
      <c r="B115" s="13" t="str">
        <f>CONCATENATE("     ","Rent                                              ")</f>
        <v xml:space="preserve">     Rent                                              </v>
      </c>
      <c r="C115" s="13"/>
      <c r="D115" s="1">
        <f>SUM(OSRRefD22_13x_0)</f>
        <v>6900</v>
      </c>
      <c r="E115" s="1"/>
      <c r="F115" s="5">
        <f t="shared" si="52"/>
        <v>5.535479858715301E-2</v>
      </c>
      <c r="G115" s="1"/>
      <c r="H115" s="1">
        <f>SUM(OSRRefH22_13x_0)</f>
        <v>6900</v>
      </c>
      <c r="I115" s="1"/>
      <c r="J115" s="5">
        <f t="shared" si="53"/>
        <v>1.6891275753993504E-2</v>
      </c>
      <c r="K115" s="1"/>
      <c r="L115" s="1">
        <f t="shared" si="54"/>
        <v>0</v>
      </c>
      <c r="M115" s="1"/>
      <c r="N115" s="5">
        <f t="shared" si="55"/>
        <v>0</v>
      </c>
      <c r="O115" s="13"/>
      <c r="P115" s="1">
        <f>SUM(OSRRefP22_13x_0)</f>
        <v>69000</v>
      </c>
      <c r="Q115" s="1"/>
      <c r="R115" s="5">
        <f t="shared" si="56"/>
        <v>2.66617398862573E-2</v>
      </c>
      <c r="S115" s="1"/>
      <c r="T115" s="1">
        <f>SUM(OSRRefT22_13x_0)</f>
        <v>69000</v>
      </c>
      <c r="U115" s="1"/>
      <c r="V115" s="5">
        <f t="shared" si="57"/>
        <v>2.3178130032876904E-2</v>
      </c>
      <c r="W115" s="1"/>
      <c r="X115" s="1">
        <f t="shared" si="58"/>
        <v>0</v>
      </c>
      <c r="Y115" s="1"/>
      <c r="Z115" s="5">
        <f t="shared" si="59"/>
        <v>0</v>
      </c>
    </row>
    <row r="116" spans="1:26" s="24" customFormat="1" hidden="1" outlineLevel="2" x14ac:dyDescent="0.25">
      <c r="A116" s="27"/>
      <c r="B116" s="11" t="str">
        <f>CONCATENATE("          ", "6273", " - ", "RENT")</f>
        <v xml:space="preserve">          6273 - RENT</v>
      </c>
      <c r="C116" s="11"/>
      <c r="D116" s="6">
        <v>6900</v>
      </c>
      <c r="E116" s="2"/>
      <c r="F116" s="7">
        <f t="shared" si="52"/>
        <v>5.535479858715301E-2</v>
      </c>
      <c r="G116" s="2"/>
      <c r="H116" s="6">
        <v>6900</v>
      </c>
      <c r="I116" s="2"/>
      <c r="J116" s="7">
        <f t="shared" si="53"/>
        <v>1.6891275753993504E-2</v>
      </c>
      <c r="K116" s="2"/>
      <c r="L116" s="6">
        <f t="shared" si="54"/>
        <v>0</v>
      </c>
      <c r="M116" s="2"/>
      <c r="N116" s="7">
        <f t="shared" si="55"/>
        <v>0</v>
      </c>
      <c r="O116" s="11"/>
      <c r="P116" s="6">
        <v>69000</v>
      </c>
      <c r="Q116" s="2"/>
      <c r="R116" s="7">
        <f t="shared" si="56"/>
        <v>2.66617398862573E-2</v>
      </c>
      <c r="S116" s="2"/>
      <c r="T116" s="6">
        <v>69000</v>
      </c>
      <c r="U116" s="2"/>
      <c r="V116" s="7">
        <f t="shared" si="57"/>
        <v>2.3178130032876904E-2</v>
      </c>
      <c r="W116" s="2"/>
      <c r="X116" s="6">
        <f t="shared" si="58"/>
        <v>0</v>
      </c>
      <c r="Y116" s="2"/>
      <c r="Z116" s="7">
        <f t="shared" si="59"/>
        <v>0</v>
      </c>
    </row>
    <row r="117" spans="1:26" s="25" customFormat="1" outlineLevel="1" collapsed="1" x14ac:dyDescent="0.25">
      <c r="A117" s="26"/>
      <c r="B117" s="13" t="str">
        <f>CONCATENATE("     ","Repair and Maintenance                            ")</f>
        <v xml:space="preserve">     Repair and Maintenance                            </v>
      </c>
      <c r="C117" s="13"/>
      <c r="D117" s="1">
        <f>SUM(OSRRefD22_14x_0)</f>
        <v>0</v>
      </c>
      <c r="E117" s="1"/>
      <c r="F117" s="5">
        <f t="shared" si="52"/>
        <v>0</v>
      </c>
      <c r="G117" s="1"/>
      <c r="H117" s="1">
        <f>SUM(OSRRefH22_14x_0)</f>
        <v>0</v>
      </c>
      <c r="I117" s="1"/>
      <c r="J117" s="5">
        <f t="shared" si="53"/>
        <v>0</v>
      </c>
      <c r="K117" s="1"/>
      <c r="L117" s="1">
        <f t="shared" si="54"/>
        <v>0</v>
      </c>
      <c r="M117" s="1"/>
      <c r="N117" s="5">
        <f t="shared" si="55"/>
        <v>0</v>
      </c>
      <c r="O117" s="13"/>
      <c r="P117" s="1">
        <f>SUM(OSRRefP22_14x_0)</f>
        <v>633.76</v>
      </c>
      <c r="Q117" s="1"/>
      <c r="R117" s="5">
        <f t="shared" si="56"/>
        <v>2.4488614884513661E-4</v>
      </c>
      <c r="S117" s="1"/>
      <c r="T117" s="1">
        <f>SUM(OSRRefT22_14x_0)</f>
        <v>863.25</v>
      </c>
      <c r="U117" s="1"/>
      <c r="V117" s="5">
        <f t="shared" si="57"/>
        <v>2.8997856160697087E-4</v>
      </c>
      <c r="W117" s="1"/>
      <c r="X117" s="1">
        <f t="shared" si="58"/>
        <v>-229.49</v>
      </c>
      <c r="Y117" s="1"/>
      <c r="Z117" s="5">
        <f t="shared" si="59"/>
        <v>-0.26584419345496668</v>
      </c>
    </row>
    <row r="118" spans="1:26" s="24" customFormat="1" hidden="1" outlineLevel="2" x14ac:dyDescent="0.25">
      <c r="A118" s="27"/>
      <c r="B118" s="11" t="str">
        <f>CONCATENATE("          ", "6371", " - ", "COMPUTER SOFTWARE MAINTENANCE")</f>
        <v xml:space="preserve">          6371 - COMPUTER SOFTWARE MAINTENANCE</v>
      </c>
      <c r="C118" s="11"/>
      <c r="D118" s="6"/>
      <c r="E118" s="2"/>
      <c r="F118" s="7">
        <f t="shared" si="52"/>
        <v>0</v>
      </c>
      <c r="G118" s="2"/>
      <c r="H118" s="6"/>
      <c r="I118" s="2"/>
      <c r="J118" s="7">
        <f t="shared" si="53"/>
        <v>0</v>
      </c>
      <c r="K118" s="2"/>
      <c r="L118" s="6">
        <f t="shared" si="54"/>
        <v>0</v>
      </c>
      <c r="M118" s="2"/>
      <c r="N118" s="7">
        <f t="shared" si="55"/>
        <v>0</v>
      </c>
      <c r="O118" s="11"/>
      <c r="P118" s="6"/>
      <c r="Q118" s="2"/>
      <c r="R118" s="7">
        <f t="shared" si="56"/>
        <v>0</v>
      </c>
      <c r="S118" s="2"/>
      <c r="T118" s="6">
        <v>186.58</v>
      </c>
      <c r="U118" s="2"/>
      <c r="V118" s="7">
        <f t="shared" si="57"/>
        <v>6.2675007268611201E-5</v>
      </c>
      <c r="W118" s="2"/>
      <c r="X118" s="6">
        <f t="shared" si="58"/>
        <v>-186.58</v>
      </c>
      <c r="Y118" s="2"/>
      <c r="Z118" s="7">
        <f t="shared" si="59"/>
        <v>-1</v>
      </c>
    </row>
    <row r="119" spans="1:26" s="24" customFormat="1" hidden="1" outlineLevel="2" x14ac:dyDescent="0.25">
      <c r="A119" s="27"/>
      <c r="B119" s="11" t="str">
        <f>CONCATENATE("          ", "6373", " - ", "MAINTENANCE CONTRACTS")</f>
        <v xml:space="preserve">          6373 - MAINTENANCE CONTRACTS</v>
      </c>
      <c r="C119" s="11"/>
      <c r="D119" s="6"/>
      <c r="E119" s="2"/>
      <c r="F119" s="7">
        <f t="shared" si="52"/>
        <v>0</v>
      </c>
      <c r="G119" s="2"/>
      <c r="H119" s="6"/>
      <c r="I119" s="2"/>
      <c r="J119" s="7">
        <f t="shared" si="53"/>
        <v>0</v>
      </c>
      <c r="K119" s="2"/>
      <c r="L119" s="6">
        <f t="shared" si="54"/>
        <v>0</v>
      </c>
      <c r="M119" s="2"/>
      <c r="N119" s="7">
        <f t="shared" si="55"/>
        <v>0</v>
      </c>
      <c r="O119" s="11"/>
      <c r="P119" s="6">
        <v>451.23</v>
      </c>
      <c r="Q119" s="2"/>
      <c r="R119" s="7">
        <f t="shared" si="56"/>
        <v>1.7435618679530264E-4</v>
      </c>
      <c r="S119" s="2"/>
      <c r="T119" s="6">
        <v>134.94</v>
      </c>
      <c r="U119" s="2"/>
      <c r="V119" s="7">
        <f t="shared" si="57"/>
        <v>4.5328360386034922E-5</v>
      </c>
      <c r="W119" s="2"/>
      <c r="X119" s="6">
        <f t="shared" si="58"/>
        <v>316.29000000000002</v>
      </c>
      <c r="Y119" s="2"/>
      <c r="Z119" s="7">
        <f t="shared" si="59"/>
        <v>2.3439306358381504</v>
      </c>
    </row>
    <row r="120" spans="1:26" s="24" customFormat="1" hidden="1" outlineLevel="2" x14ac:dyDescent="0.25">
      <c r="A120" s="27"/>
      <c r="B120" s="11" t="str">
        <f>CONCATENATE("          ", "6375", " - ", "OUTSIDE REPAIRS &amp; MAINTENANCE")</f>
        <v xml:space="preserve">          6375 - OUTSIDE REPAIRS &amp; MAINTENANCE</v>
      </c>
      <c r="C120" s="11"/>
      <c r="D120" s="6"/>
      <c r="E120" s="2"/>
      <c r="F120" s="7">
        <f t="shared" si="52"/>
        <v>0</v>
      </c>
      <c r="G120" s="2"/>
      <c r="H120" s="6"/>
      <c r="I120" s="2"/>
      <c r="J120" s="7">
        <f t="shared" si="53"/>
        <v>0</v>
      </c>
      <c r="K120" s="2"/>
      <c r="L120" s="6">
        <f t="shared" si="54"/>
        <v>0</v>
      </c>
      <c r="M120" s="2"/>
      <c r="N120" s="7">
        <f t="shared" si="55"/>
        <v>0</v>
      </c>
      <c r="O120" s="11"/>
      <c r="P120" s="6">
        <v>182.53</v>
      </c>
      <c r="Q120" s="2"/>
      <c r="R120" s="7">
        <f t="shared" si="56"/>
        <v>7.0529962049833991E-5</v>
      </c>
      <c r="S120" s="2"/>
      <c r="T120" s="6">
        <v>541.73</v>
      </c>
      <c r="U120" s="2"/>
      <c r="V120" s="7">
        <f t="shared" si="57"/>
        <v>1.8197519395232473E-4</v>
      </c>
      <c r="W120" s="2"/>
      <c r="X120" s="6">
        <f t="shared" si="58"/>
        <v>-359.20000000000005</v>
      </c>
      <c r="Y120" s="2"/>
      <c r="Z120" s="7">
        <f t="shared" si="59"/>
        <v>-0.66306093441382241</v>
      </c>
    </row>
    <row r="121" spans="1:26" s="25" customFormat="1" outlineLevel="1" collapsed="1" x14ac:dyDescent="0.25">
      <c r="A121" s="26"/>
      <c r="B121" s="13" t="str">
        <f>CONCATENATE("     ","Royalty &amp; Commissions                             ")</f>
        <v xml:space="preserve">     Royalty &amp; Commissions                             </v>
      </c>
      <c r="C121" s="13"/>
      <c r="D121" s="1">
        <f>SUM(OSRRefD22_15x_0)</f>
        <v>14555.51</v>
      </c>
      <c r="E121" s="1"/>
      <c r="F121" s="5">
        <f t="shared" ref="F121:F123" si="60">IF(D$12=0,0,D121/D$12)</f>
        <v>0.11677062672221616</v>
      </c>
      <c r="G121" s="1"/>
      <c r="H121" s="1">
        <f>SUM(OSRRefH22_15x_0)</f>
        <v>8904.32</v>
      </c>
      <c r="I121" s="1"/>
      <c r="J121" s="5">
        <f t="shared" ref="J121:J123" si="61">IF(H$12=0,0,H121/H$12)</f>
        <v>2.1797873119101367E-2</v>
      </c>
      <c r="K121" s="1"/>
      <c r="L121" s="1">
        <f t="shared" ref="L121:L123" si="62">+D121-H121</f>
        <v>5651.1900000000005</v>
      </c>
      <c r="M121" s="1"/>
      <c r="N121" s="5">
        <f t="shared" ref="N121:N123" si="63">IF(H121=0,0,L121/H121)</f>
        <v>0.63465711025659466</v>
      </c>
      <c r="O121" s="13"/>
      <c r="P121" s="1">
        <f>SUM(OSRRefP22_15x_0)</f>
        <v>40841.660000000003</v>
      </c>
      <c r="Q121" s="1"/>
      <c r="R121" s="5">
        <f t="shared" ref="R121:R123" si="64">IF(P$12=0,0,P121/P$12)</f>
        <v>1.5781300223811006E-2</v>
      </c>
      <c r="S121" s="1"/>
      <c r="T121" s="1">
        <f>SUM(OSRRefT22_15x_0)</f>
        <v>54949.19</v>
      </c>
      <c r="U121" s="1"/>
      <c r="V121" s="5">
        <f t="shared" ref="V121:V123" si="65">IF(T$12=0,0,T121/T$12)</f>
        <v>1.8458253203206657E-2</v>
      </c>
      <c r="W121" s="1"/>
      <c r="X121" s="1">
        <f t="shared" ref="X121:X123" si="66">+P121-T121</f>
        <v>-14107.529999999999</v>
      </c>
      <c r="Y121" s="1"/>
      <c r="Z121" s="5">
        <f t="shared" ref="Z121:Z123" si="67">IF(T121=0,0,X121/T121)</f>
        <v>-0.25673772443233461</v>
      </c>
    </row>
    <row r="122" spans="1:26" s="24" customFormat="1" hidden="1" outlineLevel="2" x14ac:dyDescent="0.25">
      <c r="A122" s="27"/>
      <c r="B122" s="11" t="str">
        <f>CONCATENATE("          ", "6253", " - ", "ROYALTY DUE ATHLETICS-LRG")</f>
        <v xml:space="preserve">          6253 - ROYALTY DUE ATHLETICS-LRG</v>
      </c>
      <c r="C122" s="11"/>
      <c r="D122" s="6">
        <v>14555.51</v>
      </c>
      <c r="E122" s="2"/>
      <c r="F122" s="7">
        <f t="shared" si="60"/>
        <v>0.11677062672221616</v>
      </c>
      <c r="G122" s="2"/>
      <c r="H122" s="6">
        <v>6150.32</v>
      </c>
      <c r="I122" s="2"/>
      <c r="J122" s="7">
        <f t="shared" si="61"/>
        <v>1.5056050883377003E-2</v>
      </c>
      <c r="K122" s="2"/>
      <c r="L122" s="6">
        <f t="shared" si="62"/>
        <v>8405.19</v>
      </c>
      <c r="M122" s="2"/>
      <c r="N122" s="7">
        <f t="shared" si="63"/>
        <v>1.3666264519569715</v>
      </c>
      <c r="O122" s="11"/>
      <c r="P122" s="6">
        <v>32870.44</v>
      </c>
      <c r="Q122" s="2"/>
      <c r="R122" s="7">
        <f t="shared" si="64"/>
        <v>1.2701204655461269E-2</v>
      </c>
      <c r="S122" s="2"/>
      <c r="T122" s="6">
        <v>41365.990000000005</v>
      </c>
      <c r="U122" s="2"/>
      <c r="V122" s="7">
        <f t="shared" si="65"/>
        <v>1.3895453553024432E-2</v>
      </c>
      <c r="W122" s="2"/>
      <c r="X122" s="6">
        <f t="shared" si="66"/>
        <v>-8495.5500000000029</v>
      </c>
      <c r="Y122" s="2"/>
      <c r="Z122" s="7">
        <f t="shared" si="67"/>
        <v>-0.20537523700025073</v>
      </c>
    </row>
    <row r="123" spans="1:26" s="24" customFormat="1" hidden="1" outlineLevel="2" x14ac:dyDescent="0.25">
      <c r="A123" s="27"/>
      <c r="B123" s="11" t="str">
        <f>CONCATENATE("          ", "6254", " - ", "ROYALTY &amp; COMMISSIONS")</f>
        <v xml:space="preserve">          6254 - ROYALTY &amp; COMMISSIONS</v>
      </c>
      <c r="C123" s="11"/>
      <c r="D123" s="6"/>
      <c r="E123" s="2"/>
      <c r="F123" s="7">
        <f t="shared" si="60"/>
        <v>0</v>
      </c>
      <c r="G123" s="2"/>
      <c r="H123" s="6">
        <v>2754</v>
      </c>
      <c r="I123" s="2"/>
      <c r="J123" s="7">
        <f t="shared" si="61"/>
        <v>6.7418222357243634E-3</v>
      </c>
      <c r="K123" s="2"/>
      <c r="L123" s="6">
        <f t="shared" si="62"/>
        <v>-2754</v>
      </c>
      <c r="M123" s="2"/>
      <c r="N123" s="7">
        <f t="shared" si="63"/>
        <v>-1</v>
      </c>
      <c r="O123" s="11"/>
      <c r="P123" s="6">
        <v>7971.22</v>
      </c>
      <c r="Q123" s="2"/>
      <c r="R123" s="7">
        <f t="shared" si="64"/>
        <v>3.0800955683497381E-3</v>
      </c>
      <c r="S123" s="2"/>
      <c r="T123" s="6">
        <v>13583.2</v>
      </c>
      <c r="U123" s="2"/>
      <c r="V123" s="7">
        <f t="shared" si="65"/>
        <v>4.562799650182226E-3</v>
      </c>
      <c r="W123" s="2"/>
      <c r="X123" s="6">
        <f t="shared" si="66"/>
        <v>-5611.9800000000005</v>
      </c>
      <c r="Y123" s="2"/>
      <c r="Z123" s="7">
        <f t="shared" si="67"/>
        <v>-0.41315595735909066</v>
      </c>
    </row>
    <row r="124" spans="1:26" s="25" customFormat="1" outlineLevel="1" collapsed="1" x14ac:dyDescent="0.25">
      <c r="A124" s="26"/>
      <c r="B124" s="13" t="str">
        <f>CONCATENATE("     ","Services                                          ")</f>
        <v xml:space="preserve">     Services                                          </v>
      </c>
      <c r="C124" s="13"/>
      <c r="D124" s="1">
        <f>SUM(OSRRefD22_16x_0)</f>
        <v>128.72</v>
      </c>
      <c r="E124" s="1"/>
      <c r="F124" s="5">
        <f t="shared" ref="F124:F127" si="68">IF(D$12=0,0,D124/D$12)</f>
        <v>1.0326477788606284E-3</v>
      </c>
      <c r="G124" s="1"/>
      <c r="H124" s="1">
        <f>SUM(OSRRefH22_16x_0)</f>
        <v>224.45999999999998</v>
      </c>
      <c r="I124" s="1"/>
      <c r="J124" s="5">
        <f t="shared" ref="J124:J127" si="69">IF(H$12=0,0,H124/H$12)</f>
        <v>5.4948054431034515E-4</v>
      </c>
      <c r="K124" s="1"/>
      <c r="L124" s="1">
        <f t="shared" ref="L124:L127" si="70">+D124-H124</f>
        <v>-95.739999999999981</v>
      </c>
      <c r="M124" s="1"/>
      <c r="N124" s="5">
        <f t="shared" ref="N124:N127" si="71">IF(H124=0,0,L124/H124)</f>
        <v>-0.42653479461819471</v>
      </c>
      <c r="O124" s="13"/>
      <c r="P124" s="1">
        <f>SUM(OSRRefP22_16x_0)</f>
        <v>2760.08</v>
      </c>
      <c r="Q124" s="1"/>
      <c r="R124" s="5">
        <f t="shared" ref="R124:R127" si="72">IF(P$12=0,0,P124/P$12)</f>
        <v>1.0665005076124789E-3</v>
      </c>
      <c r="S124" s="1"/>
      <c r="T124" s="1">
        <f>SUM(OSRRefT22_16x_0)</f>
        <v>2103.3199999999997</v>
      </c>
      <c r="U124" s="1"/>
      <c r="V124" s="5">
        <f t="shared" ref="V124:V127" si="73">IF(T$12=0,0,T124/T$12)</f>
        <v>7.0653658638769048E-4</v>
      </c>
      <c r="W124" s="1"/>
      <c r="X124" s="1">
        <f t="shared" ref="X124:X127" si="74">+P124-T124</f>
        <v>656.76000000000022</v>
      </c>
      <c r="Y124" s="1"/>
      <c r="Z124" s="5">
        <f t="shared" ref="Z124:Z127" si="75">IF(T124=0,0,X124/T124)</f>
        <v>0.312249206017154</v>
      </c>
    </row>
    <row r="125" spans="1:26" s="24" customFormat="1" hidden="1" outlineLevel="2" x14ac:dyDescent="0.25">
      <c r="A125" s="27"/>
      <c r="B125" s="11" t="str">
        <f>CONCATENATE("          ", "6283", " - ", "PLANT SERVICE")</f>
        <v xml:space="preserve">          6283 - PLANT SERVICE</v>
      </c>
      <c r="C125" s="11"/>
      <c r="D125" s="6"/>
      <c r="E125" s="2"/>
      <c r="F125" s="7">
        <f t="shared" si="68"/>
        <v>0</v>
      </c>
      <c r="G125" s="2"/>
      <c r="H125" s="6">
        <v>56</v>
      </c>
      <c r="I125" s="2"/>
      <c r="J125" s="7">
        <f t="shared" si="69"/>
        <v>1.3708861481501972E-4</v>
      </c>
      <c r="K125" s="2"/>
      <c r="L125" s="6">
        <f t="shared" si="70"/>
        <v>-56</v>
      </c>
      <c r="M125" s="2"/>
      <c r="N125" s="7">
        <f t="shared" si="71"/>
        <v>-1</v>
      </c>
      <c r="O125" s="11"/>
      <c r="P125" s="6">
        <v>178.65</v>
      </c>
      <c r="Q125" s="2"/>
      <c r="R125" s="7">
        <f t="shared" si="72"/>
        <v>6.9030722183766193E-5</v>
      </c>
      <c r="S125" s="2"/>
      <c r="T125" s="6">
        <v>560</v>
      </c>
      <c r="U125" s="2"/>
      <c r="V125" s="7">
        <f t="shared" si="73"/>
        <v>1.8811235968711691E-4</v>
      </c>
      <c r="W125" s="2"/>
      <c r="X125" s="6">
        <f t="shared" si="74"/>
        <v>-381.35</v>
      </c>
      <c r="Y125" s="2"/>
      <c r="Z125" s="7">
        <f t="shared" si="75"/>
        <v>-0.68098214285714287</v>
      </c>
    </row>
    <row r="126" spans="1:26" s="24" customFormat="1" hidden="1" outlineLevel="2" x14ac:dyDescent="0.25">
      <c r="A126" s="27"/>
      <c r="B126" s="11" t="str">
        <f>CONCATENATE("          ", "6284", " - ", "TRASH REMOVAL EXPENSE")</f>
        <v xml:space="preserve">          6284 - TRASH REMOVAL EXPENSE</v>
      </c>
      <c r="C126" s="11"/>
      <c r="D126" s="6">
        <v>134.82</v>
      </c>
      <c r="E126" s="2"/>
      <c r="F126" s="7">
        <f t="shared" si="68"/>
        <v>1.0815846297855028E-3</v>
      </c>
      <c r="G126" s="2"/>
      <c r="H126" s="6">
        <v>121.46</v>
      </c>
      <c r="I126" s="2"/>
      <c r="J126" s="7">
        <f t="shared" si="69"/>
        <v>2.9733541348986244E-4</v>
      </c>
      <c r="K126" s="2"/>
      <c r="L126" s="6">
        <f t="shared" si="70"/>
        <v>13.36</v>
      </c>
      <c r="M126" s="2"/>
      <c r="N126" s="7">
        <f t="shared" si="71"/>
        <v>0.10999506010209123</v>
      </c>
      <c r="O126" s="11"/>
      <c r="P126" s="6">
        <v>1348.2</v>
      </c>
      <c r="Q126" s="2"/>
      <c r="R126" s="7">
        <f t="shared" si="72"/>
        <v>5.2094721325582751E-4</v>
      </c>
      <c r="S126" s="2"/>
      <c r="T126" s="6">
        <v>1214.5999999999999</v>
      </c>
      <c r="U126" s="2"/>
      <c r="V126" s="7">
        <f t="shared" si="73"/>
        <v>4.0800227156423602E-4</v>
      </c>
      <c r="W126" s="2"/>
      <c r="X126" s="6">
        <f t="shared" si="74"/>
        <v>133.60000000000014</v>
      </c>
      <c r="Y126" s="2"/>
      <c r="Z126" s="7">
        <f t="shared" si="75"/>
        <v>0.10999506010209134</v>
      </c>
    </row>
    <row r="127" spans="1:26" s="24" customFormat="1" hidden="1" outlineLevel="2" x14ac:dyDescent="0.25">
      <c r="A127" s="27"/>
      <c r="B127" s="11" t="str">
        <f>CONCATENATE("          ", "6285", " - ", "JANITORIAL SERVICES")</f>
        <v xml:space="preserve">          6285 - JANITORIAL SERVICES</v>
      </c>
      <c r="C127" s="11"/>
      <c r="D127" s="6">
        <v>-6.1</v>
      </c>
      <c r="E127" s="2"/>
      <c r="F127" s="7">
        <f t="shared" si="68"/>
        <v>-4.89368509248744E-5</v>
      </c>
      <c r="G127" s="2"/>
      <c r="H127" s="6">
        <v>47</v>
      </c>
      <c r="I127" s="2"/>
      <c r="J127" s="7">
        <f t="shared" si="69"/>
        <v>1.1505651600546299E-4</v>
      </c>
      <c r="K127" s="2"/>
      <c r="L127" s="6">
        <f t="shared" si="70"/>
        <v>-53.1</v>
      </c>
      <c r="M127" s="2"/>
      <c r="N127" s="7">
        <f t="shared" si="71"/>
        <v>-1.1297872340425532</v>
      </c>
      <c r="O127" s="11"/>
      <c r="P127" s="6">
        <v>1233.23</v>
      </c>
      <c r="Q127" s="2"/>
      <c r="R127" s="7">
        <f t="shared" si="72"/>
        <v>4.7652257217288541E-4</v>
      </c>
      <c r="S127" s="2"/>
      <c r="T127" s="6">
        <v>328.72</v>
      </c>
      <c r="U127" s="2"/>
      <c r="V127" s="7">
        <f t="shared" si="73"/>
        <v>1.1042195513633763E-4</v>
      </c>
      <c r="W127" s="2"/>
      <c r="X127" s="6">
        <f t="shared" si="74"/>
        <v>904.51</v>
      </c>
      <c r="Y127" s="2"/>
      <c r="Z127" s="7">
        <f t="shared" si="75"/>
        <v>2.751612314431735</v>
      </c>
    </row>
    <row r="128" spans="1:26" s="25" customFormat="1" outlineLevel="1" collapsed="1" x14ac:dyDescent="0.25">
      <c r="A128" s="26"/>
      <c r="B128" s="13" t="str">
        <f>CONCATENATE("     ","Subscriptions &amp; Dues                              ")</f>
        <v xml:space="preserve">     Subscriptions &amp; Dues                              </v>
      </c>
      <c r="C128" s="13"/>
      <c r="D128" s="1">
        <f>SUM(OSRRefD22_17x_0)</f>
        <v>75</v>
      </c>
      <c r="E128" s="1"/>
      <c r="F128" s="5">
        <f t="shared" ref="F128:F130" si="76">IF(D$12=0,0,D128/D$12)</f>
        <v>6.0168259333861975E-4</v>
      </c>
      <c r="G128" s="1"/>
      <c r="H128" s="1">
        <f>SUM(OSRRefH22_17x_0)</f>
        <v>131.97999999999999</v>
      </c>
      <c r="I128" s="1"/>
      <c r="J128" s="5">
        <f t="shared" ref="J128:J130" si="77">IF(H$12=0,0,H128/H$12)</f>
        <v>3.2308848898725544E-4</v>
      </c>
      <c r="K128" s="1"/>
      <c r="L128" s="1">
        <f t="shared" ref="L128:L130" si="78">+D128-H128</f>
        <v>-56.97999999999999</v>
      </c>
      <c r="M128" s="1"/>
      <c r="N128" s="5">
        <f t="shared" ref="N128:N130" si="79">IF(H128=0,0,L128/H128)</f>
        <v>-0.43173208061827545</v>
      </c>
      <c r="O128" s="13"/>
      <c r="P128" s="1">
        <f>SUM(OSRRefP22_17x_0)</f>
        <v>647.99</v>
      </c>
      <c r="Q128" s="1"/>
      <c r="R128" s="5">
        <f t="shared" ref="R128:R130" si="80">IF(P$12=0,0,P128/P$12)</f>
        <v>2.5038464969414303E-4</v>
      </c>
      <c r="S128" s="1"/>
      <c r="T128" s="1">
        <f>SUM(OSRRefT22_17x_0)</f>
        <v>2321.2000000000003</v>
      </c>
      <c r="U128" s="1"/>
      <c r="V128" s="5">
        <f t="shared" ref="V128:V130" si="81">IF(T$12=0,0,T128/T$12)</f>
        <v>7.7972573090309965E-4</v>
      </c>
      <c r="W128" s="1"/>
      <c r="X128" s="1">
        <f t="shared" ref="X128:X130" si="82">+P128-T128</f>
        <v>-1673.2100000000003</v>
      </c>
      <c r="Y128" s="1"/>
      <c r="Z128" s="5">
        <f t="shared" ref="Z128:Z130" si="83">IF(T128=0,0,X128/T128)</f>
        <v>-0.72083835946924013</v>
      </c>
    </row>
    <row r="129" spans="1:26" s="24" customFormat="1" hidden="1" outlineLevel="2" x14ac:dyDescent="0.25">
      <c r="A129" s="27"/>
      <c r="B129" s="11" t="str">
        <f>CONCATENATE("          ", "6258", " - ", "MEMBERSHIP DUES")</f>
        <v xml:space="preserve">          6258 - MEMBERSHIP DUES</v>
      </c>
      <c r="C129" s="11"/>
      <c r="D129" s="6"/>
      <c r="E129" s="2"/>
      <c r="F129" s="7">
        <f t="shared" si="76"/>
        <v>0</v>
      </c>
      <c r="G129" s="2"/>
      <c r="H129" s="6"/>
      <c r="I129" s="2"/>
      <c r="J129" s="7">
        <f t="shared" si="77"/>
        <v>0</v>
      </c>
      <c r="K129" s="2"/>
      <c r="L129" s="6">
        <f t="shared" si="78"/>
        <v>0</v>
      </c>
      <c r="M129" s="2"/>
      <c r="N129" s="7">
        <f t="shared" si="79"/>
        <v>0</v>
      </c>
      <c r="O129" s="11"/>
      <c r="P129" s="6">
        <v>112.93</v>
      </c>
      <c r="Q129" s="2"/>
      <c r="R129" s="7">
        <f t="shared" si="80"/>
        <v>4.3636380947174454E-5</v>
      </c>
      <c r="S129" s="2"/>
      <c r="T129" s="6">
        <v>129.88</v>
      </c>
      <c r="U129" s="2"/>
      <c r="V129" s="7">
        <f t="shared" si="81"/>
        <v>4.3628630850290615E-5</v>
      </c>
      <c r="W129" s="2"/>
      <c r="X129" s="6">
        <f t="shared" si="82"/>
        <v>-16.949999999999989</v>
      </c>
      <c r="Y129" s="2"/>
      <c r="Z129" s="7">
        <f t="shared" si="83"/>
        <v>-0.13050508161379726</v>
      </c>
    </row>
    <row r="130" spans="1:26" s="24" customFormat="1" hidden="1" outlineLevel="2" x14ac:dyDescent="0.25">
      <c r="A130" s="27"/>
      <c r="B130" s="11" t="str">
        <f>CONCATENATE("          ", "6275", " - ", "SUBSCRIPTIONS")</f>
        <v xml:space="preserve">          6275 - SUBSCRIPTIONS</v>
      </c>
      <c r="C130" s="11"/>
      <c r="D130" s="6">
        <v>75</v>
      </c>
      <c r="E130" s="2"/>
      <c r="F130" s="7">
        <f t="shared" si="76"/>
        <v>6.0168259333861975E-4</v>
      </c>
      <c r="G130" s="2"/>
      <c r="H130" s="6">
        <v>131.97999999999999</v>
      </c>
      <c r="I130" s="2"/>
      <c r="J130" s="7">
        <f t="shared" si="77"/>
        <v>3.2308848898725544E-4</v>
      </c>
      <c r="K130" s="2"/>
      <c r="L130" s="6">
        <f t="shared" si="78"/>
        <v>-56.97999999999999</v>
      </c>
      <c r="M130" s="2"/>
      <c r="N130" s="7">
        <f t="shared" si="79"/>
        <v>-0.43173208061827545</v>
      </c>
      <c r="O130" s="11"/>
      <c r="P130" s="6">
        <v>535.05999999999995</v>
      </c>
      <c r="Q130" s="2"/>
      <c r="R130" s="7">
        <f t="shared" si="80"/>
        <v>2.0674826874696856E-4</v>
      </c>
      <c r="S130" s="2"/>
      <c r="T130" s="6">
        <v>2191.3200000000002</v>
      </c>
      <c r="U130" s="2"/>
      <c r="V130" s="7">
        <f t="shared" si="81"/>
        <v>7.3609710005280904E-4</v>
      </c>
      <c r="W130" s="2"/>
      <c r="X130" s="6">
        <f t="shared" si="82"/>
        <v>-1656.2600000000002</v>
      </c>
      <c r="Y130" s="2"/>
      <c r="Z130" s="7">
        <f t="shared" si="83"/>
        <v>-0.75582753773980982</v>
      </c>
    </row>
    <row r="131" spans="1:26" s="25" customFormat="1" outlineLevel="1" collapsed="1" x14ac:dyDescent="0.25">
      <c r="A131" s="26"/>
      <c r="B131" s="13" t="str">
        <f>CONCATENATE("     ","Supplies                                          ")</f>
        <v xml:space="preserve">     Supplies                                          </v>
      </c>
      <c r="C131" s="13"/>
      <c r="D131" s="1">
        <f>SUM(OSRRefD22_18x_0)</f>
        <v>349.47</v>
      </c>
      <c r="E131" s="1"/>
      <c r="F131" s="5">
        <f t="shared" ref="F131:F137" si="84">IF(D$12=0,0,D131/D$12)</f>
        <v>2.8036002119206328E-3</v>
      </c>
      <c r="G131" s="1"/>
      <c r="H131" s="1">
        <f>SUM(OSRRefH22_18x_0)</f>
        <v>855.77</v>
      </c>
      <c r="I131" s="1"/>
      <c r="J131" s="5">
        <f t="shared" ref="J131:J137" si="85">IF(H$12=0,0,H131/H$12)</f>
        <v>2.094934355361597E-3</v>
      </c>
      <c r="K131" s="1"/>
      <c r="L131" s="1">
        <f t="shared" ref="L131:L137" si="86">+D131-H131</f>
        <v>-506.29999999999995</v>
      </c>
      <c r="M131" s="1"/>
      <c r="N131" s="5">
        <f t="shared" ref="N131:N137" si="87">IF(H131=0,0,L131/H131)</f>
        <v>-0.59163092887107516</v>
      </c>
      <c r="O131" s="13"/>
      <c r="P131" s="1">
        <f>SUM(OSRRefP22_18x_0)</f>
        <v>7366.9999999999991</v>
      </c>
      <c r="Q131" s="1"/>
      <c r="R131" s="5">
        <f t="shared" ref="R131:R137" si="88">IF(P$12=0,0,P131/P$12)</f>
        <v>2.8466237353921378E-3</v>
      </c>
      <c r="S131" s="1"/>
      <c r="T131" s="1">
        <f>SUM(OSRRefT22_18x_0)</f>
        <v>7583.03</v>
      </c>
      <c r="U131" s="1"/>
      <c r="V131" s="5">
        <f t="shared" ref="V131:V137" si="89">IF(T$12=0,0,T131/T$12)</f>
        <v>2.5472529765682107E-3</v>
      </c>
      <c r="W131" s="1"/>
      <c r="X131" s="1">
        <f t="shared" ref="X131:X137" si="90">+P131-T131</f>
        <v>-216.03000000000065</v>
      </c>
      <c r="Y131" s="1"/>
      <c r="Z131" s="5">
        <f t="shared" ref="Z131:Z137" si="91">IF(T131=0,0,X131/T131)</f>
        <v>-2.8488612071955494E-2</v>
      </c>
    </row>
    <row r="132" spans="1:26" s="24" customFormat="1" hidden="1" outlineLevel="2" x14ac:dyDescent="0.25">
      <c r="A132" s="27"/>
      <c r="B132" s="11" t="str">
        <f>CONCATENATE("          ", "6234", " - ", "EXPENDABLE SUPPLIES &amp; EQUIPMEN")</f>
        <v xml:space="preserve">          6234 - EXPENDABLE SUPPLIES &amp; EQUIPMEN</v>
      </c>
      <c r="C132" s="11"/>
      <c r="D132" s="6">
        <v>140.1</v>
      </c>
      <c r="E132" s="2"/>
      <c r="F132" s="7">
        <f t="shared" si="84"/>
        <v>1.1239430843565416E-3</v>
      </c>
      <c r="G132" s="2"/>
      <c r="H132" s="6">
        <v>131.38999999999999</v>
      </c>
      <c r="I132" s="2"/>
      <c r="J132" s="7">
        <f t="shared" si="85"/>
        <v>3.2164416250974004E-4</v>
      </c>
      <c r="K132" s="2"/>
      <c r="L132" s="6">
        <f t="shared" si="86"/>
        <v>8.710000000000008</v>
      </c>
      <c r="M132" s="2"/>
      <c r="N132" s="7">
        <f t="shared" si="87"/>
        <v>6.6291194154806374E-2</v>
      </c>
      <c r="O132" s="11"/>
      <c r="P132" s="6">
        <v>976.24</v>
      </c>
      <c r="Q132" s="2"/>
      <c r="R132" s="7">
        <f t="shared" si="88"/>
        <v>3.7722111516753373E-4</v>
      </c>
      <c r="S132" s="2"/>
      <c r="T132" s="6">
        <v>529.80999999999995</v>
      </c>
      <c r="U132" s="2"/>
      <c r="V132" s="7">
        <f t="shared" si="89"/>
        <v>1.7797108801041321E-4</v>
      </c>
      <c r="W132" s="2"/>
      <c r="X132" s="6">
        <f t="shared" si="90"/>
        <v>446.43000000000006</v>
      </c>
      <c r="Y132" s="2"/>
      <c r="Z132" s="7">
        <f t="shared" si="91"/>
        <v>0.84262282705120728</v>
      </c>
    </row>
    <row r="133" spans="1:26" s="24" customFormat="1" hidden="1" outlineLevel="2" x14ac:dyDescent="0.25">
      <c r="A133" s="27"/>
      <c r="B133" s="11" t="str">
        <f>CONCATENATE("          ", "6237", " - ", "JANITORIAL SUPPLIES")</f>
        <v xml:space="preserve">          6237 - JANITORIAL SUPPLIES</v>
      </c>
      <c r="C133" s="11"/>
      <c r="D133" s="6"/>
      <c r="E133" s="2"/>
      <c r="F133" s="7">
        <f t="shared" si="84"/>
        <v>0</v>
      </c>
      <c r="G133" s="2"/>
      <c r="H133" s="6">
        <v>463.44</v>
      </c>
      <c r="I133" s="2"/>
      <c r="J133" s="7">
        <f t="shared" si="85"/>
        <v>1.1345062080334418E-3</v>
      </c>
      <c r="K133" s="2"/>
      <c r="L133" s="6">
        <f t="shared" si="86"/>
        <v>-463.44</v>
      </c>
      <c r="M133" s="2"/>
      <c r="N133" s="7">
        <f t="shared" si="87"/>
        <v>-1</v>
      </c>
      <c r="O133" s="11"/>
      <c r="P133" s="6">
        <v>670.42</v>
      </c>
      <c r="Q133" s="2"/>
      <c r="R133" s="7">
        <f t="shared" si="88"/>
        <v>2.5905164716731333E-4</v>
      </c>
      <c r="S133" s="2"/>
      <c r="T133" s="6">
        <v>641.32000000000005</v>
      </c>
      <c r="U133" s="2"/>
      <c r="V133" s="7">
        <f t="shared" si="89"/>
        <v>2.1542896163311039E-4</v>
      </c>
      <c r="W133" s="2"/>
      <c r="X133" s="6">
        <f t="shared" si="90"/>
        <v>29.099999999999909</v>
      </c>
      <c r="Y133" s="2"/>
      <c r="Z133" s="7">
        <f t="shared" si="91"/>
        <v>4.5375163724817417E-2</v>
      </c>
    </row>
    <row r="134" spans="1:26" s="24" customFormat="1" hidden="1" outlineLevel="2" x14ac:dyDescent="0.25">
      <c r="A134" s="27"/>
      <c r="B134" s="11" t="str">
        <f>CONCATENATE("          ", "6241", " - ", "OFFICE EXPENSE")</f>
        <v xml:space="preserve">          6241 - OFFICE EXPENSE</v>
      </c>
      <c r="C134" s="11"/>
      <c r="D134" s="6">
        <v>209.37</v>
      </c>
      <c r="E134" s="2"/>
      <c r="F134" s="7">
        <f t="shared" si="84"/>
        <v>1.6796571275640908E-3</v>
      </c>
      <c r="G134" s="2"/>
      <c r="H134" s="6">
        <v>186.69</v>
      </c>
      <c r="I134" s="2"/>
      <c r="J134" s="7">
        <f t="shared" si="85"/>
        <v>4.5701916963957205E-4</v>
      </c>
      <c r="K134" s="2"/>
      <c r="L134" s="6">
        <f t="shared" si="86"/>
        <v>22.680000000000007</v>
      </c>
      <c r="M134" s="2"/>
      <c r="N134" s="7">
        <f t="shared" si="87"/>
        <v>0.12148481439820026</v>
      </c>
      <c r="O134" s="11"/>
      <c r="P134" s="6">
        <v>4987.91</v>
      </c>
      <c r="Q134" s="2"/>
      <c r="R134" s="7">
        <f t="shared" si="88"/>
        <v>1.9273385361748066E-3</v>
      </c>
      <c r="S134" s="2"/>
      <c r="T134" s="6">
        <v>2890.83</v>
      </c>
      <c r="U134" s="2"/>
      <c r="V134" s="7">
        <f t="shared" si="89"/>
        <v>9.7107295134697886E-4</v>
      </c>
      <c r="W134" s="2"/>
      <c r="X134" s="6">
        <f t="shared" si="90"/>
        <v>2097.08</v>
      </c>
      <c r="Y134" s="2"/>
      <c r="Z134" s="7">
        <f t="shared" si="91"/>
        <v>0.72542487797622135</v>
      </c>
    </row>
    <row r="135" spans="1:26" s="24" customFormat="1" hidden="1" outlineLevel="2" x14ac:dyDescent="0.25">
      <c r="A135" s="27"/>
      <c r="B135" s="11" t="str">
        <f>CONCATENATE("          ", "6245", " - ", "PRINTING")</f>
        <v xml:space="preserve">          6245 - PRINTING</v>
      </c>
      <c r="C135" s="11"/>
      <c r="D135" s="6"/>
      <c r="E135" s="2"/>
      <c r="F135" s="7">
        <f t="shared" si="84"/>
        <v>0</v>
      </c>
      <c r="G135" s="2"/>
      <c r="H135" s="6"/>
      <c r="I135" s="2"/>
      <c r="J135" s="7">
        <f t="shared" si="85"/>
        <v>0</v>
      </c>
      <c r="K135" s="2"/>
      <c r="L135" s="6">
        <f t="shared" si="86"/>
        <v>0</v>
      </c>
      <c r="M135" s="2"/>
      <c r="N135" s="7">
        <f t="shared" si="87"/>
        <v>0</v>
      </c>
      <c r="O135" s="11"/>
      <c r="P135" s="6">
        <v>-506.93</v>
      </c>
      <c r="Q135" s="2"/>
      <c r="R135" s="7">
        <f t="shared" si="88"/>
        <v>-1.9587877971797703E-4</v>
      </c>
      <c r="S135" s="2"/>
      <c r="T135" s="6">
        <v>970.75</v>
      </c>
      <c r="U135" s="2"/>
      <c r="V135" s="7">
        <f t="shared" si="89"/>
        <v>3.2608941636833705E-4</v>
      </c>
      <c r="W135" s="2"/>
      <c r="X135" s="6">
        <f t="shared" si="90"/>
        <v>-1477.68</v>
      </c>
      <c r="Y135" s="2"/>
      <c r="Z135" s="7">
        <f t="shared" si="91"/>
        <v>-1.5222044810713367</v>
      </c>
    </row>
    <row r="136" spans="1:26" s="24" customFormat="1" hidden="1" outlineLevel="2" x14ac:dyDescent="0.25">
      <c r="A136" s="27"/>
      <c r="B136" s="11" t="str">
        <f>CONCATENATE("          ", "6247", " - ", "STORE SUPPLIES")</f>
        <v xml:space="preserve">          6247 - STORE SUPPLIES</v>
      </c>
      <c r="C136" s="11"/>
      <c r="D136" s="6"/>
      <c r="E136" s="2"/>
      <c r="F136" s="7">
        <f t="shared" si="84"/>
        <v>0</v>
      </c>
      <c r="G136" s="2"/>
      <c r="H136" s="6">
        <v>74.25</v>
      </c>
      <c r="I136" s="2"/>
      <c r="J136" s="7">
        <f t="shared" si="85"/>
        <v>1.8176481517884313E-4</v>
      </c>
      <c r="K136" s="2"/>
      <c r="L136" s="6">
        <f t="shared" si="86"/>
        <v>-74.25</v>
      </c>
      <c r="M136" s="2"/>
      <c r="N136" s="7">
        <f t="shared" si="87"/>
        <v>-1</v>
      </c>
      <c r="O136" s="11"/>
      <c r="P136" s="6">
        <v>1239.3599999999999</v>
      </c>
      <c r="Q136" s="2"/>
      <c r="R136" s="7">
        <f t="shared" si="88"/>
        <v>4.7889121660046153E-4</v>
      </c>
      <c r="S136" s="2"/>
      <c r="T136" s="6">
        <v>1975.04</v>
      </c>
      <c r="U136" s="2"/>
      <c r="V136" s="7">
        <f t="shared" si="89"/>
        <v>6.6344541942222029E-4</v>
      </c>
      <c r="W136" s="2"/>
      <c r="X136" s="6">
        <f t="shared" si="90"/>
        <v>-735.68000000000006</v>
      </c>
      <c r="Y136" s="2"/>
      <c r="Z136" s="7">
        <f t="shared" si="91"/>
        <v>-0.37248865845755025</v>
      </c>
    </row>
    <row r="137" spans="1:26" s="24" customFormat="1" hidden="1" outlineLevel="2" x14ac:dyDescent="0.25">
      <c r="A137" s="27"/>
      <c r="B137" s="11" t="str">
        <f>CONCATENATE("          ", "6248", " - ", "UNIFORMS")</f>
        <v xml:space="preserve">          6248 - UNIFORMS</v>
      </c>
      <c r="C137" s="11"/>
      <c r="D137" s="6"/>
      <c r="E137" s="2"/>
      <c r="F137" s="7">
        <f t="shared" si="84"/>
        <v>0</v>
      </c>
      <c r="G137" s="2"/>
      <c r="H137" s="6"/>
      <c r="I137" s="2"/>
      <c r="J137" s="7">
        <f t="shared" si="85"/>
        <v>0</v>
      </c>
      <c r="K137" s="2"/>
      <c r="L137" s="6">
        <f t="shared" si="86"/>
        <v>0</v>
      </c>
      <c r="M137" s="2"/>
      <c r="N137" s="7">
        <f t="shared" si="87"/>
        <v>0</v>
      </c>
      <c r="O137" s="11"/>
      <c r="P137" s="6"/>
      <c r="Q137" s="2"/>
      <c r="R137" s="7">
        <f t="shared" si="88"/>
        <v>0</v>
      </c>
      <c r="S137" s="2"/>
      <c r="T137" s="6">
        <v>575.28</v>
      </c>
      <c r="U137" s="2"/>
      <c r="V137" s="7">
        <f t="shared" si="89"/>
        <v>1.932451397871511E-4</v>
      </c>
      <c r="W137" s="2"/>
      <c r="X137" s="6">
        <f t="shared" si="90"/>
        <v>-575.28</v>
      </c>
      <c r="Y137" s="2"/>
      <c r="Z137" s="7">
        <f t="shared" si="91"/>
        <v>-1</v>
      </c>
    </row>
    <row r="138" spans="1:26" s="25" customFormat="1" outlineLevel="1" collapsed="1" x14ac:dyDescent="0.25">
      <c r="A138" s="26"/>
      <c r="B138" s="13" t="str">
        <f>CONCATENATE("     ","Telephone/Data Lines                              ")</f>
        <v xml:space="preserve">     Telephone/Data Lines                              </v>
      </c>
      <c r="C138" s="13"/>
      <c r="D138" s="1">
        <f>SUM(OSRRefD22_19x_0)</f>
        <v>1015.71</v>
      </c>
      <c r="E138" s="1"/>
      <c r="F138" s="5">
        <f t="shared" ref="F138:F144" si="92">IF(D$12=0,0,D138/D$12)</f>
        <v>8.1484670250662593E-3</v>
      </c>
      <c r="G138" s="1"/>
      <c r="H138" s="1">
        <f>SUM(OSRRefH22_19x_0)</f>
        <v>889.88</v>
      </c>
      <c r="I138" s="1"/>
      <c r="J138" s="5">
        <f t="shared" ref="J138:J144" si="93">IF(H$12=0,0,H138/H$12)</f>
        <v>2.1784360098498173E-3</v>
      </c>
      <c r="K138" s="1"/>
      <c r="L138" s="1">
        <f t="shared" ref="L138:L144" si="94">+D138-H138</f>
        <v>125.83000000000004</v>
      </c>
      <c r="M138" s="1"/>
      <c r="N138" s="5">
        <f t="shared" ref="N138:N144" si="95">IF(H138=0,0,L138/H138)</f>
        <v>0.14140108778711741</v>
      </c>
      <c r="O138" s="13"/>
      <c r="P138" s="1">
        <f>SUM(OSRRefP22_19x_0)</f>
        <v>8027.51</v>
      </c>
      <c r="Q138" s="1"/>
      <c r="R138" s="5">
        <f t="shared" ref="R138:R144" si="96">IF(P$12=0,0,P138/P$12)</f>
        <v>3.1018461384685414E-3</v>
      </c>
      <c r="S138" s="1"/>
      <c r="T138" s="1">
        <f>SUM(OSRRefT22_19x_0)</f>
        <v>9025.9599999999991</v>
      </c>
      <c r="U138" s="1"/>
      <c r="V138" s="5">
        <f t="shared" ref="V138:V144" si="97">IF(T$12=0,0,T138/T$12)</f>
        <v>3.0319547036455883E-3</v>
      </c>
      <c r="W138" s="1"/>
      <c r="X138" s="1">
        <f t="shared" ref="X138:X144" si="98">+P138-T138</f>
        <v>-998.44999999999891</v>
      </c>
      <c r="Y138" s="1"/>
      <c r="Z138" s="5">
        <f t="shared" ref="Z138:Z144" si="99">IF(T138=0,0,X138/T138)</f>
        <v>-0.11061981218618286</v>
      </c>
    </row>
    <row r="139" spans="1:26" s="24" customFormat="1" hidden="1" outlineLevel="2" x14ac:dyDescent="0.25">
      <c r="A139" s="27"/>
      <c r="B139" s="11" t="str">
        <f>CONCATENATE("          ", "6309", " - ", "TELEPHONE")</f>
        <v xml:space="preserve">          6309 - TELEPHONE</v>
      </c>
      <c r="C139" s="11"/>
      <c r="D139" s="6">
        <v>1015.71</v>
      </c>
      <c r="E139" s="2"/>
      <c r="F139" s="7">
        <f t="shared" si="92"/>
        <v>8.1484670250662593E-3</v>
      </c>
      <c r="G139" s="2"/>
      <c r="H139" s="6">
        <v>889.88</v>
      </c>
      <c r="I139" s="2"/>
      <c r="J139" s="7">
        <f t="shared" si="93"/>
        <v>2.1784360098498173E-3</v>
      </c>
      <c r="K139" s="2"/>
      <c r="L139" s="6">
        <f t="shared" si="94"/>
        <v>125.83000000000004</v>
      </c>
      <c r="M139" s="2"/>
      <c r="N139" s="7">
        <f t="shared" si="95"/>
        <v>0.14140108778711741</v>
      </c>
      <c r="O139" s="11"/>
      <c r="P139" s="6">
        <v>8027.51</v>
      </c>
      <c r="Q139" s="2"/>
      <c r="R139" s="7">
        <f t="shared" si="96"/>
        <v>3.1018461384685414E-3</v>
      </c>
      <c r="S139" s="2"/>
      <c r="T139" s="6">
        <v>9025.9599999999991</v>
      </c>
      <c r="U139" s="2"/>
      <c r="V139" s="7">
        <f t="shared" si="97"/>
        <v>3.0319547036455883E-3</v>
      </c>
      <c r="W139" s="2"/>
      <c r="X139" s="6">
        <f t="shared" si="98"/>
        <v>-998.44999999999891</v>
      </c>
      <c r="Y139" s="2"/>
      <c r="Z139" s="7">
        <f t="shared" si="99"/>
        <v>-0.11061981218618286</v>
      </c>
    </row>
    <row r="140" spans="1:26" s="25" customFormat="1" outlineLevel="1" collapsed="1" x14ac:dyDescent="0.25">
      <c r="A140" s="26"/>
      <c r="B140" s="13" t="str">
        <f>CONCATENATE("     ","Training                                          ")</f>
        <v xml:space="preserve">     Training                                          </v>
      </c>
      <c r="C140" s="13"/>
      <c r="D140" s="1">
        <f>SUM(OSRRefD22_20x_0)</f>
        <v>0</v>
      </c>
      <c r="E140" s="1"/>
      <c r="F140" s="5">
        <f t="shared" si="92"/>
        <v>0</v>
      </c>
      <c r="G140" s="1"/>
      <c r="H140" s="1">
        <f>SUM(OSRRefH22_20x_0)</f>
        <v>0</v>
      </c>
      <c r="I140" s="1"/>
      <c r="J140" s="5">
        <f t="shared" si="93"/>
        <v>0</v>
      </c>
      <c r="K140" s="1"/>
      <c r="L140" s="1">
        <f t="shared" si="94"/>
        <v>0</v>
      </c>
      <c r="M140" s="1"/>
      <c r="N140" s="5">
        <f t="shared" si="95"/>
        <v>0</v>
      </c>
      <c r="O140" s="13"/>
      <c r="P140" s="1">
        <f>SUM(OSRRefP22_20x_0)</f>
        <v>5264.54</v>
      </c>
      <c r="Q140" s="1"/>
      <c r="R140" s="5">
        <f t="shared" si="96"/>
        <v>2.034228928997058E-3</v>
      </c>
      <c r="S140" s="1"/>
      <c r="T140" s="1">
        <f>SUM(OSRRefT22_20x_0)</f>
        <v>3454.53</v>
      </c>
      <c r="U140" s="1"/>
      <c r="V140" s="5">
        <f t="shared" si="97"/>
        <v>1.160428196267743E-3</v>
      </c>
      <c r="W140" s="1"/>
      <c r="X140" s="1">
        <f t="shared" si="98"/>
        <v>1810.0099999999998</v>
      </c>
      <c r="Y140" s="1"/>
      <c r="Z140" s="5">
        <f t="shared" si="99"/>
        <v>0.52395260715640035</v>
      </c>
    </row>
    <row r="141" spans="1:26" s="24" customFormat="1" hidden="1" outlineLevel="2" x14ac:dyDescent="0.25">
      <c r="A141" s="27"/>
      <c r="B141" s="11" t="str">
        <f>CONCATENATE("          ", "6376", " - ", "TRAINING")</f>
        <v xml:space="preserve">          6376 - TRAINING</v>
      </c>
      <c r="C141" s="11"/>
      <c r="D141" s="6"/>
      <c r="E141" s="2"/>
      <c r="F141" s="7">
        <f t="shared" si="92"/>
        <v>0</v>
      </c>
      <c r="G141" s="2"/>
      <c r="H141" s="6"/>
      <c r="I141" s="2"/>
      <c r="J141" s="7">
        <f t="shared" si="93"/>
        <v>0</v>
      </c>
      <c r="K141" s="2"/>
      <c r="L141" s="6">
        <f t="shared" si="94"/>
        <v>0</v>
      </c>
      <c r="M141" s="2"/>
      <c r="N141" s="7">
        <f t="shared" si="95"/>
        <v>0</v>
      </c>
      <c r="O141" s="11"/>
      <c r="P141" s="6">
        <v>5264.54</v>
      </c>
      <c r="Q141" s="2"/>
      <c r="R141" s="7">
        <f t="shared" si="96"/>
        <v>2.034228928997058E-3</v>
      </c>
      <c r="S141" s="2"/>
      <c r="T141" s="6">
        <v>3454.53</v>
      </c>
      <c r="U141" s="2"/>
      <c r="V141" s="7">
        <f t="shared" si="97"/>
        <v>1.160428196267743E-3</v>
      </c>
      <c r="W141" s="2"/>
      <c r="X141" s="6">
        <f t="shared" si="98"/>
        <v>1810.0099999999998</v>
      </c>
      <c r="Y141" s="2"/>
      <c r="Z141" s="7">
        <f t="shared" si="99"/>
        <v>0.52395260715640035</v>
      </c>
    </row>
    <row r="142" spans="1:26" s="25" customFormat="1" outlineLevel="1" collapsed="1" x14ac:dyDescent="0.25">
      <c r="A142" s="26"/>
      <c r="B142" s="13" t="str">
        <f>CONCATENATE("     ","Travel                                            ")</f>
        <v xml:space="preserve">     Travel                                            </v>
      </c>
      <c r="C142" s="13"/>
      <c r="D142" s="1">
        <f>SUM(OSRRefD22_21x_0)</f>
        <v>0</v>
      </c>
      <c r="E142" s="1"/>
      <c r="F142" s="5">
        <f t="shared" si="92"/>
        <v>0</v>
      </c>
      <c r="G142" s="1"/>
      <c r="H142" s="1">
        <f>SUM(OSRRefH22_21x_0)</f>
        <v>106.79</v>
      </c>
      <c r="I142" s="1"/>
      <c r="J142" s="5">
        <f t="shared" si="93"/>
        <v>2.6142309243028499E-4</v>
      </c>
      <c r="K142" s="1"/>
      <c r="L142" s="1">
        <f t="shared" si="94"/>
        <v>-106.79</v>
      </c>
      <c r="M142" s="1"/>
      <c r="N142" s="5">
        <f t="shared" si="95"/>
        <v>-1</v>
      </c>
      <c r="O142" s="13"/>
      <c r="P142" s="1">
        <f>SUM(OSRRefP22_21x_0)</f>
        <v>612.98</v>
      </c>
      <c r="Q142" s="1"/>
      <c r="R142" s="5">
        <f t="shared" si="96"/>
        <v>2.368567147170725E-4</v>
      </c>
      <c r="S142" s="1"/>
      <c r="T142" s="1">
        <f>SUM(OSRRefT22_21x_0)</f>
        <v>579.4</v>
      </c>
      <c r="U142" s="1"/>
      <c r="V142" s="5">
        <f t="shared" si="97"/>
        <v>1.9462910929056345E-4</v>
      </c>
      <c r="W142" s="1"/>
      <c r="X142" s="1">
        <f t="shared" si="98"/>
        <v>33.580000000000041</v>
      </c>
      <c r="Y142" s="1"/>
      <c r="Z142" s="5">
        <f t="shared" si="99"/>
        <v>5.7956506731101212E-2</v>
      </c>
    </row>
    <row r="143" spans="1:26" s="24" customFormat="1" hidden="1" outlineLevel="2" x14ac:dyDescent="0.25">
      <c r="A143" s="27"/>
      <c r="B143" s="11" t="str">
        <f>CONCATENATE("          ", "6292", " - ", "TRAVEL/CONFERENCE")</f>
        <v xml:space="preserve">          6292 - TRAVEL/CONFERENCE</v>
      </c>
      <c r="C143" s="11"/>
      <c r="D143" s="6"/>
      <c r="E143" s="2"/>
      <c r="F143" s="7">
        <f t="shared" si="92"/>
        <v>0</v>
      </c>
      <c r="G143" s="2"/>
      <c r="H143" s="6"/>
      <c r="I143" s="2"/>
      <c r="J143" s="7">
        <f t="shared" si="93"/>
        <v>0</v>
      </c>
      <c r="K143" s="2"/>
      <c r="L143" s="6">
        <f t="shared" si="94"/>
        <v>0</v>
      </c>
      <c r="M143" s="2"/>
      <c r="N143" s="7">
        <f t="shared" si="95"/>
        <v>0</v>
      </c>
      <c r="O143" s="11"/>
      <c r="P143" s="6">
        <v>107.04</v>
      </c>
      <c r="Q143" s="2"/>
      <c r="R143" s="7">
        <f t="shared" si="96"/>
        <v>4.1360473006159154E-5</v>
      </c>
      <c r="S143" s="2"/>
      <c r="T143" s="6"/>
      <c r="U143" s="2"/>
      <c r="V143" s="7">
        <f t="shared" si="97"/>
        <v>0</v>
      </c>
      <c r="W143" s="2"/>
      <c r="X143" s="6">
        <f t="shared" si="98"/>
        <v>107.04</v>
      </c>
      <c r="Y143" s="2"/>
      <c r="Z143" s="7">
        <f t="shared" si="99"/>
        <v>0</v>
      </c>
    </row>
    <row r="144" spans="1:26" s="24" customFormat="1" hidden="1" outlineLevel="2" x14ac:dyDescent="0.25">
      <c r="A144" s="27"/>
      <c r="B144" s="11" t="str">
        <f>CONCATENATE("          ", "6294", " - ", "TRAVEL OPERATIONAL")</f>
        <v xml:space="preserve">          6294 - TRAVEL OPERATIONAL</v>
      </c>
      <c r="C144" s="11"/>
      <c r="D144" s="6"/>
      <c r="E144" s="2"/>
      <c r="F144" s="7">
        <f t="shared" si="92"/>
        <v>0</v>
      </c>
      <c r="G144" s="2"/>
      <c r="H144" s="6">
        <v>106.79</v>
      </c>
      <c r="I144" s="2"/>
      <c r="J144" s="7">
        <f t="shared" si="93"/>
        <v>2.6142309243028499E-4</v>
      </c>
      <c r="K144" s="2"/>
      <c r="L144" s="6">
        <f t="shared" si="94"/>
        <v>-106.79</v>
      </c>
      <c r="M144" s="2"/>
      <c r="N144" s="7">
        <f t="shared" si="95"/>
        <v>-1</v>
      </c>
      <c r="O144" s="11"/>
      <c r="P144" s="6">
        <v>505.94</v>
      </c>
      <c r="Q144" s="2"/>
      <c r="R144" s="7">
        <f t="shared" si="96"/>
        <v>1.9549624171091333E-4</v>
      </c>
      <c r="S144" s="2"/>
      <c r="T144" s="6">
        <v>579.4</v>
      </c>
      <c r="U144" s="2"/>
      <c r="V144" s="7">
        <f t="shared" si="97"/>
        <v>1.9462910929056345E-4</v>
      </c>
      <c r="W144" s="2"/>
      <c r="X144" s="6">
        <f t="shared" si="98"/>
        <v>-73.45999999999998</v>
      </c>
      <c r="Y144" s="2"/>
      <c r="Z144" s="7">
        <f t="shared" si="99"/>
        <v>-0.12678633068691747</v>
      </c>
    </row>
    <row r="145" spans="1:26" s="25" customFormat="1" outlineLevel="1" collapsed="1" x14ac:dyDescent="0.25">
      <c r="A145" s="26"/>
      <c r="B145" s="13" t="str">
        <f>CONCATENATE("     ","Utilities                                         ")</f>
        <v xml:space="preserve">     Utilities                                         </v>
      </c>
      <c r="C145" s="13"/>
      <c r="D145" s="1">
        <f>SUM(OSRRefD22_22x_0)</f>
        <v>67.05</v>
      </c>
      <c r="E145" s="1"/>
      <c r="F145" s="5">
        <f t="shared" ref="F145:F146" si="100">IF(D$12=0,0,D145/D$12)</f>
        <v>5.3790423844472595E-4</v>
      </c>
      <c r="G145" s="1"/>
      <c r="H145" s="1">
        <f>SUM(OSRRefH22_22x_0)</f>
        <v>16.190000000000001</v>
      </c>
      <c r="I145" s="1"/>
      <c r="J145" s="5">
        <f t="shared" ref="J145:J146" si="101">IF(H$12=0,0,H145/H$12)</f>
        <v>3.9633297747413745E-5</v>
      </c>
      <c r="K145" s="1"/>
      <c r="L145" s="1">
        <f t="shared" ref="L145:L146" si="102">+D145-H145</f>
        <v>50.86</v>
      </c>
      <c r="M145" s="1"/>
      <c r="N145" s="5">
        <f t="shared" ref="N145:N146" si="103">IF(H145=0,0,L145/H145)</f>
        <v>3.1414453366275477</v>
      </c>
      <c r="O145" s="13"/>
      <c r="P145" s="1">
        <f>SUM(OSRRefP22_22x_0)</f>
        <v>2933.35</v>
      </c>
      <c r="Q145" s="1"/>
      <c r="R145" s="5">
        <f t="shared" ref="R145:R146" si="104">IF(P$12=0,0,P145/P$12)</f>
        <v>1.1334523868891718E-3</v>
      </c>
      <c r="S145" s="1"/>
      <c r="T145" s="1">
        <f>SUM(OSRRefT22_22x_0)</f>
        <v>3494.13</v>
      </c>
      <c r="U145" s="1"/>
      <c r="V145" s="5">
        <f t="shared" ref="V145:V146" si="105">IF(T$12=0,0,T145/T$12)</f>
        <v>1.1737304274170462E-3</v>
      </c>
      <c r="W145" s="1"/>
      <c r="X145" s="1">
        <f t="shared" ref="X145:X146" si="106">+P145-T145</f>
        <v>-560.7800000000002</v>
      </c>
      <c r="Y145" s="1"/>
      <c r="Z145" s="5">
        <f t="shared" ref="Z145:Z146" si="107">IF(T145=0,0,X145/T145)</f>
        <v>-0.16049202519654396</v>
      </c>
    </row>
    <row r="146" spans="1:26" s="24" customFormat="1" hidden="1" outlineLevel="2" x14ac:dyDescent="0.25">
      <c r="A146" s="27"/>
      <c r="B146" s="11" t="str">
        <f>CONCATENATE("          ", "6274", " - ", "UTILITIES")</f>
        <v xml:space="preserve">          6274 - UTILITIES</v>
      </c>
      <c r="C146" s="11"/>
      <c r="D146" s="6">
        <v>67.05</v>
      </c>
      <c r="E146" s="2"/>
      <c r="F146" s="7">
        <f t="shared" si="100"/>
        <v>5.3790423844472595E-4</v>
      </c>
      <c r="G146" s="2"/>
      <c r="H146" s="6">
        <v>16.190000000000001</v>
      </c>
      <c r="I146" s="2"/>
      <c r="J146" s="7">
        <f t="shared" si="101"/>
        <v>3.9633297747413745E-5</v>
      </c>
      <c r="K146" s="2"/>
      <c r="L146" s="6">
        <f t="shared" si="102"/>
        <v>50.86</v>
      </c>
      <c r="M146" s="2"/>
      <c r="N146" s="7">
        <f t="shared" si="103"/>
        <v>3.1414453366275477</v>
      </c>
      <c r="O146" s="11"/>
      <c r="P146" s="6">
        <v>2933.35</v>
      </c>
      <c r="Q146" s="2"/>
      <c r="R146" s="7">
        <f t="shared" si="104"/>
        <v>1.1334523868891718E-3</v>
      </c>
      <c r="S146" s="2"/>
      <c r="T146" s="6">
        <v>3494.13</v>
      </c>
      <c r="U146" s="2"/>
      <c r="V146" s="7">
        <f t="shared" si="105"/>
        <v>1.1737304274170462E-3</v>
      </c>
      <c r="W146" s="2"/>
      <c r="X146" s="6">
        <f t="shared" si="106"/>
        <v>-560.7800000000002</v>
      </c>
      <c r="Y146" s="2"/>
      <c r="Z146" s="7">
        <f t="shared" si="107"/>
        <v>-0.16049202519654396</v>
      </c>
    </row>
    <row r="147" spans="1:26" s="53" customFormat="1" x14ac:dyDescent="0.25">
      <c r="A147" s="37"/>
      <c r="B147" s="37"/>
      <c r="C147" s="37"/>
      <c r="D147" s="1"/>
      <c r="E147" s="1"/>
      <c r="F147" s="5"/>
      <c r="G147" s="1"/>
      <c r="H147" s="1"/>
      <c r="I147" s="1"/>
      <c r="J147" s="5"/>
      <c r="K147" s="1"/>
      <c r="L147" s="1"/>
      <c r="M147" s="1"/>
      <c r="N147" s="5"/>
      <c r="O147" s="37"/>
      <c r="P147" s="1"/>
      <c r="Q147" s="1"/>
      <c r="R147" s="5"/>
      <c r="S147" s="1"/>
      <c r="T147" s="1"/>
      <c r="U147" s="1"/>
      <c r="V147" s="5"/>
      <c r="W147" s="1"/>
      <c r="X147" s="1"/>
      <c r="Y147" s="1"/>
      <c r="Z147" s="5"/>
    </row>
    <row r="148" spans="1:26" s="23" customFormat="1" collapsed="1" x14ac:dyDescent="0.25">
      <c r="A148" s="10"/>
      <c r="B148" s="29" t="s">
        <v>0</v>
      </c>
      <c r="C148" s="10"/>
      <c r="D148" s="4">
        <f>SUM(OSRRefD25x_0)</f>
        <v>54111.02</v>
      </c>
      <c r="E148" s="4"/>
      <c r="F148" s="12">
        <f t="shared" ref="F148:F149" si="108">IF(D$12=0,0,D148/D$12)</f>
        <v>0.43410211789063891</v>
      </c>
      <c r="G148" s="4"/>
      <c r="H148" s="4">
        <f>SUM(OSRRefH25x_0)</f>
        <v>37299.83</v>
      </c>
      <c r="I148" s="4"/>
      <c r="J148" s="12">
        <f t="shared" ref="J148:J149" si="109">IF(H$12=0,0,H148/H$12)</f>
        <v>9.1310393348852104E-2</v>
      </c>
      <c r="K148" s="4"/>
      <c r="L148" s="4">
        <f t="shared" ref="L148:L149" si="110">+D148-H148</f>
        <v>16811.189999999995</v>
      </c>
      <c r="M148" s="4"/>
      <c r="N148" s="12">
        <f t="shared" ref="N148:N149" si="111">IF(H148=0,0,L148/H148)</f>
        <v>0.45070419891994129</v>
      </c>
      <c r="O148" s="10"/>
      <c r="P148" s="4">
        <f>SUM(OSRRefP25x_0)</f>
        <v>96904.89</v>
      </c>
      <c r="Q148" s="4"/>
      <c r="R148" s="12">
        <f t="shared" ref="R148:R149" si="112">IF(P$12=0,0,P148/P$12)</f>
        <v>3.744424595487502E-2</v>
      </c>
      <c r="S148" s="4"/>
      <c r="T148" s="4">
        <f>SUM(OSRRefT25x_0)</f>
        <v>112587.23</v>
      </c>
      <c r="U148" s="4"/>
      <c r="V148" s="12">
        <f t="shared" ref="V148:V149" si="113">IF(T$12=0,0,T148/T$12)</f>
        <v>3.7819731260600287E-2</v>
      </c>
      <c r="W148" s="4"/>
      <c r="X148" s="4">
        <f t="shared" ref="X148:X149" si="114">+P148-T148</f>
        <v>-15682.339999999997</v>
      </c>
      <c r="Y148" s="4"/>
      <c r="Z148" s="12">
        <f t="shared" ref="Z148:Z149" si="115">IF(T148=0,0,X148/T148)</f>
        <v>-0.13929057496129887</v>
      </c>
    </row>
    <row r="149" spans="1:26" s="24" customFormat="1" hidden="1" outlineLevel="1" x14ac:dyDescent="0.25">
      <c r="A149" s="44"/>
      <c r="B149" s="11" t="str">
        <f>CONCATENATE("          ", "9150", " - ", "MISC. INCOME")</f>
        <v xml:space="preserve">          9150 - MISC. INCOME</v>
      </c>
      <c r="C149" s="11"/>
      <c r="D149" s="2">
        <f>--54111.02</f>
        <v>54111.02</v>
      </c>
      <c r="E149" s="2"/>
      <c r="F149" s="19">
        <f t="shared" si="108"/>
        <v>0.43410211789063891</v>
      </c>
      <c r="G149" s="2"/>
      <c r="H149" s="2">
        <f>--37299.83</f>
        <v>37299.83</v>
      </c>
      <c r="I149" s="2"/>
      <c r="J149" s="19">
        <f t="shared" si="109"/>
        <v>9.1310393348852104E-2</v>
      </c>
      <c r="K149" s="2"/>
      <c r="L149" s="2">
        <f t="shared" si="110"/>
        <v>16811.189999999995</v>
      </c>
      <c r="M149" s="2"/>
      <c r="N149" s="19">
        <f t="shared" si="111"/>
        <v>0.45070419891994129</v>
      </c>
      <c r="O149" s="11"/>
      <c r="P149" s="2">
        <f>--96904.89</f>
        <v>96904.89</v>
      </c>
      <c r="Q149" s="2"/>
      <c r="R149" s="19">
        <f t="shared" si="112"/>
        <v>3.744424595487502E-2</v>
      </c>
      <c r="S149" s="2"/>
      <c r="T149" s="2">
        <f>--112587.23</f>
        <v>112587.23</v>
      </c>
      <c r="U149" s="2"/>
      <c r="V149" s="19">
        <f t="shared" si="113"/>
        <v>3.7819731260600287E-2</v>
      </c>
      <c r="W149" s="2"/>
      <c r="X149" s="2">
        <f t="shared" si="114"/>
        <v>-15682.339999999997</v>
      </c>
      <c r="Y149" s="2"/>
      <c r="Z149" s="19">
        <f t="shared" si="115"/>
        <v>-0.13929057496129887</v>
      </c>
    </row>
    <row r="150" spans="1:26" x14ac:dyDescent="0.25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10"/>
      <c r="B151" s="28" t="s">
        <v>3</v>
      </c>
      <c r="C151" s="28"/>
      <c r="D151" s="21">
        <f>+D72-D74+D148</f>
        <v>34456.109999999964</v>
      </c>
      <c r="E151" s="14"/>
      <c r="F151" s="20">
        <f>IF(D$12=0,0,D151/D$12)</f>
        <v>0.27642188828214304</v>
      </c>
      <c r="G151" s="14"/>
      <c r="H151" s="21">
        <f>+H72-H74+H148</f>
        <v>207870.00999999995</v>
      </c>
      <c r="I151" s="14"/>
      <c r="J151" s="20">
        <f>IF(H$12=0,0,H151/H$12)</f>
        <v>0.50886806665150519</v>
      </c>
      <c r="K151" s="15"/>
      <c r="L151" s="21">
        <f>+D151-H151</f>
        <v>-173413.9</v>
      </c>
      <c r="M151" s="15"/>
      <c r="N151" s="20">
        <f>IF(H151=0,0,L151/H151)</f>
        <v>-0.83424203424053345</v>
      </c>
      <c r="O151" s="29"/>
      <c r="P151" s="21">
        <f>+P72-P74+P148</f>
        <v>572793.10000000102</v>
      </c>
      <c r="Q151" s="14"/>
      <c r="R151" s="20">
        <f>IF(P$12=0,0,P151/P$12)</f>
        <v>0.2213284150846811</v>
      </c>
      <c r="S151" s="14"/>
      <c r="T151" s="21">
        <f>+T72-T74+T148</f>
        <v>950327.37999999977</v>
      </c>
      <c r="U151" s="14"/>
      <c r="V151" s="20">
        <f>IF(T$12=0,0,T151/T$12)</f>
        <v>0.31922915344120606</v>
      </c>
      <c r="W151" s="15"/>
      <c r="X151" s="21">
        <f>+P151-T151</f>
        <v>-377534.27999999875</v>
      </c>
      <c r="Y151" s="15"/>
      <c r="Z151" s="20">
        <f>IF(T151=0,0,X151/T151)</f>
        <v>-0.39726760266551392</v>
      </c>
    </row>
    <row r="152" spans="1:26" x14ac:dyDescent="0.25">
      <c r="A152" s="9"/>
      <c r="B152" s="10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25">
      <c r="A153" s="51"/>
      <c r="B153" s="10" t="s">
        <v>13</v>
      </c>
      <c r="C153" s="10"/>
      <c r="D153" s="4">
        <v>29894.860000000004</v>
      </c>
      <c r="E153" s="4"/>
      <c r="F153" s="12">
        <f>IF(D$12=0,0,D153/D$12)</f>
        <v>0.23982955856393295</v>
      </c>
      <c r="G153" s="4"/>
      <c r="H153" s="4">
        <v>44999.33</v>
      </c>
      <c r="I153" s="4"/>
      <c r="J153" s="12">
        <f>IF(H$12=0,0,H153/H$12)</f>
        <v>0.1101588538804279</v>
      </c>
      <c r="K153" s="4"/>
      <c r="L153" s="4">
        <f>+D153-H153</f>
        <v>-15104.469999999998</v>
      </c>
      <c r="M153" s="4"/>
      <c r="N153" s="12">
        <f>IF(H153=0,0,L153/H153)</f>
        <v>-0.33565988649164324</v>
      </c>
      <c r="O153" s="10"/>
      <c r="P153" s="4">
        <v>293846.39</v>
      </c>
      <c r="Q153" s="4"/>
      <c r="R153" s="12">
        <f>IF(P$12=0,0,P153/P$12)</f>
        <v>0.11354284082167709</v>
      </c>
      <c r="S153" s="4"/>
      <c r="T153" s="4">
        <v>309478.81</v>
      </c>
      <c r="U153" s="4"/>
      <c r="V153" s="12">
        <f>IF(T$12=0,0,T153/T$12)</f>
        <v>0.10395855218260877</v>
      </c>
      <c r="W153" s="4"/>
      <c r="X153" s="4">
        <f>+P153-T153</f>
        <v>-15632.419999999984</v>
      </c>
      <c r="Y153" s="4"/>
      <c r="Z153" s="12">
        <f>IF(T153=0,0,X153/T153)</f>
        <v>-5.0512085140821061E-2</v>
      </c>
    </row>
    <row r="154" spans="1:26" x14ac:dyDescent="0.25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.75" thickBot="1" x14ac:dyDescent="0.3">
      <c r="A155" s="10"/>
      <c r="B155" s="28" t="s">
        <v>4</v>
      </c>
      <c r="C155" s="28"/>
      <c r="D155" s="30">
        <f>+D151-D153</f>
        <v>4561.24999999996</v>
      </c>
      <c r="E155" s="14"/>
      <c r="F155" s="36">
        <f>IF(D$12=0,0,D155/D$12)</f>
        <v>3.6592329718210068E-2</v>
      </c>
      <c r="G155" s="14"/>
      <c r="H155" s="30">
        <f>+H151-H153</f>
        <v>162870.67999999993</v>
      </c>
      <c r="I155" s="14"/>
      <c r="J155" s="36">
        <f>IF(H$12=0,0,H155/H$12)</f>
        <v>0.39870921277107729</v>
      </c>
      <c r="K155" s="15"/>
      <c r="L155" s="30">
        <f>D155-H155</f>
        <v>-158309.42999999996</v>
      </c>
      <c r="M155" s="15"/>
      <c r="N155" s="36">
        <f>IF(H155=0,0,L155/H155)</f>
        <v>-0.971994652444504</v>
      </c>
      <c r="O155" s="29"/>
      <c r="P155" s="30">
        <f>+P151-P153</f>
        <v>278946.71000000101</v>
      </c>
      <c r="Q155" s="14"/>
      <c r="R155" s="36">
        <f>IF(P$12=0,0,P155/P$12)</f>
        <v>0.10778557426300399</v>
      </c>
      <c r="S155" s="14"/>
      <c r="T155" s="30">
        <f>+T151-T153</f>
        <v>640848.56999999983</v>
      </c>
      <c r="U155" s="14"/>
      <c r="V155" s="36">
        <f>IF(T$12=0,0,T155/T$12)</f>
        <v>0.21527060125859729</v>
      </c>
      <c r="W155" s="15"/>
      <c r="X155" s="30">
        <f>P155-T155</f>
        <v>-361901.85999999882</v>
      </c>
      <c r="Y155" s="15"/>
      <c r="Z155" s="36">
        <f>IF(T155=0,0,X155/T155)</f>
        <v>-0.56472289545718879</v>
      </c>
    </row>
    <row r="156" spans="1:26" ht="15.75" thickTop="1" x14ac:dyDescent="0.25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x14ac:dyDescent="0.25">
      <c r="A157" s="9"/>
      <c r="B157" s="9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ht="15.75" thickBot="1" x14ac:dyDescent="0.3">
      <c r="A158" s="10"/>
      <c r="B158" s="28" t="s">
        <v>5</v>
      </c>
      <c r="C158" s="28"/>
      <c r="D158" s="31">
        <f>SUM(D155:D157)</f>
        <v>4561.24999999996</v>
      </c>
      <c r="E158" s="14"/>
      <c r="F158" s="32">
        <f>IF(D$12=0,0,D158/D$12)</f>
        <v>3.6592329718210068E-2</v>
      </c>
      <c r="G158" s="14"/>
      <c r="H158" s="31">
        <f>SUM(H155:H157)</f>
        <v>162870.67999999993</v>
      </c>
      <c r="I158" s="14"/>
      <c r="J158" s="32">
        <f>IF(H$12=0,0,H158/H$12)</f>
        <v>0.39870921277107729</v>
      </c>
      <c r="K158" s="15"/>
      <c r="L158" s="31">
        <f>+D158-H158</f>
        <v>-158309.42999999996</v>
      </c>
      <c r="M158" s="15"/>
      <c r="N158" s="32">
        <f>IF(H158=0,0,L158/H158)</f>
        <v>-0.971994652444504</v>
      </c>
      <c r="O158" s="29"/>
      <c r="P158" s="31">
        <f>SUM(P155:P157)</f>
        <v>278946.71000000101</v>
      </c>
      <c r="Q158" s="14"/>
      <c r="R158" s="32">
        <f>IF(P$12=0,0,P158/P$12)</f>
        <v>0.10778557426300399</v>
      </c>
      <c r="S158" s="14"/>
      <c r="T158" s="31">
        <f>SUM(T155:T157)</f>
        <v>640848.56999999983</v>
      </c>
      <c r="U158" s="14"/>
      <c r="V158" s="32">
        <f>IF(T$12=0,0,T158/T$12)</f>
        <v>0.21527060125859729</v>
      </c>
      <c r="W158" s="15"/>
      <c r="X158" s="31">
        <f>+P158-T158</f>
        <v>-361901.85999999882</v>
      </c>
      <c r="Y158" s="15"/>
      <c r="Z158" s="32">
        <f>IF(T158=0,0,X158/T158)</f>
        <v>-0.56472289545718879</v>
      </c>
    </row>
    <row r="159" spans="1:26" ht="15.75" thickTop="1" x14ac:dyDescent="0.25">
      <c r="A159" s="9"/>
      <c r="C159" s="9"/>
      <c r="D159" s="17"/>
      <c r="E159" s="17"/>
      <c r="G159" s="17"/>
      <c r="H159" s="17"/>
      <c r="I159" s="17"/>
      <c r="J159" s="43"/>
      <c r="K159" s="17"/>
      <c r="L159" s="17"/>
      <c r="M159" s="17"/>
      <c r="P159" s="17"/>
      <c r="Q159" s="17"/>
      <c r="R159" s="43"/>
      <c r="S159" s="17"/>
      <c r="T159" s="17"/>
      <c r="U159" s="17"/>
      <c r="V159" s="43"/>
      <c r="W159" s="17"/>
      <c r="X159" s="17"/>
    </row>
    <row r="160" spans="1:26" x14ac:dyDescent="0.25">
      <c r="A160" s="9"/>
      <c r="B160" s="54">
        <v>43965.470512002314</v>
      </c>
      <c r="D160" s="17"/>
      <c r="E160" s="17"/>
      <c r="G160" s="17"/>
      <c r="H160" s="17"/>
      <c r="I160" s="17"/>
      <c r="J160" s="43"/>
      <c r="K160" s="17"/>
      <c r="L160" s="17"/>
      <c r="M160" s="17"/>
      <c r="P160" s="17"/>
      <c r="Q160" s="17"/>
      <c r="R160" s="43"/>
      <c r="S160" s="17"/>
      <c r="T160" s="17"/>
      <c r="U160" s="17"/>
      <c r="V160" s="43"/>
      <c r="W160" s="17"/>
      <c r="X160" s="17"/>
    </row>
    <row r="161" spans="1:24" x14ac:dyDescent="0.25">
      <c r="A161" s="9"/>
      <c r="B161" s="59" t="s">
        <v>313</v>
      </c>
      <c r="D161" s="17"/>
      <c r="E161" s="17"/>
      <c r="G161" s="17"/>
      <c r="H161" s="17"/>
      <c r="I161" s="17"/>
      <c r="J161" s="43"/>
      <c r="K161" s="17"/>
      <c r="L161" s="17"/>
      <c r="M161" s="17"/>
      <c r="P161" s="17"/>
      <c r="Q161" s="17"/>
      <c r="R161" s="43"/>
      <c r="S161" s="17"/>
      <c r="T161" s="17"/>
      <c r="U161" s="17"/>
      <c r="V161" s="43"/>
      <c r="W161" s="17"/>
      <c r="X161" s="17"/>
    </row>
    <row r="162" spans="1:24" x14ac:dyDescent="0.25">
      <c r="A162" s="9"/>
      <c r="B162" s="61"/>
      <c r="D162" s="17"/>
      <c r="E162" s="17"/>
      <c r="G162" s="17"/>
      <c r="H162" s="17"/>
      <c r="I162" s="17"/>
      <c r="J162" s="43"/>
      <c r="K162" s="17"/>
      <c r="L162" s="17"/>
      <c r="M162" s="17"/>
      <c r="P162" s="17"/>
      <c r="Q162" s="17"/>
      <c r="R162" s="43"/>
      <c r="S162" s="17"/>
      <c r="T162" s="17"/>
      <c r="U162" s="17"/>
      <c r="V162" s="43"/>
      <c r="W162" s="17"/>
      <c r="X162" s="17"/>
    </row>
    <row r="163" spans="1:24" x14ac:dyDescent="0.25">
      <c r="D163" s="17"/>
      <c r="E163" s="17"/>
      <c r="G163" s="17"/>
      <c r="H163" s="17"/>
      <c r="I163" s="17"/>
      <c r="J163" s="43"/>
      <c r="K163" s="17"/>
      <c r="L163" s="17"/>
      <c r="M163" s="17"/>
      <c r="P163" s="17"/>
      <c r="Q163" s="17"/>
      <c r="R163" s="43"/>
      <c r="S163" s="17"/>
      <c r="T163" s="17"/>
      <c r="U163" s="17"/>
      <c r="V163" s="43"/>
      <c r="W163" s="17"/>
      <c r="X163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SUM(0)</f>
        <v>0</v>
      </c>
      <c r="E18" s="22"/>
      <c r="F18" s="35">
        <f>IF(D$12=0,0,D18/D$12)</f>
        <v>0</v>
      </c>
      <c r="G18" s="22"/>
      <c r="H18" s="22">
        <f>SUM(0)</f>
        <v>0</v>
      </c>
      <c r="I18" s="22"/>
      <c r="J18" s="35">
        <f>IF(H$12=0,0,H18/H$12)</f>
        <v>0</v>
      </c>
      <c r="K18" s="4"/>
      <c r="L18" s="22">
        <f>+D18-H18</f>
        <v>0</v>
      </c>
      <c r="M18" s="4"/>
      <c r="N18" s="35">
        <f>IF(H18=0,0,L18/H18)</f>
        <v>0</v>
      </c>
      <c r="O18" s="10"/>
      <c r="P18" s="22">
        <f>SUM(0)</f>
        <v>0</v>
      </c>
      <c r="Q18" s="22"/>
      <c r="R18" s="35">
        <f>IF(P$12=0,0,P18/P$12)</f>
        <v>0</v>
      </c>
      <c r="S18" s="22"/>
      <c r="T18" s="22">
        <f>SUM(0)</f>
        <v>0</v>
      </c>
      <c r="U18" s="22"/>
      <c r="V18" s="35">
        <f>IF(T$12=0,0,T18/T$12)</f>
        <v>0</v>
      </c>
      <c r="W18" s="4"/>
      <c r="X18" s="22">
        <f>+P18-T18</f>
        <v>0</v>
      </c>
      <c r="Y18" s="4"/>
      <c r="Z18" s="35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9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0">
        <f>+D22-D24</f>
        <v>0</v>
      </c>
      <c r="E26" s="14"/>
      <c r="F26" s="36">
        <f>IF(D$12=0,0,D26/D$12)</f>
        <v>0</v>
      </c>
      <c r="G26" s="14"/>
      <c r="H26" s="30">
        <f>+H22-H24</f>
        <v>0</v>
      </c>
      <c r="I26" s="14"/>
      <c r="J26" s="36">
        <f>IF(H$12=0,0,H26/H$12)</f>
        <v>0</v>
      </c>
      <c r="K26" s="15"/>
      <c r="L26" s="30">
        <f>D26-H26</f>
        <v>0</v>
      </c>
      <c r="M26" s="15"/>
      <c r="N26" s="36">
        <f>IF(H26=0,0,L26/H26)</f>
        <v>0</v>
      </c>
      <c r="O26" s="29"/>
      <c r="P26" s="30">
        <f>+P22-P24</f>
        <v>0</v>
      </c>
      <c r="Q26" s="14"/>
      <c r="R26" s="36">
        <f>IF(P$12=0,0,P26/P$12)</f>
        <v>0</v>
      </c>
      <c r="S26" s="14"/>
      <c r="T26" s="30">
        <f>+T22-T24</f>
        <v>0</v>
      </c>
      <c r="U26" s="14"/>
      <c r="V26" s="36">
        <f>IF(T$12=0,0,T26/T$12)</f>
        <v>0</v>
      </c>
      <c r="W26" s="15"/>
      <c r="X26" s="30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--605154.18</f>
        <v>605154.18000000005</v>
      </c>
      <c r="E28" s="4"/>
      <c r="F28" s="12">
        <f t="shared" ref="F28:F29" si="0">IF(D$12=0,0,D28/D$12)</f>
        <v>0</v>
      </c>
      <c r="G28" s="4"/>
      <c r="H28" s="4">
        <f>--356014.34</f>
        <v>356014.34</v>
      </c>
      <c r="I28" s="4"/>
      <c r="J28" s="12">
        <f t="shared" ref="J28:J29" si="1">IF(H$12=0,0,H28/H$12)</f>
        <v>0</v>
      </c>
      <c r="K28" s="4"/>
      <c r="L28" s="4">
        <f t="shared" ref="L28:L29" si="2">+D28-H28</f>
        <v>249139.84000000003</v>
      </c>
      <c r="M28" s="4"/>
      <c r="N28" s="12">
        <f t="shared" ref="N28:N29" si="3">IF(H28=0,0,L28/H28)</f>
        <v>0.69980282254922654</v>
      </c>
      <c r="O28" s="10"/>
      <c r="P28" s="4">
        <f>-861387.27</f>
        <v>-861387.27</v>
      </c>
      <c r="Q28" s="4"/>
      <c r="R28" s="12">
        <f t="shared" ref="R28:R29" si="4">IF(P$12=0,0,P28/P$12)</f>
        <v>0</v>
      </c>
      <c r="S28" s="4"/>
      <c r="T28" s="4">
        <f>-1331.75</f>
        <v>-1331.75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-860055.52</v>
      </c>
      <c r="Y28" s="4"/>
      <c r="Z28" s="12">
        <f t="shared" ref="Z28:Z29" si="7">IF(T28=0,0,X28/T28)</f>
        <v>645.80853763844561</v>
      </c>
    </row>
    <row r="29" spans="1:26" s="23" customFormat="1" x14ac:dyDescent="0.25">
      <c r="A29" s="51"/>
      <c r="B29" s="10" t="s">
        <v>1</v>
      </c>
      <c r="C29" s="10"/>
      <c r="D29" s="4">
        <f>--14109.6</f>
        <v>14109.6</v>
      </c>
      <c r="E29" s="4"/>
      <c r="F29" s="12">
        <f t="shared" si="0"/>
        <v>0</v>
      </c>
      <c r="G29" s="4"/>
      <c r="H29" s="4">
        <f>--15093.77</f>
        <v>15093.77</v>
      </c>
      <c r="I29" s="4"/>
      <c r="J29" s="12">
        <f t="shared" si="1"/>
        <v>0</v>
      </c>
      <c r="K29" s="4"/>
      <c r="L29" s="4">
        <f t="shared" si="2"/>
        <v>-984.17000000000007</v>
      </c>
      <c r="M29" s="4"/>
      <c r="N29" s="12">
        <f t="shared" si="3"/>
        <v>-6.5203723125501448E-2</v>
      </c>
      <c r="O29" s="10"/>
      <c r="P29" s="4">
        <f>--243670.73</f>
        <v>243670.73</v>
      </c>
      <c r="Q29" s="4"/>
      <c r="R29" s="12">
        <f t="shared" si="4"/>
        <v>0</v>
      </c>
      <c r="S29" s="4"/>
      <c r="T29" s="4">
        <f>--389906.39</f>
        <v>389906.39</v>
      </c>
      <c r="U29" s="4"/>
      <c r="V29" s="12">
        <f t="shared" si="5"/>
        <v>0</v>
      </c>
      <c r="W29" s="4"/>
      <c r="X29" s="4">
        <f t="shared" si="6"/>
        <v>-146235.66</v>
      </c>
      <c r="Y29" s="4"/>
      <c r="Z29" s="12">
        <f t="shared" si="7"/>
        <v>-0.37505325316674087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1">
        <f>SUM(D26:D30)</f>
        <v>619263.78</v>
      </c>
      <c r="E31" s="14"/>
      <c r="F31" s="32">
        <f>IF(D$12=0,0,D31/D$12)</f>
        <v>0</v>
      </c>
      <c r="G31" s="14"/>
      <c r="H31" s="31">
        <f>SUM(H26:H30)</f>
        <v>371108.11000000004</v>
      </c>
      <c r="I31" s="14"/>
      <c r="J31" s="32">
        <f>IF(H$12=0,0,H31/H$12)</f>
        <v>0</v>
      </c>
      <c r="K31" s="15"/>
      <c r="L31" s="31">
        <f>+D31-H31</f>
        <v>248155.66999999998</v>
      </c>
      <c r="M31" s="15"/>
      <c r="N31" s="32">
        <f>IF(H31=0,0,L31/H31)</f>
        <v>0.66868835068034471</v>
      </c>
      <c r="O31" s="29"/>
      <c r="P31" s="31">
        <f>SUM(P26:P30)</f>
        <v>-617716.54</v>
      </c>
      <c r="Q31" s="14"/>
      <c r="R31" s="32">
        <f>IF(P$12=0,0,P31/P$12)</f>
        <v>0</v>
      </c>
      <c r="S31" s="14"/>
      <c r="T31" s="31">
        <f>SUM(T26:T30)</f>
        <v>388574.64</v>
      </c>
      <c r="U31" s="14"/>
      <c r="V31" s="32">
        <f>IF(T$12=0,0,T31/T$12)</f>
        <v>0</v>
      </c>
      <c r="W31" s="15"/>
      <c r="X31" s="31">
        <f>+P31-T31</f>
        <v>-1006291.18</v>
      </c>
      <c r="Y31" s="15"/>
      <c r="Z31" s="32">
        <f>IF(T31=0,0,X31/T31)</f>
        <v>-2.58969854543261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4">
        <v>43965.470301307869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9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1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","315", " - ", "Beach Shop")</f>
        <v>Department 315 - Beach Shop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124650.43999999997</v>
      </c>
      <c r="E12" s="4"/>
      <c r="F12" s="12"/>
      <c r="G12" s="4"/>
      <c r="H12" s="4">
        <f>SUM(OSRRefH13x_0)</f>
        <v>370740.28999999992</v>
      </c>
      <c r="I12" s="4"/>
      <c r="J12" s="12"/>
      <c r="K12" s="4"/>
      <c r="L12" s="4">
        <f t="shared" ref="L12:L33" si="0">+D12-H12</f>
        <v>-246089.84999999995</v>
      </c>
      <c r="M12" s="4"/>
      <c r="N12" s="12">
        <f t="shared" ref="N12:N33" si="1">IF(H12=0,0,L12/H12)</f>
        <v>-0.66377962319660477</v>
      </c>
      <c r="O12" s="10"/>
      <c r="P12" s="4">
        <f>SUM(OSRRefP13x_0)</f>
        <v>2158137.2700000005</v>
      </c>
      <c r="Q12" s="4"/>
      <c r="R12" s="12"/>
      <c r="S12" s="4"/>
      <c r="T12" s="4">
        <f>SUM(OSRRefT13x_0)</f>
        <v>2572538.7500000005</v>
      </c>
      <c r="U12" s="4"/>
      <c r="V12" s="12"/>
      <c r="W12" s="4"/>
      <c r="X12" s="4">
        <f t="shared" ref="X12:X33" si="2">+P12-T12</f>
        <v>-414401.48</v>
      </c>
      <c r="Y12" s="4"/>
      <c r="Z12" s="12">
        <f t="shared" ref="Z12:Z33" si="3">IF(T12=0,0,X12/T12)</f>
        <v>-0.16108658421568961</v>
      </c>
    </row>
    <row r="13" spans="1:26" s="24" customFormat="1" hidden="1" outlineLevel="1" x14ac:dyDescent="0.2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--67974.91</f>
        <v>67974.91</v>
      </c>
      <c r="E13" s="2"/>
      <c r="F13" s="19"/>
      <c r="G13" s="2"/>
      <c r="H13" s="2">
        <f>--246257.7</f>
        <v>246257.7</v>
      </c>
      <c r="I13" s="2"/>
      <c r="J13" s="19"/>
      <c r="K13" s="2"/>
      <c r="L13" s="2">
        <f t="shared" si="0"/>
        <v>-178282.79</v>
      </c>
      <c r="M13" s="2"/>
      <c r="N13" s="19">
        <f t="shared" si="1"/>
        <v>-0.72396838758747439</v>
      </c>
      <c r="O13" s="11"/>
      <c r="P13" s="2">
        <f>--1482229.73</f>
        <v>1482229.73</v>
      </c>
      <c r="Q13" s="2"/>
      <c r="R13" s="19"/>
      <c r="S13" s="2"/>
      <c r="T13" s="2">
        <f>--1787482.01</f>
        <v>1787482.01</v>
      </c>
      <c r="U13" s="2"/>
      <c r="V13" s="19"/>
      <c r="W13" s="2"/>
      <c r="X13" s="2">
        <f t="shared" si="2"/>
        <v>-305252.28000000003</v>
      </c>
      <c r="Y13" s="2"/>
      <c r="Z13" s="19">
        <f t="shared" si="3"/>
        <v>-0.17077222500270089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--14090.87</f>
        <v>14090.87</v>
      </c>
      <c r="E14" s="2"/>
      <c r="F14" s="19"/>
      <c r="G14" s="2"/>
      <c r="H14" s="2">
        <f>--51648.24</f>
        <v>51648.24</v>
      </c>
      <c r="I14" s="2"/>
      <c r="J14" s="19"/>
      <c r="K14" s="2"/>
      <c r="L14" s="2">
        <f t="shared" si="0"/>
        <v>-37557.369999999995</v>
      </c>
      <c r="M14" s="2"/>
      <c r="N14" s="19">
        <f t="shared" si="1"/>
        <v>-0.72717618257659888</v>
      </c>
      <c r="O14" s="11"/>
      <c r="P14" s="2">
        <f>--257881.5</f>
        <v>257881.5</v>
      </c>
      <c r="Q14" s="2"/>
      <c r="R14" s="19"/>
      <c r="S14" s="2"/>
      <c r="T14" s="2">
        <f>--421016.23</f>
        <v>421016.23</v>
      </c>
      <c r="U14" s="2"/>
      <c r="V14" s="19"/>
      <c r="W14" s="2"/>
      <c r="X14" s="2">
        <f t="shared" si="2"/>
        <v>-163134.72999999998</v>
      </c>
      <c r="Y14" s="2"/>
      <c r="Z14" s="19">
        <f t="shared" si="3"/>
        <v>-0.38747848271787522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--1459.57</f>
        <v>1459.57</v>
      </c>
      <c r="E15" s="2"/>
      <c r="F15" s="19"/>
      <c r="G15" s="2"/>
      <c r="H15" s="2">
        <f>--26786.52</f>
        <v>26786.52</v>
      </c>
      <c r="I15" s="2"/>
      <c r="J15" s="19"/>
      <c r="K15" s="2"/>
      <c r="L15" s="2">
        <f t="shared" si="0"/>
        <v>-25326.95</v>
      </c>
      <c r="M15" s="2"/>
      <c r="N15" s="19">
        <f t="shared" si="1"/>
        <v>-0.94551102569501377</v>
      </c>
      <c r="O15" s="11"/>
      <c r="P15" s="2">
        <f>--173570.3</f>
        <v>173570.3</v>
      </c>
      <c r="Q15" s="2"/>
      <c r="R15" s="19"/>
      <c r="S15" s="2"/>
      <c r="T15" s="2">
        <f>--179012.14</f>
        <v>179012.14</v>
      </c>
      <c r="U15" s="2"/>
      <c r="V15" s="19"/>
      <c r="W15" s="2"/>
      <c r="X15" s="2">
        <f t="shared" si="2"/>
        <v>-5441.8400000000256</v>
      </c>
      <c r="Y15" s="2"/>
      <c r="Z15" s="19">
        <f t="shared" si="3"/>
        <v>-3.039927906565457E-2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0</f>
        <v>0</v>
      </c>
      <c r="E16" s="2"/>
      <c r="F16" s="19"/>
      <c r="G16" s="2"/>
      <c r="H16" s="2">
        <f>--313.43</f>
        <v>313.43</v>
      </c>
      <c r="I16" s="2"/>
      <c r="J16" s="19"/>
      <c r="K16" s="2"/>
      <c r="L16" s="2">
        <f t="shared" si="0"/>
        <v>-313.43</v>
      </c>
      <c r="M16" s="2"/>
      <c r="N16" s="19">
        <f t="shared" si="1"/>
        <v>-1</v>
      </c>
      <c r="O16" s="11"/>
      <c r="P16" s="2">
        <f>--74753.49</f>
        <v>74753.490000000005</v>
      </c>
      <c r="Q16" s="2"/>
      <c r="R16" s="19"/>
      <c r="S16" s="2"/>
      <c r="T16" s="2">
        <f>--2373.39</f>
        <v>2373.39</v>
      </c>
      <c r="U16" s="2"/>
      <c r="V16" s="19"/>
      <c r="W16" s="2"/>
      <c r="X16" s="2">
        <f t="shared" si="2"/>
        <v>72380.100000000006</v>
      </c>
      <c r="Y16" s="2"/>
      <c r="Z16" s="19">
        <f t="shared" si="3"/>
        <v>30.496504999178395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--673.79</f>
        <v>673.79</v>
      </c>
      <c r="E17" s="2"/>
      <c r="F17" s="19"/>
      <c r="G17" s="2"/>
      <c r="H17" s="2">
        <f>--4331.54</f>
        <v>4331.54</v>
      </c>
      <c r="I17" s="2"/>
      <c r="J17" s="19"/>
      <c r="K17" s="2"/>
      <c r="L17" s="2">
        <f t="shared" si="0"/>
        <v>-3657.75</v>
      </c>
      <c r="M17" s="2"/>
      <c r="N17" s="19">
        <f t="shared" si="1"/>
        <v>-0.8444456244199523</v>
      </c>
      <c r="O17" s="11"/>
      <c r="P17" s="2">
        <f>--62824.29</f>
        <v>62824.29</v>
      </c>
      <c r="Q17" s="2"/>
      <c r="R17" s="19"/>
      <c r="S17" s="2"/>
      <c r="T17" s="2">
        <f>--74889.01</f>
        <v>74889.009999999995</v>
      </c>
      <c r="U17" s="2"/>
      <c r="V17" s="19"/>
      <c r="W17" s="2"/>
      <c r="X17" s="2">
        <f t="shared" si="2"/>
        <v>-12064.719999999994</v>
      </c>
      <c r="Y17" s="2"/>
      <c r="Z17" s="19">
        <f t="shared" si="3"/>
        <v>-0.16110134183907618</v>
      </c>
    </row>
    <row r="18" spans="1:26" s="24" customFormat="1" hidden="1" outlineLevel="1" x14ac:dyDescent="0.2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--8913.15</f>
        <v>8913.15</v>
      </c>
      <c r="E18" s="2"/>
      <c r="F18" s="19"/>
      <c r="G18" s="2"/>
      <c r="H18" s="2">
        <f>--37220.65</f>
        <v>37220.65</v>
      </c>
      <c r="I18" s="2"/>
      <c r="J18" s="19"/>
      <c r="K18" s="2"/>
      <c r="L18" s="2">
        <f t="shared" si="0"/>
        <v>-28307.5</v>
      </c>
      <c r="M18" s="2"/>
      <c r="N18" s="19">
        <f t="shared" si="1"/>
        <v>-0.76053212396881831</v>
      </c>
      <c r="O18" s="11"/>
      <c r="P18" s="2">
        <f>--82846.37</f>
        <v>82846.37</v>
      </c>
      <c r="Q18" s="2"/>
      <c r="R18" s="19"/>
      <c r="S18" s="2"/>
      <c r="T18" s="2">
        <f>--131375.8</f>
        <v>131375.79999999999</v>
      </c>
      <c r="U18" s="2"/>
      <c r="V18" s="19"/>
      <c r="W18" s="2"/>
      <c r="X18" s="2">
        <f t="shared" si="2"/>
        <v>-48529.429999999993</v>
      </c>
      <c r="Y18" s="2"/>
      <c r="Z18" s="19">
        <f t="shared" si="3"/>
        <v>-0.36939398275785951</v>
      </c>
    </row>
    <row r="19" spans="1:26" s="24" customFormat="1" hidden="1" outlineLevel="1" x14ac:dyDescent="0.2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--30875.73</f>
        <v>30875.73</v>
      </c>
      <c r="E19" s="2"/>
      <c r="F19" s="19"/>
      <c r="G19" s="2"/>
      <c r="H19" s="2">
        <f>--11589.38</f>
        <v>11589.38</v>
      </c>
      <c r="I19" s="2"/>
      <c r="J19" s="19"/>
      <c r="K19" s="2"/>
      <c r="L19" s="2">
        <f t="shared" si="0"/>
        <v>19286.349999999999</v>
      </c>
      <c r="M19" s="2"/>
      <c r="N19" s="19">
        <f t="shared" si="1"/>
        <v>1.6641399281065941</v>
      </c>
      <c r="O19" s="11"/>
      <c r="P19" s="2">
        <f>--78924.71</f>
        <v>78924.710000000006</v>
      </c>
      <c r="Q19" s="2"/>
      <c r="R19" s="19"/>
      <c r="S19" s="2"/>
      <c r="T19" s="2">
        <f>--47255.77</f>
        <v>47255.77</v>
      </c>
      <c r="U19" s="2"/>
      <c r="V19" s="19"/>
      <c r="W19" s="2"/>
      <c r="X19" s="2">
        <f t="shared" si="2"/>
        <v>31668.94000000001</v>
      </c>
      <c r="Y19" s="2"/>
      <c r="Z19" s="19">
        <f t="shared" si="3"/>
        <v>0.67016027884002338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--1860.77</f>
        <v>1860.77</v>
      </c>
      <c r="E20" s="2"/>
      <c r="F20" s="19"/>
      <c r="G20" s="2"/>
      <c r="H20" s="2">
        <f>--727.75</f>
        <v>727.75</v>
      </c>
      <c r="I20" s="2"/>
      <c r="J20" s="19"/>
      <c r="K20" s="2"/>
      <c r="L20" s="2">
        <f t="shared" si="0"/>
        <v>1133.02</v>
      </c>
      <c r="M20" s="2"/>
      <c r="N20" s="19">
        <f t="shared" si="1"/>
        <v>1.5568807969769838</v>
      </c>
      <c r="O20" s="11"/>
      <c r="P20" s="2">
        <f>--11910.73</f>
        <v>11910.73</v>
      </c>
      <c r="Q20" s="2"/>
      <c r="R20" s="19"/>
      <c r="S20" s="2"/>
      <c r="T20" s="2">
        <f>--3975.53</f>
        <v>3975.53</v>
      </c>
      <c r="U20" s="2"/>
      <c r="V20" s="19"/>
      <c r="W20" s="2"/>
      <c r="X20" s="2">
        <f t="shared" si="2"/>
        <v>7935.1999999999989</v>
      </c>
      <c r="Y20" s="2"/>
      <c r="Z20" s="19">
        <f t="shared" si="3"/>
        <v>1.996010594813773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--386.65</f>
        <v>386.65</v>
      </c>
      <c r="E21" s="2"/>
      <c r="F21" s="19"/>
      <c r="G21" s="2"/>
      <c r="H21" s="2">
        <f>--789.88</f>
        <v>789.88</v>
      </c>
      <c r="I21" s="2"/>
      <c r="J21" s="19"/>
      <c r="K21" s="2"/>
      <c r="L21" s="2">
        <f t="shared" si="0"/>
        <v>-403.23</v>
      </c>
      <c r="M21" s="2"/>
      <c r="N21" s="19">
        <f t="shared" si="1"/>
        <v>-0.51049526510356003</v>
      </c>
      <c r="O21" s="11"/>
      <c r="P21" s="2">
        <f>--4612.2</f>
        <v>4612.2</v>
      </c>
      <c r="Q21" s="2"/>
      <c r="R21" s="19"/>
      <c r="S21" s="2"/>
      <c r="T21" s="2">
        <f>--6362.66</f>
        <v>6362.66</v>
      </c>
      <c r="U21" s="2"/>
      <c r="V21" s="19"/>
      <c r="W21" s="2"/>
      <c r="X21" s="2">
        <f t="shared" si="2"/>
        <v>-1750.46</v>
      </c>
      <c r="Y21" s="2"/>
      <c r="Z21" s="19">
        <f t="shared" si="3"/>
        <v>-0.27511449613840755</v>
      </c>
    </row>
    <row r="22" spans="1:26" s="24" customFormat="1" hidden="1" outlineLevel="1" x14ac:dyDescent="0.25">
      <c r="A22" s="44"/>
      <c r="B22" s="11" t="str">
        <f>CONCATENATE("          ", "4143", " - ", "NON-TAXABLE SALES-CARDS")</f>
        <v xml:space="preserve">          4143 - NON-TAXABLE SALES-CARDS</v>
      </c>
      <c r="C22" s="11"/>
      <c r="D22" s="2">
        <f>-9.99</f>
        <v>-9.99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-9.99</v>
      </c>
      <c r="M22" s="2"/>
      <c r="N22" s="19">
        <f t="shared" si="1"/>
        <v>0</v>
      </c>
      <c r="O22" s="11"/>
      <c r="P22" s="2">
        <f>0</f>
        <v>0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--299.4</f>
        <v>299.39999999999998</v>
      </c>
      <c r="E23" s="2"/>
      <c r="F23" s="19"/>
      <c r="G23" s="2"/>
      <c r="H23" s="2">
        <f>--74.8</f>
        <v>74.8</v>
      </c>
      <c r="I23" s="2"/>
      <c r="J23" s="19"/>
      <c r="K23" s="2"/>
      <c r="L23" s="2">
        <f t="shared" si="0"/>
        <v>224.59999999999997</v>
      </c>
      <c r="M23" s="2"/>
      <c r="N23" s="19">
        <f t="shared" si="1"/>
        <v>3.0026737967914436</v>
      </c>
      <c r="O23" s="11"/>
      <c r="P23" s="2">
        <f>--2339.67</f>
        <v>2339.67</v>
      </c>
      <c r="Q23" s="2"/>
      <c r="R23" s="19"/>
      <c r="S23" s="2"/>
      <c r="T23" s="2">
        <f>--580.04</f>
        <v>580.04</v>
      </c>
      <c r="U23" s="2"/>
      <c r="V23" s="19"/>
      <c r="W23" s="2"/>
      <c r="X23" s="2">
        <f t="shared" si="2"/>
        <v>1759.63</v>
      </c>
      <c r="Y23" s="2"/>
      <c r="Z23" s="19">
        <f t="shared" si="3"/>
        <v>3.0336356113371497</v>
      </c>
    </row>
    <row r="24" spans="1:26" s="24" customFormat="1" hidden="1" outlineLevel="1" x14ac:dyDescent="0.25">
      <c r="A24" s="44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0</f>
        <v>0</v>
      </c>
      <c r="E24" s="2"/>
      <c r="F24" s="19"/>
      <c r="G24" s="2"/>
      <c r="H24" s="2">
        <f>--29.95</f>
        <v>29.95</v>
      </c>
      <c r="I24" s="2"/>
      <c r="J24" s="19"/>
      <c r="K24" s="2"/>
      <c r="L24" s="2">
        <f t="shared" si="0"/>
        <v>-29.95</v>
      </c>
      <c r="M24" s="2"/>
      <c r="N24" s="19">
        <f t="shared" si="1"/>
        <v>-1</v>
      </c>
      <c r="O24" s="11"/>
      <c r="P24" s="2">
        <f>--140</f>
        <v>140</v>
      </c>
      <c r="Q24" s="2"/>
      <c r="R24" s="19"/>
      <c r="S24" s="2"/>
      <c r="T24" s="2">
        <f>--1950.95</f>
        <v>1950.95</v>
      </c>
      <c r="U24" s="2"/>
      <c r="V24" s="19"/>
      <c r="W24" s="2"/>
      <c r="X24" s="2">
        <f t="shared" si="2"/>
        <v>-1810.95</v>
      </c>
      <c r="Y24" s="2"/>
      <c r="Z24" s="19">
        <f t="shared" si="3"/>
        <v>-0.9282400881621774</v>
      </c>
    </row>
    <row r="25" spans="1:26" s="24" customFormat="1" hidden="1" outlineLevel="1" x14ac:dyDescent="0.25">
      <c r="A25" s="44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-1642.96</f>
        <v>-1642.96</v>
      </c>
      <c r="E25" s="2"/>
      <c r="F25" s="19"/>
      <c r="G25" s="2"/>
      <c r="H25" s="2">
        <f>-6658.34</f>
        <v>-6658.34</v>
      </c>
      <c r="I25" s="2"/>
      <c r="J25" s="19"/>
      <c r="K25" s="2"/>
      <c r="L25" s="2">
        <f t="shared" si="0"/>
        <v>5015.38</v>
      </c>
      <c r="M25" s="2"/>
      <c r="N25" s="19">
        <f t="shared" si="1"/>
        <v>-0.75324780651033141</v>
      </c>
      <c r="O25" s="11"/>
      <c r="P25" s="2">
        <f>-58333</f>
        <v>-58333</v>
      </c>
      <c r="Q25" s="2"/>
      <c r="R25" s="19"/>
      <c r="S25" s="2"/>
      <c r="T25" s="2">
        <f>-65786</f>
        <v>-65786</v>
      </c>
      <c r="U25" s="2"/>
      <c r="V25" s="19"/>
      <c r="W25" s="2"/>
      <c r="X25" s="2">
        <f t="shared" si="2"/>
        <v>7453</v>
      </c>
      <c r="Y25" s="2"/>
      <c r="Z25" s="19">
        <f t="shared" si="3"/>
        <v>-0.11329158179551881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-190.5</f>
        <v>-190.5</v>
      </c>
      <c r="E26" s="2"/>
      <c r="F26" s="19"/>
      <c r="G26" s="2"/>
      <c r="H26" s="2">
        <f>-728.13</f>
        <v>-728.13</v>
      </c>
      <c r="I26" s="2"/>
      <c r="J26" s="19"/>
      <c r="K26" s="2"/>
      <c r="L26" s="2">
        <f t="shared" si="0"/>
        <v>537.63</v>
      </c>
      <c r="M26" s="2"/>
      <c r="N26" s="19">
        <f t="shared" si="1"/>
        <v>-0.73837089530715672</v>
      </c>
      <c r="O26" s="11"/>
      <c r="P26" s="2">
        <f>-4012.37</f>
        <v>-4012.37</v>
      </c>
      <c r="Q26" s="2"/>
      <c r="R26" s="19"/>
      <c r="S26" s="2"/>
      <c r="T26" s="2">
        <f>-8655.96</f>
        <v>-8655.9599999999991</v>
      </c>
      <c r="U26" s="2"/>
      <c r="V26" s="19"/>
      <c r="W26" s="2"/>
      <c r="X26" s="2">
        <f t="shared" si="2"/>
        <v>4643.5899999999992</v>
      </c>
      <c r="Y26" s="2"/>
      <c r="Z26" s="19">
        <f t="shared" si="3"/>
        <v>-0.53646158253966048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-3</f>
        <v>-3</v>
      </c>
      <c r="E27" s="2"/>
      <c r="F27" s="19"/>
      <c r="G27" s="2"/>
      <c r="H27" s="2">
        <f>-813.83</f>
        <v>-813.83</v>
      </c>
      <c r="I27" s="2"/>
      <c r="J27" s="19"/>
      <c r="K27" s="2"/>
      <c r="L27" s="2">
        <f t="shared" si="0"/>
        <v>810.83</v>
      </c>
      <c r="M27" s="2"/>
      <c r="N27" s="19">
        <f t="shared" si="1"/>
        <v>-0.99631372645392768</v>
      </c>
      <c r="O27" s="11"/>
      <c r="P27" s="2">
        <f>-3103.4</f>
        <v>-3103.4</v>
      </c>
      <c r="Q27" s="2"/>
      <c r="R27" s="19"/>
      <c r="S27" s="2"/>
      <c r="T27" s="2">
        <f>-3771.32</f>
        <v>-3771.32</v>
      </c>
      <c r="U27" s="2"/>
      <c r="V27" s="19"/>
      <c r="W27" s="2"/>
      <c r="X27" s="2">
        <f t="shared" si="2"/>
        <v>667.92000000000007</v>
      </c>
      <c r="Y27" s="2"/>
      <c r="Z27" s="19">
        <f t="shared" si="3"/>
        <v>-0.17710509848010778</v>
      </c>
    </row>
    <row r="28" spans="1:26" s="24" customFormat="1" hidden="1" outlineLevel="1" x14ac:dyDescent="0.25">
      <c r="A28" s="44"/>
      <c r="B28" s="11" t="str">
        <f>CONCATENATE("          ", "4243", " - ", "SALES RETURN TAXABLE-CARDS")</f>
        <v xml:space="preserve">          4243 - SALES RETURN TAXABLE-CARDS</v>
      </c>
      <c r="C28" s="11"/>
      <c r="D28" s="2">
        <f>-13</f>
        <v>-13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-13</v>
      </c>
      <c r="M28" s="2"/>
      <c r="N28" s="19">
        <f t="shared" si="1"/>
        <v>0</v>
      </c>
      <c r="O28" s="11"/>
      <c r="P28" s="2">
        <f>-3006.31</f>
        <v>-3006.31</v>
      </c>
      <c r="Q28" s="2"/>
      <c r="R28" s="19"/>
      <c r="S28" s="2"/>
      <c r="T28" s="2">
        <f>-25.94</f>
        <v>-25.94</v>
      </c>
      <c r="U28" s="2"/>
      <c r="V28" s="19"/>
      <c r="W28" s="2"/>
      <c r="X28" s="2">
        <f t="shared" si="2"/>
        <v>-2980.37</v>
      </c>
      <c r="Y28" s="2"/>
      <c r="Z28" s="19">
        <f t="shared" si="3"/>
        <v>114.89475713184271</v>
      </c>
    </row>
    <row r="29" spans="1:26" s="24" customFormat="1" hidden="1" outlineLevel="1" x14ac:dyDescent="0.2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 t="shared" ref="D29:D30" si="4">0</f>
        <v>0</v>
      </c>
      <c r="E29" s="2"/>
      <c r="F29" s="19"/>
      <c r="G29" s="2"/>
      <c r="H29" s="2">
        <f>-174.65</f>
        <v>-174.65</v>
      </c>
      <c r="I29" s="2"/>
      <c r="J29" s="19"/>
      <c r="K29" s="2"/>
      <c r="L29" s="2">
        <f t="shared" si="0"/>
        <v>174.65</v>
      </c>
      <c r="M29" s="2"/>
      <c r="N29" s="19">
        <f t="shared" si="1"/>
        <v>-1</v>
      </c>
      <c r="O29" s="11"/>
      <c r="P29" s="2">
        <f>-2339.9</f>
        <v>-2339.9</v>
      </c>
      <c r="Q29" s="2"/>
      <c r="R29" s="19"/>
      <c r="S29" s="2"/>
      <c r="T29" s="2">
        <f>-3599.37</f>
        <v>-3599.37</v>
      </c>
      <c r="U29" s="2"/>
      <c r="V29" s="19"/>
      <c r="W29" s="2"/>
      <c r="X29" s="2">
        <f t="shared" si="2"/>
        <v>1259.4699999999998</v>
      </c>
      <c r="Y29" s="2"/>
      <c r="Z29" s="19">
        <f t="shared" si="3"/>
        <v>-0.3499140127300055</v>
      </c>
    </row>
    <row r="30" spans="1:26" s="24" customFormat="1" hidden="1" outlineLevel="1" x14ac:dyDescent="0.2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 t="shared" si="4"/>
        <v>0</v>
      </c>
      <c r="E30" s="2"/>
      <c r="F30" s="19"/>
      <c r="G30" s="2"/>
      <c r="H30" s="2">
        <f>-504</f>
        <v>-504</v>
      </c>
      <c r="I30" s="2"/>
      <c r="J30" s="19"/>
      <c r="K30" s="2"/>
      <c r="L30" s="2">
        <f t="shared" si="0"/>
        <v>504</v>
      </c>
      <c r="M30" s="2"/>
      <c r="N30" s="19">
        <f t="shared" si="1"/>
        <v>-1</v>
      </c>
      <c r="O30" s="11"/>
      <c r="P30" s="2">
        <f>-1725.04</f>
        <v>-1725.04</v>
      </c>
      <c r="Q30" s="2"/>
      <c r="R30" s="19"/>
      <c r="S30" s="2"/>
      <c r="T30" s="2">
        <f>-712.02</f>
        <v>-712.02</v>
      </c>
      <c r="U30" s="2"/>
      <c r="V30" s="19"/>
      <c r="W30" s="2"/>
      <c r="X30" s="2">
        <f t="shared" si="2"/>
        <v>-1013.02</v>
      </c>
      <c r="Y30" s="2"/>
      <c r="Z30" s="19">
        <f t="shared" si="3"/>
        <v>1.4227409342434201</v>
      </c>
    </row>
    <row r="31" spans="1:26" s="24" customFormat="1" hidden="1" outlineLevel="1" x14ac:dyDescent="0.25">
      <c r="A31" s="44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>-24.95</f>
        <v>-24.95</v>
      </c>
      <c r="E31" s="2"/>
      <c r="F31" s="19"/>
      <c r="G31" s="2"/>
      <c r="H31" s="2">
        <f>-123.75</f>
        <v>-123.75</v>
      </c>
      <c r="I31" s="2"/>
      <c r="J31" s="19"/>
      <c r="K31" s="2"/>
      <c r="L31" s="2">
        <f t="shared" si="0"/>
        <v>98.8</v>
      </c>
      <c r="M31" s="2"/>
      <c r="N31" s="19">
        <f t="shared" si="1"/>
        <v>-0.79838383838383831</v>
      </c>
      <c r="O31" s="11"/>
      <c r="P31" s="2">
        <f>-1020.4</f>
        <v>-1020.4</v>
      </c>
      <c r="Q31" s="2"/>
      <c r="R31" s="19"/>
      <c r="S31" s="2"/>
      <c r="T31" s="2">
        <f>-939.02</f>
        <v>-939.02</v>
      </c>
      <c r="U31" s="2"/>
      <c r="V31" s="19"/>
      <c r="W31" s="2"/>
      <c r="X31" s="2">
        <f t="shared" si="2"/>
        <v>-81.38</v>
      </c>
      <c r="Y31" s="2"/>
      <c r="Z31" s="19">
        <f t="shared" si="3"/>
        <v>8.6664820770590609E-2</v>
      </c>
    </row>
    <row r="32" spans="1:26" s="24" customFormat="1" hidden="1" outlineLevel="1" x14ac:dyDescent="0.25">
      <c r="A32" s="44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 t="shared" ref="D32:D33" si="5">0</f>
        <v>0</v>
      </c>
      <c r="E32" s="2"/>
      <c r="F32" s="19"/>
      <c r="G32" s="2"/>
      <c r="H32" s="2">
        <f>-6.95</f>
        <v>-6.95</v>
      </c>
      <c r="I32" s="2"/>
      <c r="J32" s="19"/>
      <c r="K32" s="2"/>
      <c r="L32" s="2">
        <f t="shared" si="0"/>
        <v>6.95</v>
      </c>
      <c r="M32" s="2"/>
      <c r="N32" s="19">
        <f t="shared" si="1"/>
        <v>-1</v>
      </c>
      <c r="O32" s="11"/>
      <c r="P32" s="2">
        <f>-245.5</f>
        <v>-245.5</v>
      </c>
      <c r="Q32" s="2"/>
      <c r="R32" s="19"/>
      <c r="S32" s="2"/>
      <c r="T32" s="2">
        <f>-141.55</f>
        <v>-141.55000000000001</v>
      </c>
      <c r="U32" s="2"/>
      <c r="V32" s="19"/>
      <c r="W32" s="2"/>
      <c r="X32" s="2">
        <f t="shared" si="2"/>
        <v>-103.94999999999999</v>
      </c>
      <c r="Y32" s="2"/>
      <c r="Z32" s="19">
        <f t="shared" si="3"/>
        <v>0.73436948074885189</v>
      </c>
    </row>
    <row r="33" spans="1:26" s="24" customFormat="1" hidden="1" outlineLevel="1" x14ac:dyDescent="0.25">
      <c r="A33" s="44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 t="shared" si="5"/>
        <v>0</v>
      </c>
      <c r="E33" s="2"/>
      <c r="F33" s="19"/>
      <c r="G33" s="2"/>
      <c r="H33" s="2">
        <f>-19.9</f>
        <v>-19.899999999999999</v>
      </c>
      <c r="I33" s="2"/>
      <c r="J33" s="19"/>
      <c r="K33" s="2"/>
      <c r="L33" s="2">
        <f t="shared" si="0"/>
        <v>19.899999999999999</v>
      </c>
      <c r="M33" s="2"/>
      <c r="N33" s="19">
        <f t="shared" si="1"/>
        <v>-1</v>
      </c>
      <c r="O33" s="11"/>
      <c r="P33" s="2">
        <f>-109.8</f>
        <v>-109.8</v>
      </c>
      <c r="Q33" s="2"/>
      <c r="R33" s="19"/>
      <c r="S33" s="2"/>
      <c r="T33" s="2">
        <f>-103.6</f>
        <v>-103.6</v>
      </c>
      <c r="U33" s="2"/>
      <c r="V33" s="19"/>
      <c r="W33" s="2"/>
      <c r="X33" s="2">
        <f t="shared" si="2"/>
        <v>-6.2000000000000028</v>
      </c>
      <c r="Y33" s="2"/>
      <c r="Z33" s="19">
        <f t="shared" si="3"/>
        <v>5.9845559845559879E-2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58393.18</v>
      </c>
      <c r="E35" s="4"/>
      <c r="F35" s="12">
        <f t="shared" ref="F35:F51" si="6">IF(D$12=0,0,D35/D$12)</f>
        <v>0.46845546634251761</v>
      </c>
      <c r="G35" s="4"/>
      <c r="H35" s="4">
        <f>SUM(OSRRefH16x_0)</f>
        <v>136999.57</v>
      </c>
      <c r="I35" s="4"/>
      <c r="J35" s="12">
        <f t="shared" ref="J35:J51" si="7">IF(H$12=0,0,H35/H$12)</f>
        <v>0.369529758958758</v>
      </c>
      <c r="K35" s="4"/>
      <c r="L35" s="4">
        <f t="shared" ref="L35:L51" si="8">+D35-H35</f>
        <v>-78606.390000000014</v>
      </c>
      <c r="M35" s="4"/>
      <c r="N35" s="12">
        <f t="shared" ref="N35:N51" si="9">IF(H35=0,0,L35/H35)</f>
        <v>-0.57377107096029578</v>
      </c>
      <c r="O35" s="10"/>
      <c r="P35" s="4">
        <f>SUM(OSRRefP16x_0)</f>
        <v>1007506.2200000003</v>
      </c>
      <c r="Q35" s="4"/>
      <c r="R35" s="12">
        <f t="shared" ref="R35:R51" si="10">IF(P$12=0,0,P35/P$12)</f>
        <v>0.46684065652598644</v>
      </c>
      <c r="S35" s="4"/>
      <c r="T35" s="4">
        <f>SUM(OSRRefT16x_0)</f>
        <v>1144644.6899999997</v>
      </c>
      <c r="U35" s="4"/>
      <c r="V35" s="12">
        <f t="shared" ref="V35:V51" si="11">IF(T$12=0,0,T35/T$12)</f>
        <v>0.44494750176260689</v>
      </c>
      <c r="W35" s="4"/>
      <c r="X35" s="4">
        <f t="shared" ref="X35:X51" si="12">+P35-T35</f>
        <v>-137138.46999999939</v>
      </c>
      <c r="Y35" s="4"/>
      <c r="Z35" s="12">
        <f t="shared" ref="Z35:Z51" si="13">IF(T35=0,0,X35/T35)</f>
        <v>-0.11980876790683354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6"/>
        <v>0</v>
      </c>
      <c r="G36" s="2"/>
      <c r="H36" s="2">
        <v>1000</v>
      </c>
      <c r="I36" s="2"/>
      <c r="J36" s="19">
        <f t="shared" si="7"/>
        <v>2.6973059766447296E-3</v>
      </c>
      <c r="K36" s="2"/>
      <c r="L36" s="2">
        <f t="shared" si="8"/>
        <v>-1000</v>
      </c>
      <c r="M36" s="2"/>
      <c r="N36" s="19">
        <f t="shared" si="9"/>
        <v>-1</v>
      </c>
      <c r="O36" s="11"/>
      <c r="P36" s="2"/>
      <c r="Q36" s="2"/>
      <c r="R36" s="19">
        <f t="shared" si="10"/>
        <v>0</v>
      </c>
      <c r="S36" s="2"/>
      <c r="T36" s="2">
        <v>1000</v>
      </c>
      <c r="U36" s="2"/>
      <c r="V36" s="19">
        <f t="shared" si="11"/>
        <v>3.8872106396842411E-4</v>
      </c>
      <c r="W36" s="2"/>
      <c r="X36" s="2">
        <f t="shared" si="12"/>
        <v>-1000</v>
      </c>
      <c r="Y36" s="2"/>
      <c r="Z36" s="19">
        <f t="shared" si="13"/>
        <v>-1</v>
      </c>
    </row>
    <row r="37" spans="1:26" s="24" customFormat="1" hidden="1" outlineLevel="1" x14ac:dyDescent="0.2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7748.9</v>
      </c>
      <c r="E37" s="2"/>
      <c r="F37" s="19">
        <f t="shared" si="6"/>
        <v>6.2165043300288401E-2</v>
      </c>
      <c r="G37" s="2"/>
      <c r="H37" s="2">
        <v>54445.53</v>
      </c>
      <c r="I37" s="2"/>
      <c r="J37" s="19">
        <f t="shared" si="7"/>
        <v>0.14685625347058992</v>
      </c>
      <c r="K37" s="2"/>
      <c r="L37" s="2">
        <f t="shared" si="8"/>
        <v>-46696.63</v>
      </c>
      <c r="M37" s="2"/>
      <c r="N37" s="19">
        <f t="shared" si="9"/>
        <v>-0.85767610307035302</v>
      </c>
      <c r="O37" s="11"/>
      <c r="P37" s="2">
        <v>778922.62</v>
      </c>
      <c r="Q37" s="2"/>
      <c r="R37" s="19">
        <f t="shared" si="10"/>
        <v>0.36092357554253246</v>
      </c>
      <c r="S37" s="2"/>
      <c r="T37" s="2">
        <v>835841.7</v>
      </c>
      <c r="U37" s="2"/>
      <c r="V37" s="19">
        <f t="shared" si="11"/>
        <v>0.32490927493317634</v>
      </c>
      <c r="W37" s="2"/>
      <c r="X37" s="2">
        <f t="shared" si="12"/>
        <v>-56919.079999999958</v>
      </c>
      <c r="Y37" s="2"/>
      <c r="Z37" s="19">
        <f t="shared" si="13"/>
        <v>-6.8097918541273977E-2</v>
      </c>
    </row>
    <row r="38" spans="1:26" s="24" customFormat="1" hidden="1" outlineLevel="1" x14ac:dyDescent="0.25">
      <c r="A38" s="44"/>
      <c r="B38" s="11" t="str">
        <f>CONCATENATE("          ", "5041", " - ", "PURCHASES @ COST-LOGO GIFTS")</f>
        <v xml:space="preserve">          5041 - PURCHASES @ COST-LOGO GIFTS</v>
      </c>
      <c r="C38" s="11"/>
      <c r="D38" s="2">
        <v>-5104.3599999999997</v>
      </c>
      <c r="E38" s="2"/>
      <c r="F38" s="19">
        <f t="shared" si="6"/>
        <v>-4.0949394161785557E-2</v>
      </c>
      <c r="G38" s="2"/>
      <c r="H38" s="2">
        <v>28561.94</v>
      </c>
      <c r="I38" s="2"/>
      <c r="J38" s="19">
        <f t="shared" si="7"/>
        <v>7.7040291466568156E-2</v>
      </c>
      <c r="K38" s="2"/>
      <c r="L38" s="2">
        <f t="shared" si="8"/>
        <v>-33666.299999999996</v>
      </c>
      <c r="M38" s="2"/>
      <c r="N38" s="19">
        <f t="shared" si="9"/>
        <v>-1.1787119502386743</v>
      </c>
      <c r="O38" s="11"/>
      <c r="P38" s="2">
        <v>118479.11</v>
      </c>
      <c r="Q38" s="2"/>
      <c r="R38" s="19">
        <f t="shared" si="10"/>
        <v>5.4898783152936316E-2</v>
      </c>
      <c r="S38" s="2"/>
      <c r="T38" s="2">
        <v>220870.8</v>
      </c>
      <c r="U38" s="2"/>
      <c r="V38" s="19">
        <f t="shared" si="11"/>
        <v>8.5857132375557005E-2</v>
      </c>
      <c r="W38" s="2"/>
      <c r="X38" s="2">
        <f t="shared" si="12"/>
        <v>-102391.68999999999</v>
      </c>
      <c r="Y38" s="2"/>
      <c r="Z38" s="19">
        <f t="shared" si="13"/>
        <v>-0.46358183155039051</v>
      </c>
    </row>
    <row r="39" spans="1:26" s="24" customFormat="1" hidden="1" outlineLevel="1" x14ac:dyDescent="0.25">
      <c r="A39" s="44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521.79999999999995</v>
      </c>
      <c r="E39" s="2"/>
      <c r="F39" s="19">
        <f t="shared" si="6"/>
        <v>4.1861063627212231E-3</v>
      </c>
      <c r="G39" s="2"/>
      <c r="H39" s="2">
        <v>10716.1</v>
      </c>
      <c r="I39" s="2"/>
      <c r="J39" s="19">
        <f t="shared" si="7"/>
        <v>2.8904600576322586E-2</v>
      </c>
      <c r="K39" s="2"/>
      <c r="L39" s="2">
        <f t="shared" si="8"/>
        <v>-10194.300000000001</v>
      </c>
      <c r="M39" s="2"/>
      <c r="N39" s="19">
        <f t="shared" si="9"/>
        <v>-0.95130691202956308</v>
      </c>
      <c r="O39" s="11"/>
      <c r="P39" s="2">
        <v>95367.41</v>
      </c>
      <c r="Q39" s="2"/>
      <c r="R39" s="19">
        <f t="shared" si="10"/>
        <v>4.4189686784844778E-2</v>
      </c>
      <c r="S39" s="2"/>
      <c r="T39" s="2">
        <v>116528.08</v>
      </c>
      <c r="U39" s="2"/>
      <c r="V39" s="19">
        <f t="shared" si="11"/>
        <v>4.5296919239797645E-2</v>
      </c>
      <c r="W39" s="2"/>
      <c r="X39" s="2">
        <f t="shared" si="12"/>
        <v>-21160.67</v>
      </c>
      <c r="Y39" s="2"/>
      <c r="Z39" s="19">
        <f t="shared" si="13"/>
        <v>-0.18159288302012697</v>
      </c>
    </row>
    <row r="40" spans="1:26" s="24" customFormat="1" hidden="1" outlineLevel="1" x14ac:dyDescent="0.25">
      <c r="A40" s="44"/>
      <c r="B40" s="11" t="str">
        <f>CONCATENATE("          ", "5043", " - ", "PURCHASES @ COST-CARDS")</f>
        <v xml:space="preserve">          5043 - PURCHASES @ COST-CARDS</v>
      </c>
      <c r="C40" s="11"/>
      <c r="D40" s="2">
        <v>6137.75</v>
      </c>
      <c r="E40" s="2"/>
      <c r="F40" s="19">
        <f t="shared" si="6"/>
        <v>4.9239697830188174E-2</v>
      </c>
      <c r="G40" s="2"/>
      <c r="H40" s="2">
        <v>978.5</v>
      </c>
      <c r="I40" s="2"/>
      <c r="J40" s="19">
        <f t="shared" si="7"/>
        <v>2.6393138981468675E-3</v>
      </c>
      <c r="K40" s="2"/>
      <c r="L40" s="2">
        <f t="shared" si="8"/>
        <v>5159.25</v>
      </c>
      <c r="M40" s="2"/>
      <c r="N40" s="19">
        <f t="shared" si="9"/>
        <v>5.2726111394992339</v>
      </c>
      <c r="O40" s="11"/>
      <c r="P40" s="2">
        <v>30760.190000000002</v>
      </c>
      <c r="Q40" s="2"/>
      <c r="R40" s="19">
        <f t="shared" si="10"/>
        <v>1.425312023826918E-2</v>
      </c>
      <c r="S40" s="2"/>
      <c r="T40" s="2">
        <v>4108.8900000000003</v>
      </c>
      <c r="U40" s="2"/>
      <c r="V40" s="19">
        <f t="shared" si="11"/>
        <v>1.5972120925292182E-3</v>
      </c>
      <c r="W40" s="2"/>
      <c r="X40" s="2">
        <f t="shared" si="12"/>
        <v>26651.300000000003</v>
      </c>
      <c r="Y40" s="2"/>
      <c r="Z40" s="19">
        <f t="shared" si="13"/>
        <v>6.4862529782982756</v>
      </c>
    </row>
    <row r="41" spans="1:26" s="24" customFormat="1" hidden="1" outlineLevel="1" x14ac:dyDescent="0.25">
      <c r="A41" s="44"/>
      <c r="B41" s="11" t="str">
        <f>CONCATENATE("          ", "5044", " - ", "PURCHASES @ COST-ACCESSORIES")</f>
        <v xml:space="preserve">          5044 - PURCHASES @ COST-ACCESSORIES</v>
      </c>
      <c r="C41" s="11"/>
      <c r="D41" s="2">
        <v>4380</v>
      </c>
      <c r="E41" s="2"/>
      <c r="F41" s="19">
        <f t="shared" si="6"/>
        <v>3.5138263450975392E-2</v>
      </c>
      <c r="G41" s="2"/>
      <c r="H41" s="2">
        <v>886.6</v>
      </c>
      <c r="I41" s="2"/>
      <c r="J41" s="19">
        <f t="shared" si="7"/>
        <v>2.391431478893217E-3</v>
      </c>
      <c r="K41" s="2"/>
      <c r="L41" s="2">
        <f t="shared" si="8"/>
        <v>3493.4</v>
      </c>
      <c r="M41" s="2"/>
      <c r="N41" s="19">
        <f t="shared" si="9"/>
        <v>3.9402210692533273</v>
      </c>
      <c r="O41" s="11"/>
      <c r="P41" s="2">
        <v>40855.08</v>
      </c>
      <c r="Q41" s="2"/>
      <c r="R41" s="19">
        <f t="shared" si="10"/>
        <v>1.8930714263601957E-2</v>
      </c>
      <c r="S41" s="2"/>
      <c r="T41" s="2">
        <v>31686.720000000001</v>
      </c>
      <c r="U41" s="2"/>
      <c r="V41" s="19">
        <f t="shared" si="11"/>
        <v>1.2317295512069544E-2</v>
      </c>
      <c r="W41" s="2"/>
      <c r="X41" s="2">
        <f t="shared" si="12"/>
        <v>9168.36</v>
      </c>
      <c r="Y41" s="2"/>
      <c r="Z41" s="19">
        <f t="shared" si="13"/>
        <v>0.28934392704577816</v>
      </c>
    </row>
    <row r="42" spans="1:26" s="24" customFormat="1" hidden="1" outlineLevel="1" x14ac:dyDescent="0.25">
      <c r="A42" s="44"/>
      <c r="B42" s="11" t="str">
        <f>CONCATENATE("          ", "5045", " - ", "PURCHASES @ COST-SPECIAL ORDER")</f>
        <v xml:space="preserve">          5045 - PURCHASES @ COST-SPECIAL ORDER</v>
      </c>
      <c r="C42" s="11"/>
      <c r="D42" s="2">
        <v>4221.8999999999996</v>
      </c>
      <c r="E42" s="2"/>
      <c r="F42" s="19">
        <f t="shared" si="6"/>
        <v>3.3869916544217581E-2</v>
      </c>
      <c r="G42" s="2"/>
      <c r="H42" s="2">
        <v>30972.289999999997</v>
      </c>
      <c r="I42" s="2"/>
      <c r="J42" s="19">
        <f t="shared" si="7"/>
        <v>8.3541742927373777E-2</v>
      </c>
      <c r="K42" s="2"/>
      <c r="L42" s="2">
        <f t="shared" si="8"/>
        <v>-26750.39</v>
      </c>
      <c r="M42" s="2"/>
      <c r="N42" s="19">
        <f t="shared" si="9"/>
        <v>-0.86368783192976695</v>
      </c>
      <c r="O42" s="11"/>
      <c r="P42" s="2">
        <v>62921.35</v>
      </c>
      <c r="Q42" s="2"/>
      <c r="R42" s="19">
        <f t="shared" si="10"/>
        <v>2.9155397515562106E-2</v>
      </c>
      <c r="S42" s="2"/>
      <c r="T42" s="2">
        <v>99556.03</v>
      </c>
      <c r="U42" s="2"/>
      <c r="V42" s="19">
        <f t="shared" si="11"/>
        <v>3.8699525906072348E-2</v>
      </c>
      <c r="W42" s="2"/>
      <c r="X42" s="2">
        <f t="shared" si="12"/>
        <v>-36634.68</v>
      </c>
      <c r="Y42" s="2"/>
      <c r="Z42" s="19">
        <f t="shared" si="13"/>
        <v>-0.36798052312853374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-19199</v>
      </c>
      <c r="E43" s="2"/>
      <c r="F43" s="19">
        <f t="shared" si="6"/>
        <v>-0.15402272146010879</v>
      </c>
      <c r="G43" s="2"/>
      <c r="H43" s="2">
        <v>-162656</v>
      </c>
      <c r="I43" s="2"/>
      <c r="J43" s="19">
        <f t="shared" si="7"/>
        <v>-0.43873300093712508</v>
      </c>
      <c r="K43" s="2"/>
      <c r="L43" s="2">
        <f t="shared" si="8"/>
        <v>143457</v>
      </c>
      <c r="M43" s="2"/>
      <c r="N43" s="19">
        <f t="shared" si="9"/>
        <v>-0.88196562069643913</v>
      </c>
      <c r="O43" s="11"/>
      <c r="P43" s="2">
        <v>-1170012</v>
      </c>
      <c r="Q43" s="2"/>
      <c r="R43" s="19">
        <f t="shared" si="10"/>
        <v>-0.54213974998911896</v>
      </c>
      <c r="S43" s="2"/>
      <c r="T43" s="2">
        <v>-1380556</v>
      </c>
      <c r="U43" s="2"/>
      <c r="V43" s="19">
        <f t="shared" si="11"/>
        <v>-0.5366511971879917</v>
      </c>
      <c r="W43" s="2"/>
      <c r="X43" s="2">
        <f t="shared" si="12"/>
        <v>210544</v>
      </c>
      <c r="Y43" s="2"/>
      <c r="Z43" s="19">
        <f t="shared" si="13"/>
        <v>-0.15250667122521649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>
        <v>58392</v>
      </c>
      <c r="E44" s="2"/>
      <c r="F44" s="19">
        <f t="shared" si="6"/>
        <v>0.46844599986971575</v>
      </c>
      <c r="G44" s="2"/>
      <c r="H44" s="2">
        <v>167069</v>
      </c>
      <c r="I44" s="2"/>
      <c r="J44" s="19">
        <f t="shared" si="7"/>
        <v>0.4506362122120583</v>
      </c>
      <c r="K44" s="2"/>
      <c r="L44" s="2">
        <f t="shared" si="8"/>
        <v>-108677</v>
      </c>
      <c r="M44" s="2"/>
      <c r="N44" s="19">
        <f t="shared" si="9"/>
        <v>-0.65049171300480635</v>
      </c>
      <c r="O44" s="11"/>
      <c r="P44" s="2">
        <v>1007478.0000000001</v>
      </c>
      <c r="Q44" s="2"/>
      <c r="R44" s="19">
        <f t="shared" si="10"/>
        <v>0.46682758043467731</v>
      </c>
      <c r="S44" s="2"/>
      <c r="T44" s="2">
        <v>1174714</v>
      </c>
      <c r="U44" s="2"/>
      <c r="V44" s="19">
        <f t="shared" si="11"/>
        <v>0.45663607593860339</v>
      </c>
      <c r="W44" s="2"/>
      <c r="X44" s="2">
        <f t="shared" si="12"/>
        <v>-167235.99999999988</v>
      </c>
      <c r="Y44" s="2"/>
      <c r="Z44" s="19">
        <f t="shared" si="13"/>
        <v>-0.14236316243783584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29.23</v>
      </c>
      <c r="Q45" s="2"/>
      <c r="R45" s="19">
        <f t="shared" si="10"/>
        <v>1.3544087489856469E-5</v>
      </c>
      <c r="S45" s="2"/>
      <c r="T45" s="2"/>
      <c r="U45" s="2"/>
      <c r="V45" s="19">
        <f t="shared" si="11"/>
        <v>0</v>
      </c>
      <c r="W45" s="2"/>
      <c r="X45" s="2">
        <f t="shared" si="12"/>
        <v>29.23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"5540", " - ", "FREIGHT-IN-LOGO CLOTHING")</f>
        <v xml:space="preserve">          5540 - FREIGHT-IN-LOGO CLOTHING</v>
      </c>
      <c r="C46" s="11"/>
      <c r="D46" s="2">
        <v>1044.9100000000001</v>
      </c>
      <c r="E46" s="2"/>
      <c r="F46" s="19">
        <f t="shared" si="6"/>
        <v>8.3827221147394285E-3</v>
      </c>
      <c r="G46" s="2"/>
      <c r="H46" s="2">
        <v>4017.61</v>
      </c>
      <c r="I46" s="2"/>
      <c r="J46" s="19">
        <f t="shared" si="7"/>
        <v>1.0836723464827632E-2</v>
      </c>
      <c r="K46" s="2"/>
      <c r="L46" s="2">
        <f t="shared" si="8"/>
        <v>-2972.7</v>
      </c>
      <c r="M46" s="2"/>
      <c r="N46" s="19">
        <f t="shared" si="9"/>
        <v>-0.73991751314836429</v>
      </c>
      <c r="O46" s="11"/>
      <c r="P46" s="2">
        <v>31680.79</v>
      </c>
      <c r="Q46" s="2"/>
      <c r="R46" s="19">
        <f t="shared" si="10"/>
        <v>1.4679691806629147E-2</v>
      </c>
      <c r="S46" s="2"/>
      <c r="T46" s="2">
        <v>29011.88</v>
      </c>
      <c r="U46" s="2"/>
      <c r="V46" s="19">
        <f t="shared" si="11"/>
        <v>1.1277528861324245E-2</v>
      </c>
      <c r="W46" s="2"/>
      <c r="X46" s="2">
        <f t="shared" si="12"/>
        <v>2668.91</v>
      </c>
      <c r="Y46" s="2"/>
      <c r="Z46" s="19">
        <f t="shared" si="13"/>
        <v>9.1993693617924782E-2</v>
      </c>
    </row>
    <row r="47" spans="1:26" s="24" customFormat="1" hidden="1" outlineLevel="1" x14ac:dyDescent="0.25">
      <c r="A47" s="44"/>
      <c r="B47" s="11" t="str">
        <f>CONCATENATE("          ", "5541", " - ", "FREIGHT-IN-LOGO GIFTS")</f>
        <v xml:space="preserve">          5541 - FREIGHT-IN-LOGO GIFTS</v>
      </c>
      <c r="C47" s="11"/>
      <c r="D47" s="2">
        <v>186.99</v>
      </c>
      <c r="E47" s="2"/>
      <c r="F47" s="19">
        <f t="shared" si="6"/>
        <v>1.5001150417118466E-3</v>
      </c>
      <c r="G47" s="2"/>
      <c r="H47" s="2">
        <v>769.17</v>
      </c>
      <c r="I47" s="2"/>
      <c r="J47" s="19">
        <f t="shared" si="7"/>
        <v>2.0746868380558266E-3</v>
      </c>
      <c r="K47" s="2"/>
      <c r="L47" s="2">
        <f t="shared" si="8"/>
        <v>-582.17999999999995</v>
      </c>
      <c r="M47" s="2"/>
      <c r="N47" s="19">
        <f t="shared" si="9"/>
        <v>-0.75689379460977413</v>
      </c>
      <c r="O47" s="11"/>
      <c r="P47" s="2">
        <v>4882.9399999999996</v>
      </c>
      <c r="Q47" s="2"/>
      <c r="R47" s="19">
        <f t="shared" si="10"/>
        <v>2.2625715555155573E-3</v>
      </c>
      <c r="S47" s="2"/>
      <c r="T47" s="2">
        <v>7484.78</v>
      </c>
      <c r="U47" s="2"/>
      <c r="V47" s="19">
        <f t="shared" si="11"/>
        <v>2.9094916451695815E-3</v>
      </c>
      <c r="W47" s="2"/>
      <c r="X47" s="2">
        <f t="shared" si="12"/>
        <v>-2601.84</v>
      </c>
      <c r="Y47" s="2"/>
      <c r="Z47" s="19">
        <f t="shared" si="13"/>
        <v>-0.3476174316412774</v>
      </c>
    </row>
    <row r="48" spans="1:26" s="24" customFormat="1" hidden="1" outlineLevel="1" x14ac:dyDescent="0.25">
      <c r="A48" s="44"/>
      <c r="B48" s="11" t="str">
        <f>CONCATENATE("          ", "5542", " - ", "FREIGHT-IN-EVERYDAY GIFTS")</f>
        <v xml:space="preserve">          5542 - FREIGHT-IN-EVERYDAY GIFTS</v>
      </c>
      <c r="C48" s="11"/>
      <c r="D48" s="2">
        <v>45.1</v>
      </c>
      <c r="E48" s="2"/>
      <c r="F48" s="19">
        <f t="shared" si="6"/>
        <v>3.6181179946095666E-4</v>
      </c>
      <c r="G48" s="2"/>
      <c r="H48" s="2">
        <v>86.05</v>
      </c>
      <c r="I48" s="2"/>
      <c r="J48" s="19">
        <f t="shared" si="7"/>
        <v>2.3210317929027896E-4</v>
      </c>
      <c r="K48" s="2"/>
      <c r="L48" s="2">
        <f t="shared" si="8"/>
        <v>-40.949999999999996</v>
      </c>
      <c r="M48" s="2"/>
      <c r="N48" s="19">
        <f t="shared" si="9"/>
        <v>-0.47588611272515974</v>
      </c>
      <c r="O48" s="11"/>
      <c r="P48" s="2">
        <v>1839.04</v>
      </c>
      <c r="Q48" s="2"/>
      <c r="R48" s="19">
        <f t="shared" si="10"/>
        <v>8.521422736006035E-4</v>
      </c>
      <c r="S48" s="2"/>
      <c r="T48" s="2">
        <v>1563.03</v>
      </c>
      <c r="U48" s="2"/>
      <c r="V48" s="19">
        <f t="shared" si="11"/>
        <v>6.0758268461456595E-4</v>
      </c>
      <c r="W48" s="2"/>
      <c r="X48" s="2">
        <f t="shared" si="12"/>
        <v>276.01</v>
      </c>
      <c r="Y48" s="2"/>
      <c r="Z48" s="19">
        <f t="shared" si="13"/>
        <v>0.17658650185856958</v>
      </c>
    </row>
    <row r="49" spans="1:26" s="24" customFormat="1" hidden="1" outlineLevel="1" x14ac:dyDescent="0.25">
      <c r="A49" s="44"/>
      <c r="B49" s="11" t="str">
        <f>CONCATENATE("          ", "5543", " - ", "FREIGHT-IN-CARDS")</f>
        <v xml:space="preserve">          5543 - FREIGHT-IN-CARDS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2926.76</v>
      </c>
      <c r="Q49" s="2"/>
      <c r="R49" s="19">
        <f t="shared" si="10"/>
        <v>1.3561509921933741E-3</v>
      </c>
      <c r="S49" s="2"/>
      <c r="T49" s="2">
        <v>57.18</v>
      </c>
      <c r="U49" s="2"/>
      <c r="V49" s="19">
        <f t="shared" si="11"/>
        <v>2.2227070437714491E-5</v>
      </c>
      <c r="W49" s="2"/>
      <c r="X49" s="2">
        <f t="shared" si="12"/>
        <v>2869.5800000000004</v>
      </c>
      <c r="Y49" s="2"/>
      <c r="Z49" s="19">
        <f t="shared" si="13"/>
        <v>50.185029730675069</v>
      </c>
    </row>
    <row r="50" spans="1:26" s="24" customFormat="1" hidden="1" outlineLevel="1" x14ac:dyDescent="0.25">
      <c r="A50" s="44"/>
      <c r="B50" s="11" t="str">
        <f>CONCATENATE("          ", "5544", " - ", "FREIGHT-IN-ACCESSORIES")</f>
        <v xml:space="preserve">          5544 - FREIGHT-IN-ACCESSORIES</v>
      </c>
      <c r="C50" s="11"/>
      <c r="D50" s="2"/>
      <c r="E50" s="2"/>
      <c r="F50" s="19">
        <f t="shared" si="6"/>
        <v>0</v>
      </c>
      <c r="G50" s="2"/>
      <c r="H50" s="2">
        <v>66.27</v>
      </c>
      <c r="I50" s="2"/>
      <c r="J50" s="19">
        <f t="shared" si="7"/>
        <v>1.787504670722462E-4</v>
      </c>
      <c r="K50" s="2"/>
      <c r="L50" s="2">
        <f t="shared" si="8"/>
        <v>-66.27</v>
      </c>
      <c r="M50" s="2"/>
      <c r="N50" s="19">
        <f t="shared" si="9"/>
        <v>-1</v>
      </c>
      <c r="O50" s="11"/>
      <c r="P50" s="2">
        <v>483.44</v>
      </c>
      <c r="Q50" s="2"/>
      <c r="R50" s="19">
        <f t="shared" si="10"/>
        <v>2.2400799370838904E-4</v>
      </c>
      <c r="S50" s="2"/>
      <c r="T50" s="2">
        <v>1133.42</v>
      </c>
      <c r="U50" s="2"/>
      <c r="V50" s="19">
        <f t="shared" si="11"/>
        <v>4.4058422832309128E-4</v>
      </c>
      <c r="W50" s="2"/>
      <c r="X50" s="2">
        <f t="shared" si="12"/>
        <v>-649.98</v>
      </c>
      <c r="Y50" s="2"/>
      <c r="Z50" s="19">
        <f t="shared" si="13"/>
        <v>-0.57346791127737284</v>
      </c>
    </row>
    <row r="51" spans="1:26" s="24" customFormat="1" hidden="1" outlineLevel="1" x14ac:dyDescent="0.25">
      <c r="A51" s="44"/>
      <c r="B51" s="11" t="str">
        <f>CONCATENATE("          ", "5545", " - ", "FREIGHT-IN-SPECIAL ORDERS")</f>
        <v xml:space="preserve">          5545 - FREIGHT-IN-SPECIAL ORDERS</v>
      </c>
      <c r="C51" s="11"/>
      <c r="D51" s="2">
        <v>17.190000000000001</v>
      </c>
      <c r="E51" s="2"/>
      <c r="F51" s="19">
        <f t="shared" si="6"/>
        <v>1.3790565039321166E-4</v>
      </c>
      <c r="G51" s="2"/>
      <c r="H51" s="2">
        <v>86.51</v>
      </c>
      <c r="I51" s="2"/>
      <c r="J51" s="19">
        <f t="shared" si="7"/>
        <v>2.3334394003953556E-4</v>
      </c>
      <c r="K51" s="2"/>
      <c r="L51" s="2">
        <f t="shared" si="8"/>
        <v>-69.320000000000007</v>
      </c>
      <c r="M51" s="2"/>
      <c r="N51" s="19">
        <f t="shared" si="9"/>
        <v>-0.80129464801757022</v>
      </c>
      <c r="O51" s="11"/>
      <c r="P51" s="2">
        <v>892.26</v>
      </c>
      <c r="Q51" s="2"/>
      <c r="R51" s="19">
        <f t="shared" si="10"/>
        <v>4.13439873544281E-4</v>
      </c>
      <c r="S51" s="2"/>
      <c r="T51" s="2">
        <v>1644.18</v>
      </c>
      <c r="U51" s="2"/>
      <c r="V51" s="19">
        <f t="shared" si="11"/>
        <v>6.3912739895560355E-4</v>
      </c>
      <c r="W51" s="2"/>
      <c r="X51" s="2">
        <f t="shared" si="12"/>
        <v>-751.92000000000007</v>
      </c>
      <c r="Y51" s="2"/>
      <c r="Z51" s="19">
        <f t="shared" si="13"/>
        <v>-0.45732219100098531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6</v>
      </c>
      <c r="C53" s="28"/>
      <c r="D53" s="21">
        <f>D12-D35</f>
        <v>66257.25999999998</v>
      </c>
      <c r="E53" s="14"/>
      <c r="F53" s="20">
        <f>IF(D$12=0,0,D53/D$12)</f>
        <v>0.53154453365748244</v>
      </c>
      <c r="G53" s="14"/>
      <c r="H53" s="21">
        <f>H12-H35</f>
        <v>233740.71999999991</v>
      </c>
      <c r="I53" s="14"/>
      <c r="J53" s="20">
        <f>IF(H$12=0,0,H53/H$12)</f>
        <v>0.63047024104124205</v>
      </c>
      <c r="K53" s="15"/>
      <c r="L53" s="21">
        <f>+D53-H53</f>
        <v>-167483.45999999993</v>
      </c>
      <c r="M53" s="15"/>
      <c r="N53" s="20">
        <f>IF(H53=0,0,L53/H53)</f>
        <v>-0.71653522758037191</v>
      </c>
      <c r="O53" s="29"/>
      <c r="P53" s="21">
        <f>P12-P35</f>
        <v>1150631.0500000003</v>
      </c>
      <c r="Q53" s="14"/>
      <c r="R53" s="20">
        <f>IF(P$12=0,0,P53/P$12)</f>
        <v>0.53315934347401361</v>
      </c>
      <c r="S53" s="14"/>
      <c r="T53" s="21">
        <f>T12-T35</f>
        <v>1427894.0600000008</v>
      </c>
      <c r="U53" s="14"/>
      <c r="V53" s="20">
        <f>IF(T$12=0,0,T53/T$12)</f>
        <v>0.55505249823739311</v>
      </c>
      <c r="W53" s="15"/>
      <c r="X53" s="21">
        <f>+P53-T53</f>
        <v>-277263.01000000047</v>
      </c>
      <c r="Y53" s="15"/>
      <c r="Z53" s="20">
        <f>IF(T53=0,0,X53/T53)</f>
        <v>-0.19417617718782326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9" t="s">
        <v>9</v>
      </c>
      <c r="C55" s="10"/>
      <c r="D55" s="22">
        <f>SUM(OSRRefD22x_0)</f>
        <v>68744.080000000016</v>
      </c>
      <c r="E55" s="22"/>
      <c r="F55" s="35">
        <f t="shared" ref="F55:F64" si="14">IF(D$12=0,0,D55/D$12)</f>
        <v>0.55149488441436734</v>
      </c>
      <c r="G55" s="22"/>
      <c r="H55" s="22">
        <f>SUM(OSRRefH22x_0)</f>
        <v>65515.81</v>
      </c>
      <c r="I55" s="22"/>
      <c r="J55" s="35">
        <f t="shared" ref="J55:J64" si="15">IF(H$12=0,0,H55/H$12)</f>
        <v>0.17671618587772053</v>
      </c>
      <c r="K55" s="4"/>
      <c r="L55" s="22">
        <f t="shared" ref="L55:L64" si="16">+D55-H55</f>
        <v>3228.2700000000186</v>
      </c>
      <c r="M55" s="4"/>
      <c r="N55" s="35">
        <f t="shared" ref="N55:N64" si="17">IF(H55=0,0,L55/H55)</f>
        <v>4.927467125873921E-2</v>
      </c>
      <c r="O55" s="10"/>
      <c r="P55" s="22">
        <f>SUM(OSRRefP22x_0)</f>
        <v>620544.02</v>
      </c>
      <c r="Q55" s="22"/>
      <c r="R55" s="35">
        <f t="shared" ref="R55:R64" si="18">IF(P$12=0,0,P55/P$12)</f>
        <v>0.28753686275016227</v>
      </c>
      <c r="S55" s="22"/>
      <c r="T55" s="22">
        <f>SUM(OSRRefT22x_0)</f>
        <v>572961.22</v>
      </c>
      <c r="U55" s="22"/>
      <c r="V55" s="35">
        <f t="shared" ref="V55:V64" si="19">IF(T$12=0,0,T55/T$12)</f>
        <v>0.22272209505104631</v>
      </c>
      <c r="W55" s="4"/>
      <c r="X55" s="22">
        <f t="shared" ref="X55:X64" si="20">+P55-T55</f>
        <v>47582.800000000047</v>
      </c>
      <c r="Y55" s="4"/>
      <c r="Z55" s="35">
        <f t="shared" ref="Z55:Z64" si="21">IF(T55=0,0,X55/T55)</f>
        <v>8.3047156315396095E-2</v>
      </c>
    </row>
    <row r="56" spans="1:26" s="25" customFormat="1" outlineLevel="1" collapsed="1" x14ac:dyDescent="0.25">
      <c r="A56" s="26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5747.9800000000005</v>
      </c>
      <c r="E56" s="1"/>
      <c r="F56" s="5">
        <f t="shared" si="14"/>
        <v>4.6112793504780258E-2</v>
      </c>
      <c r="G56" s="1"/>
      <c r="H56" s="1">
        <f>SUM(OSRRefH22_0x_0)</f>
        <v>5913.3</v>
      </c>
      <c r="I56" s="1"/>
      <c r="J56" s="5">
        <f t="shared" si="15"/>
        <v>1.5949979431693278E-2</v>
      </c>
      <c r="K56" s="1"/>
      <c r="L56" s="1">
        <f t="shared" si="16"/>
        <v>-165.31999999999971</v>
      </c>
      <c r="M56" s="1"/>
      <c r="N56" s="5">
        <f t="shared" si="17"/>
        <v>-2.7957316557590466E-2</v>
      </c>
      <c r="O56" s="13"/>
      <c r="P56" s="1">
        <f>SUM(OSRRefP22_0x_0)</f>
        <v>69024.039999999994</v>
      </c>
      <c r="Q56" s="1"/>
      <c r="R56" s="5">
        <f t="shared" si="18"/>
        <v>3.1983155547839634E-2</v>
      </c>
      <c r="S56" s="1"/>
      <c r="T56" s="1">
        <f>SUM(OSRRefT22_0x_0)</f>
        <v>51545.1</v>
      </c>
      <c r="U56" s="1"/>
      <c r="V56" s="5">
        <f t="shared" si="19"/>
        <v>2.0036666114358819E-2</v>
      </c>
      <c r="W56" s="1"/>
      <c r="X56" s="1">
        <f t="shared" si="20"/>
        <v>17478.939999999995</v>
      </c>
      <c r="Y56" s="1"/>
      <c r="Z56" s="5">
        <f t="shared" si="21"/>
        <v>0.33909993384434206</v>
      </c>
    </row>
    <row r="57" spans="1:26" s="24" customFormat="1" hidden="1" outlineLevel="2" x14ac:dyDescent="0.25">
      <c r="A57" s="27"/>
      <c r="B57" s="11" t="str">
        <f>CONCATENATE("          ", "6111", " - ", "F.I.C.A.")</f>
        <v xml:space="preserve">          6111 - F.I.C.A.</v>
      </c>
      <c r="C57" s="11"/>
      <c r="D57" s="6">
        <v>1439.91</v>
      </c>
      <c r="E57" s="2"/>
      <c r="F57" s="7">
        <f t="shared" si="14"/>
        <v>1.1551583772989493E-2</v>
      </c>
      <c r="G57" s="2"/>
      <c r="H57" s="6">
        <v>900.29</v>
      </c>
      <c r="I57" s="2"/>
      <c r="J57" s="7">
        <f t="shared" si="15"/>
        <v>2.4283575977134832E-3</v>
      </c>
      <c r="K57" s="2"/>
      <c r="L57" s="6">
        <f t="shared" si="16"/>
        <v>539.62000000000012</v>
      </c>
      <c r="M57" s="2"/>
      <c r="N57" s="7">
        <f t="shared" si="17"/>
        <v>0.59938464272623282</v>
      </c>
      <c r="O57" s="11"/>
      <c r="P57" s="6">
        <v>12812.46</v>
      </c>
      <c r="Q57" s="2"/>
      <c r="R57" s="7">
        <f t="shared" si="18"/>
        <v>5.9368142045941293E-3</v>
      </c>
      <c r="S57" s="2"/>
      <c r="T57" s="6">
        <v>10798.83</v>
      </c>
      <c r="U57" s="2"/>
      <c r="V57" s="7">
        <f t="shared" si="19"/>
        <v>4.1977326872141372E-3</v>
      </c>
      <c r="W57" s="2"/>
      <c r="X57" s="6">
        <f t="shared" si="20"/>
        <v>2013.6299999999992</v>
      </c>
      <c r="Y57" s="2"/>
      <c r="Z57" s="7">
        <f t="shared" si="21"/>
        <v>0.18646742285969861</v>
      </c>
    </row>
    <row r="58" spans="1:26" s="24" customFormat="1" hidden="1" outlineLevel="2" x14ac:dyDescent="0.25">
      <c r="A58" s="27"/>
      <c r="B58" s="11" t="str">
        <f>CONCATENATE("          ", "6112", " - ", "COMPENSATION INSURANCE")</f>
        <v xml:space="preserve">          6112 - COMPENSATION INSURANCE</v>
      </c>
      <c r="C58" s="11"/>
      <c r="D58" s="6">
        <v>202.37</v>
      </c>
      <c r="E58" s="2"/>
      <c r="F58" s="7">
        <f t="shared" si="14"/>
        <v>1.6235000855191529E-3</v>
      </c>
      <c r="G58" s="2"/>
      <c r="H58" s="6">
        <v>269.16000000000003</v>
      </c>
      <c r="I58" s="2"/>
      <c r="J58" s="7">
        <f t="shared" si="15"/>
        <v>7.260068766736954E-4</v>
      </c>
      <c r="K58" s="2"/>
      <c r="L58" s="6">
        <f t="shared" si="16"/>
        <v>-66.79000000000002</v>
      </c>
      <c r="M58" s="2"/>
      <c r="N58" s="7">
        <f t="shared" si="17"/>
        <v>-0.24814236885124094</v>
      </c>
      <c r="O58" s="11"/>
      <c r="P58" s="6">
        <v>4033.28</v>
      </c>
      <c r="Q58" s="2"/>
      <c r="R58" s="7">
        <f t="shared" si="18"/>
        <v>1.8688709268247794E-3</v>
      </c>
      <c r="S58" s="2"/>
      <c r="T58" s="6">
        <v>2288.15</v>
      </c>
      <c r="U58" s="2"/>
      <c r="V58" s="7">
        <f t="shared" si="19"/>
        <v>8.8945210251934967E-4</v>
      </c>
      <c r="W58" s="2"/>
      <c r="X58" s="6">
        <f t="shared" si="20"/>
        <v>1745.13</v>
      </c>
      <c r="Y58" s="2"/>
      <c r="Z58" s="7">
        <f t="shared" si="21"/>
        <v>0.76268164237484437</v>
      </c>
    </row>
    <row r="59" spans="1:26" s="24" customFormat="1" hidden="1" outlineLevel="2" x14ac:dyDescent="0.25">
      <c r="A59" s="27"/>
      <c r="B59" s="11" t="str">
        <f>CONCATENATE("          ", "6113", " - ", "GROUP INSURANCE")</f>
        <v xml:space="preserve">          6113 - GROUP INSURANCE</v>
      </c>
      <c r="C59" s="11"/>
      <c r="D59" s="6">
        <v>1463.9</v>
      </c>
      <c r="E59" s="2"/>
      <c r="F59" s="7">
        <f t="shared" si="14"/>
        <v>1.1744041978512072E-2</v>
      </c>
      <c r="G59" s="2"/>
      <c r="H59" s="6">
        <v>3221.63</v>
      </c>
      <c r="I59" s="2"/>
      <c r="J59" s="7">
        <f t="shared" si="15"/>
        <v>8.68972185353796E-3</v>
      </c>
      <c r="K59" s="2"/>
      <c r="L59" s="6">
        <f t="shared" si="16"/>
        <v>-1757.73</v>
      </c>
      <c r="M59" s="2"/>
      <c r="N59" s="7">
        <f t="shared" si="17"/>
        <v>-0.54560269180508003</v>
      </c>
      <c r="O59" s="11"/>
      <c r="P59" s="6">
        <v>19589.12</v>
      </c>
      <c r="Q59" s="2"/>
      <c r="R59" s="7">
        <f t="shared" si="18"/>
        <v>9.0768646982311713E-3</v>
      </c>
      <c r="S59" s="2"/>
      <c r="T59" s="6">
        <v>18543.37</v>
      </c>
      <c r="U59" s="2"/>
      <c r="V59" s="7">
        <f t="shared" si="19"/>
        <v>7.2081985159601564E-3</v>
      </c>
      <c r="W59" s="2"/>
      <c r="X59" s="6">
        <f t="shared" si="20"/>
        <v>1045.75</v>
      </c>
      <c r="Y59" s="2"/>
      <c r="Z59" s="7">
        <f t="shared" si="21"/>
        <v>5.6394819280422059E-2</v>
      </c>
    </row>
    <row r="60" spans="1:26" s="24" customFormat="1" hidden="1" outlineLevel="2" x14ac:dyDescent="0.25">
      <c r="A60" s="27"/>
      <c r="B60" s="11" t="str">
        <f>CONCATENATE("          ", "6114", " - ", "STATE UNEMPLOYMENT INSURANCE")</f>
        <v xml:space="preserve">          6114 - STATE UNEMPLOYMENT INSURANCE</v>
      </c>
      <c r="C60" s="11"/>
      <c r="D60" s="6">
        <v>27.69</v>
      </c>
      <c r="E60" s="2"/>
      <c r="F60" s="7">
        <f t="shared" si="14"/>
        <v>2.221412134606184E-4</v>
      </c>
      <c r="G60" s="2"/>
      <c r="H60" s="6">
        <v>58.81</v>
      </c>
      <c r="I60" s="2"/>
      <c r="J60" s="7">
        <f t="shared" si="15"/>
        <v>1.5862856448647654E-4</v>
      </c>
      <c r="K60" s="2"/>
      <c r="L60" s="6">
        <f t="shared" si="16"/>
        <v>-31.12</v>
      </c>
      <c r="M60" s="2"/>
      <c r="N60" s="7">
        <f t="shared" si="17"/>
        <v>-0.52916170719265432</v>
      </c>
      <c r="O60" s="11"/>
      <c r="P60" s="6">
        <v>628.71</v>
      </c>
      <c r="Q60" s="2"/>
      <c r="R60" s="7">
        <f t="shared" si="18"/>
        <v>2.9132067210905442E-4</v>
      </c>
      <c r="S60" s="2"/>
      <c r="T60" s="6">
        <v>561.92999999999995</v>
      </c>
      <c r="U60" s="2"/>
      <c r="V60" s="7">
        <f t="shared" si="19"/>
        <v>2.1843402747577655E-4</v>
      </c>
      <c r="W60" s="2"/>
      <c r="X60" s="6">
        <f t="shared" si="20"/>
        <v>66.780000000000086</v>
      </c>
      <c r="Y60" s="2"/>
      <c r="Z60" s="7">
        <f t="shared" si="21"/>
        <v>0.11884042496396365</v>
      </c>
    </row>
    <row r="61" spans="1:26" s="24" customFormat="1" hidden="1" outlineLevel="2" x14ac:dyDescent="0.25">
      <c r="A61" s="27"/>
      <c r="B61" s="11" t="str">
        <f>CONCATENATE("          ", "6115", " - ", "P.E.R.S.")</f>
        <v xml:space="preserve">          6115 - P.E.R.S.</v>
      </c>
      <c r="C61" s="11"/>
      <c r="D61" s="6">
        <v>691.88</v>
      </c>
      <c r="E61" s="2"/>
      <c r="F61" s="7">
        <f t="shared" si="14"/>
        <v>5.5505620357216559E-3</v>
      </c>
      <c r="G61" s="2"/>
      <c r="H61" s="6">
        <v>496.79</v>
      </c>
      <c r="I61" s="2"/>
      <c r="J61" s="7">
        <f t="shared" si="15"/>
        <v>1.3399946361373353E-3</v>
      </c>
      <c r="K61" s="2"/>
      <c r="L61" s="6">
        <f t="shared" si="16"/>
        <v>195.08999999999997</v>
      </c>
      <c r="M61" s="2"/>
      <c r="N61" s="7">
        <f t="shared" si="17"/>
        <v>0.39270114132732131</v>
      </c>
      <c r="O61" s="11"/>
      <c r="P61" s="6">
        <v>8124.52</v>
      </c>
      <c r="Q61" s="2"/>
      <c r="R61" s="7">
        <f t="shared" si="18"/>
        <v>3.7645983473516484E-3</v>
      </c>
      <c r="S61" s="2"/>
      <c r="T61" s="6">
        <v>7077.08</v>
      </c>
      <c r="U61" s="2"/>
      <c r="V61" s="7">
        <f t="shared" si="19"/>
        <v>2.751010067389655E-3</v>
      </c>
      <c r="W61" s="2"/>
      <c r="X61" s="6">
        <f t="shared" si="20"/>
        <v>1047.4400000000005</v>
      </c>
      <c r="Y61" s="2"/>
      <c r="Z61" s="7">
        <f t="shared" si="21"/>
        <v>0.14800454424706241</v>
      </c>
    </row>
    <row r="62" spans="1:26" s="24" customFormat="1" hidden="1" outlineLevel="2" x14ac:dyDescent="0.25">
      <c r="A62" s="27"/>
      <c r="B62" s="11" t="str">
        <f>CONCATENATE("          ", "6118", " - ", "VACATION")</f>
        <v xml:space="preserve">          6118 - VACATION</v>
      </c>
      <c r="C62" s="11"/>
      <c r="D62" s="6">
        <v>1041.69</v>
      </c>
      <c r="E62" s="2"/>
      <c r="F62" s="7">
        <f t="shared" si="14"/>
        <v>8.356889875398758E-3</v>
      </c>
      <c r="G62" s="2"/>
      <c r="H62" s="6">
        <v>604.32000000000005</v>
      </c>
      <c r="I62" s="2"/>
      <c r="J62" s="7">
        <f t="shared" si="15"/>
        <v>1.6300359478059431E-3</v>
      </c>
      <c r="K62" s="2"/>
      <c r="L62" s="6">
        <f t="shared" si="16"/>
        <v>437.37</v>
      </c>
      <c r="M62" s="2"/>
      <c r="N62" s="7">
        <f t="shared" si="17"/>
        <v>0.72373907863383635</v>
      </c>
      <c r="O62" s="11"/>
      <c r="P62" s="6">
        <v>9080.02</v>
      </c>
      <c r="Q62" s="2"/>
      <c r="R62" s="7">
        <f t="shared" si="18"/>
        <v>4.2073412688897211E-3</v>
      </c>
      <c r="S62" s="2"/>
      <c r="T62" s="6">
        <v>6323.26</v>
      </c>
      <c r="U62" s="2"/>
      <c r="V62" s="7">
        <f t="shared" si="19"/>
        <v>2.4579843549489776E-3</v>
      </c>
      <c r="W62" s="2"/>
      <c r="X62" s="6">
        <f t="shared" si="20"/>
        <v>2756.76</v>
      </c>
      <c r="Y62" s="2"/>
      <c r="Z62" s="7">
        <f t="shared" si="21"/>
        <v>0.43597131859199212</v>
      </c>
    </row>
    <row r="63" spans="1:26" s="24" customFormat="1" hidden="1" outlineLevel="2" x14ac:dyDescent="0.25">
      <c r="A63" s="27"/>
      <c r="B63" s="11" t="str">
        <f>CONCATENATE("          ", "6119", " - ", "SICK LEAVE")</f>
        <v xml:space="preserve">          6119 - SICK LEAVE</v>
      </c>
      <c r="C63" s="11"/>
      <c r="D63" s="6">
        <v>734.04</v>
      </c>
      <c r="E63" s="2"/>
      <c r="F63" s="7">
        <f t="shared" si="14"/>
        <v>5.8887878775237389E-3</v>
      </c>
      <c r="G63" s="2"/>
      <c r="H63" s="6">
        <v>362.3</v>
      </c>
      <c r="I63" s="2"/>
      <c r="J63" s="7">
        <f t="shared" si="15"/>
        <v>9.7723395533838553E-4</v>
      </c>
      <c r="K63" s="2"/>
      <c r="L63" s="6">
        <f t="shared" si="16"/>
        <v>371.73999999999995</v>
      </c>
      <c r="M63" s="2"/>
      <c r="N63" s="7">
        <f t="shared" si="17"/>
        <v>1.0260557548992546</v>
      </c>
      <c r="O63" s="11"/>
      <c r="P63" s="6">
        <v>12796.65</v>
      </c>
      <c r="Q63" s="2"/>
      <c r="R63" s="7">
        <f t="shared" si="18"/>
        <v>5.9294884425956816E-3</v>
      </c>
      <c r="S63" s="2"/>
      <c r="T63" s="6">
        <v>4912.3900000000003</v>
      </c>
      <c r="U63" s="2"/>
      <c r="V63" s="7">
        <f t="shared" si="19"/>
        <v>1.909549467427847E-3</v>
      </c>
      <c r="W63" s="2"/>
      <c r="X63" s="6">
        <f t="shared" si="20"/>
        <v>7884.2599999999993</v>
      </c>
      <c r="Y63" s="2"/>
      <c r="Z63" s="7">
        <f t="shared" si="21"/>
        <v>1.6049743607490445</v>
      </c>
    </row>
    <row r="64" spans="1:26" s="24" customFormat="1" hidden="1" outlineLevel="2" x14ac:dyDescent="0.25">
      <c r="A64" s="27"/>
      <c r="B64" s="11" t="str">
        <f>CONCATENATE("          ", "6156", " - ", "EMPLOYEE MEALS")</f>
        <v xml:space="preserve">          6156 - EMPLOYEE MEALS</v>
      </c>
      <c r="C64" s="11"/>
      <c r="D64" s="6">
        <v>146.5</v>
      </c>
      <c r="E64" s="2"/>
      <c r="F64" s="7">
        <f t="shared" si="14"/>
        <v>1.1752866656547704E-3</v>
      </c>
      <c r="G64" s="2"/>
      <c r="H64" s="6"/>
      <c r="I64" s="2"/>
      <c r="J64" s="7">
        <f t="shared" si="15"/>
        <v>0</v>
      </c>
      <c r="K64" s="2"/>
      <c r="L64" s="6">
        <f t="shared" si="16"/>
        <v>146.5</v>
      </c>
      <c r="M64" s="2"/>
      <c r="N64" s="7">
        <f t="shared" si="17"/>
        <v>0</v>
      </c>
      <c r="O64" s="11"/>
      <c r="P64" s="6">
        <v>1959.28</v>
      </c>
      <c r="Q64" s="2"/>
      <c r="R64" s="7">
        <f t="shared" si="18"/>
        <v>9.0785698724344798E-4</v>
      </c>
      <c r="S64" s="2"/>
      <c r="T64" s="6">
        <v>1040.0899999999999</v>
      </c>
      <c r="U64" s="2"/>
      <c r="V64" s="7">
        <f t="shared" si="19"/>
        <v>4.043048914229182E-4</v>
      </c>
      <c r="W64" s="2"/>
      <c r="X64" s="6">
        <f t="shared" si="20"/>
        <v>919.19</v>
      </c>
      <c r="Y64" s="2"/>
      <c r="Z64" s="7">
        <f t="shared" si="21"/>
        <v>0.88376005922564405</v>
      </c>
    </row>
    <row r="65" spans="1:26" s="25" customFormat="1" outlineLevel="1" collapsed="1" x14ac:dyDescent="0.25">
      <c r="A65" s="26"/>
      <c r="B65" s="13" t="str">
        <f>CONCATENATE("     ","*Payroll                                          ")</f>
        <v xml:space="preserve">     *Payroll                                          </v>
      </c>
      <c r="C65" s="13"/>
      <c r="D65" s="1">
        <f>SUM(OSRRefD22_1x_0)</f>
        <v>11078.05</v>
      </c>
      <c r="E65" s="1"/>
      <c r="F65" s="5">
        <f t="shared" ref="F65:F71" si="22">IF(D$12=0,0,D65/D$12)</f>
        <v>8.8872931375131942E-2</v>
      </c>
      <c r="G65" s="1"/>
      <c r="H65" s="1">
        <f>SUM(OSRRefH22_1x_0)</f>
        <v>23462.760000000002</v>
      </c>
      <c r="I65" s="1"/>
      <c r="J65" s="5">
        <f t="shared" ref="J65:J71" si="23">IF(H$12=0,0,H65/H$12)</f>
        <v>6.3286242776580903E-2</v>
      </c>
      <c r="K65" s="1"/>
      <c r="L65" s="1">
        <f t="shared" ref="L65:L71" si="24">+D65-H65</f>
        <v>-12384.710000000003</v>
      </c>
      <c r="M65" s="1"/>
      <c r="N65" s="5">
        <f t="shared" ref="N65:N71" si="25">IF(H65=0,0,L65/H65)</f>
        <v>-0.52784540267214952</v>
      </c>
      <c r="O65" s="13"/>
      <c r="P65" s="1">
        <f>SUM(OSRRefP22_1x_0)</f>
        <v>230205.64999999997</v>
      </c>
      <c r="Q65" s="1"/>
      <c r="R65" s="5">
        <f t="shared" ref="R65:R71" si="26">IF(P$12=0,0,P65/P$12)</f>
        <v>0.10666867821619146</v>
      </c>
      <c r="S65" s="1"/>
      <c r="T65" s="1">
        <f>SUM(OSRRefT22_1x_0)</f>
        <v>224442.40000000002</v>
      </c>
      <c r="U65" s="1"/>
      <c r="V65" s="5">
        <f t="shared" ref="V65:V71" si="27">IF(T$12=0,0,T65/T$12)</f>
        <v>8.7245488527626647E-2</v>
      </c>
      <c r="W65" s="1"/>
      <c r="X65" s="1">
        <f t="shared" ref="X65:X71" si="28">+P65-T65</f>
        <v>5763.2499999999418</v>
      </c>
      <c r="Y65" s="1"/>
      <c r="Z65" s="5">
        <f t="shared" ref="Z65:Z71" si="29">IF(T65=0,0,X65/T65)</f>
        <v>2.5678080433999731E-2</v>
      </c>
    </row>
    <row r="66" spans="1:26" s="24" customFormat="1" hidden="1" outlineLevel="2" x14ac:dyDescent="0.25">
      <c r="A66" s="27"/>
      <c r="B66" s="11" t="str">
        <f>CONCATENATE("          ", "6002", " - ", "STAFF SALARIES")</f>
        <v xml:space="preserve">          6002 - STAFF SALARIES</v>
      </c>
      <c r="C66" s="11"/>
      <c r="D66" s="6">
        <v>4738.78</v>
      </c>
      <c r="E66" s="2"/>
      <c r="F66" s="7">
        <f t="shared" si="22"/>
        <v>3.8016552528815792E-2</v>
      </c>
      <c r="G66" s="2"/>
      <c r="H66" s="6">
        <v>5598.85</v>
      </c>
      <c r="I66" s="2"/>
      <c r="J66" s="7">
        <f t="shared" si="23"/>
        <v>1.5101811567337343E-2</v>
      </c>
      <c r="K66" s="2"/>
      <c r="L66" s="6">
        <f t="shared" si="24"/>
        <v>-860.07000000000062</v>
      </c>
      <c r="M66" s="2"/>
      <c r="N66" s="7">
        <f t="shared" si="25"/>
        <v>-0.15361547460639249</v>
      </c>
      <c r="O66" s="11"/>
      <c r="P66" s="6">
        <v>73348.01999999999</v>
      </c>
      <c r="Q66" s="2"/>
      <c r="R66" s="7">
        <f t="shared" si="26"/>
        <v>3.3986725969474579E-2</v>
      </c>
      <c r="S66" s="2"/>
      <c r="T66" s="6">
        <v>88182.18</v>
      </c>
      <c r="U66" s="2"/>
      <c r="V66" s="7">
        <f t="shared" si="27"/>
        <v>3.427827083265509E-2</v>
      </c>
      <c r="W66" s="2"/>
      <c r="X66" s="6">
        <f t="shared" si="28"/>
        <v>-14834.160000000003</v>
      </c>
      <c r="Y66" s="2"/>
      <c r="Z66" s="7">
        <f t="shared" si="29"/>
        <v>-0.16822174276027202</v>
      </c>
    </row>
    <row r="67" spans="1:26" s="24" customFormat="1" hidden="1" outlineLevel="2" x14ac:dyDescent="0.25">
      <c r="A67" s="27"/>
      <c r="B67" s="11" t="str">
        <f>CONCATENATE("          ", "6004", " - ", "STAFF HOURLY")</f>
        <v xml:space="preserve">          6004 - STAFF HOURLY</v>
      </c>
      <c r="C67" s="11"/>
      <c r="D67" s="6">
        <v>4882.32</v>
      </c>
      <c r="E67" s="2"/>
      <c r="F67" s="7">
        <f t="shared" si="22"/>
        <v>3.9168092788120126E-2</v>
      </c>
      <c r="G67" s="2"/>
      <c r="H67" s="6"/>
      <c r="I67" s="2"/>
      <c r="J67" s="7">
        <f t="shared" si="23"/>
        <v>0</v>
      </c>
      <c r="K67" s="2"/>
      <c r="L67" s="6">
        <f t="shared" si="24"/>
        <v>4882.32</v>
      </c>
      <c r="M67" s="2"/>
      <c r="N67" s="7">
        <f t="shared" si="25"/>
        <v>0</v>
      </c>
      <c r="O67" s="11"/>
      <c r="P67" s="6">
        <v>12748.51</v>
      </c>
      <c r="Q67" s="2"/>
      <c r="R67" s="7">
        <f t="shared" si="26"/>
        <v>5.9071821691861134E-3</v>
      </c>
      <c r="S67" s="2"/>
      <c r="T67" s="6"/>
      <c r="U67" s="2"/>
      <c r="V67" s="7">
        <f t="shared" si="27"/>
        <v>0</v>
      </c>
      <c r="W67" s="2"/>
      <c r="X67" s="6">
        <f t="shared" si="28"/>
        <v>12748.51</v>
      </c>
      <c r="Y67" s="2"/>
      <c r="Z67" s="7">
        <f t="shared" si="29"/>
        <v>0</v>
      </c>
    </row>
    <row r="68" spans="1:26" s="24" customFormat="1" hidden="1" outlineLevel="2" x14ac:dyDescent="0.25">
      <c r="A68" s="27"/>
      <c r="B68" s="11" t="str">
        <f>CONCATENATE("          ", "6005", " - ", "TEMPORARY WAGES-HOURLY")</f>
        <v xml:space="preserve">          6005 - TEMPORARY WAGES-HOURLY</v>
      </c>
      <c r="C68" s="11"/>
      <c r="D68" s="6"/>
      <c r="E68" s="2"/>
      <c r="F68" s="7">
        <f t="shared" si="22"/>
        <v>0</v>
      </c>
      <c r="G68" s="2"/>
      <c r="H68" s="6">
        <v>5113.84</v>
      </c>
      <c r="I68" s="2"/>
      <c r="J68" s="7">
        <f t="shared" si="23"/>
        <v>1.3793591195604884E-2</v>
      </c>
      <c r="K68" s="2"/>
      <c r="L68" s="6">
        <f t="shared" si="24"/>
        <v>-5113.84</v>
      </c>
      <c r="M68" s="2"/>
      <c r="N68" s="7">
        <f t="shared" si="25"/>
        <v>-1</v>
      </c>
      <c r="O68" s="11"/>
      <c r="P68" s="6">
        <v>29609.279999999999</v>
      </c>
      <c r="Q68" s="2"/>
      <c r="R68" s="7">
        <f t="shared" si="26"/>
        <v>1.3719831639810378E-2</v>
      </c>
      <c r="S68" s="2"/>
      <c r="T68" s="6">
        <v>38148.380000000005</v>
      </c>
      <c r="U68" s="2"/>
      <c r="V68" s="7">
        <f t="shared" si="27"/>
        <v>1.4829078862271753E-2</v>
      </c>
      <c r="W68" s="2"/>
      <c r="X68" s="6">
        <f t="shared" si="28"/>
        <v>-8539.1000000000058</v>
      </c>
      <c r="Y68" s="2"/>
      <c r="Z68" s="7">
        <f t="shared" si="29"/>
        <v>-0.22383912501658013</v>
      </c>
    </row>
    <row r="69" spans="1:26" s="24" customFormat="1" hidden="1" outlineLevel="2" x14ac:dyDescent="0.25">
      <c r="A69" s="27"/>
      <c r="B69" s="11" t="str">
        <f>CONCATENATE("          ", "6006", " - ", "TEMPORARY PART TIME")</f>
        <v xml:space="preserve">          6006 - TEMPORARY PART TIME</v>
      </c>
      <c r="C69" s="11"/>
      <c r="D69" s="6"/>
      <c r="E69" s="2"/>
      <c r="F69" s="7">
        <f t="shared" si="22"/>
        <v>0</v>
      </c>
      <c r="G69" s="2"/>
      <c r="H69" s="6">
        <v>1348.32</v>
      </c>
      <c r="I69" s="2"/>
      <c r="J69" s="7">
        <f t="shared" si="23"/>
        <v>3.6368315944296215E-3</v>
      </c>
      <c r="K69" s="2"/>
      <c r="L69" s="6">
        <f t="shared" si="24"/>
        <v>-1348.32</v>
      </c>
      <c r="M69" s="2"/>
      <c r="N69" s="7">
        <f t="shared" si="25"/>
        <v>-1</v>
      </c>
      <c r="O69" s="11"/>
      <c r="P69" s="6">
        <v>911.29</v>
      </c>
      <c r="Q69" s="2"/>
      <c r="R69" s="7">
        <f t="shared" si="26"/>
        <v>4.2225766297062267E-4</v>
      </c>
      <c r="S69" s="2"/>
      <c r="T69" s="6">
        <v>9565.92</v>
      </c>
      <c r="U69" s="2"/>
      <c r="V69" s="7">
        <f t="shared" si="27"/>
        <v>3.7184746002368275E-3</v>
      </c>
      <c r="W69" s="2"/>
      <c r="X69" s="6">
        <f t="shared" si="28"/>
        <v>-8654.630000000001</v>
      </c>
      <c r="Y69" s="2"/>
      <c r="Z69" s="7">
        <f t="shared" si="29"/>
        <v>-0.90473577031796215</v>
      </c>
    </row>
    <row r="70" spans="1:26" s="24" customFormat="1" hidden="1" outlineLevel="2" x14ac:dyDescent="0.25">
      <c r="A70" s="27"/>
      <c r="B70" s="11" t="str">
        <f>CONCATENATE("          ", "6007", " - ", "STUDENT HOURLY")</f>
        <v xml:space="preserve">          6007 - STUDENT HOURLY</v>
      </c>
      <c r="C70" s="11"/>
      <c r="D70" s="6">
        <v>1456.95</v>
      </c>
      <c r="E70" s="2"/>
      <c r="F70" s="7">
        <f t="shared" si="22"/>
        <v>1.1688286058196027E-2</v>
      </c>
      <c r="G70" s="2"/>
      <c r="H70" s="6">
        <v>11293.75</v>
      </c>
      <c r="I70" s="2"/>
      <c r="J70" s="7">
        <f t="shared" si="23"/>
        <v>3.0462699373731413E-2</v>
      </c>
      <c r="K70" s="2"/>
      <c r="L70" s="6">
        <f t="shared" si="24"/>
        <v>-9836.7999999999993</v>
      </c>
      <c r="M70" s="2"/>
      <c r="N70" s="7">
        <f t="shared" si="25"/>
        <v>-0.87099501936912005</v>
      </c>
      <c r="O70" s="11"/>
      <c r="P70" s="6">
        <v>113393.54999999999</v>
      </c>
      <c r="Q70" s="2"/>
      <c r="R70" s="7">
        <f t="shared" si="26"/>
        <v>5.2542325076476701E-2</v>
      </c>
      <c r="S70" s="2"/>
      <c r="T70" s="6">
        <v>87724.67</v>
      </c>
      <c r="U70" s="2"/>
      <c r="V70" s="7">
        <f t="shared" si="27"/>
        <v>3.4100427058678898E-2</v>
      </c>
      <c r="W70" s="2"/>
      <c r="X70" s="6">
        <f t="shared" si="28"/>
        <v>25668.87999999999</v>
      </c>
      <c r="Y70" s="2"/>
      <c r="Z70" s="7">
        <f t="shared" si="29"/>
        <v>0.29260731331334722</v>
      </c>
    </row>
    <row r="71" spans="1:26" s="24" customFormat="1" hidden="1" outlineLevel="2" x14ac:dyDescent="0.25">
      <c r="A71" s="27"/>
      <c r="B71" s="11" t="str">
        <f>CONCATENATE("          ", "6008", " - ", "STUDENT HOURLY-FICA EXEMPT")</f>
        <v xml:space="preserve">          6008 - STUDENT HOURLY-FICA EXEMPT</v>
      </c>
      <c r="C71" s="11"/>
      <c r="D71" s="6"/>
      <c r="E71" s="2"/>
      <c r="F71" s="7">
        <f t="shared" si="22"/>
        <v>0</v>
      </c>
      <c r="G71" s="2"/>
      <c r="H71" s="6">
        <v>108</v>
      </c>
      <c r="I71" s="2"/>
      <c r="J71" s="7">
        <f t="shared" si="23"/>
        <v>2.9130904547763079E-4</v>
      </c>
      <c r="K71" s="2"/>
      <c r="L71" s="6">
        <f t="shared" si="24"/>
        <v>-108</v>
      </c>
      <c r="M71" s="2"/>
      <c r="N71" s="7">
        <f t="shared" si="25"/>
        <v>-1</v>
      </c>
      <c r="O71" s="11"/>
      <c r="P71" s="6">
        <v>195</v>
      </c>
      <c r="Q71" s="2"/>
      <c r="R71" s="7">
        <f t="shared" si="26"/>
        <v>9.0355698273075996E-5</v>
      </c>
      <c r="S71" s="2"/>
      <c r="T71" s="6">
        <v>821.25</v>
      </c>
      <c r="U71" s="2"/>
      <c r="V71" s="7">
        <f t="shared" si="27"/>
        <v>3.1923717378406829E-4</v>
      </c>
      <c r="W71" s="2"/>
      <c r="X71" s="6">
        <f t="shared" si="28"/>
        <v>-626.25</v>
      </c>
      <c r="Y71" s="2"/>
      <c r="Z71" s="7">
        <f t="shared" si="29"/>
        <v>-0.76255707762557079</v>
      </c>
    </row>
    <row r="72" spans="1:26" s="25" customFormat="1" outlineLevel="1" collapsed="1" x14ac:dyDescent="0.25">
      <c r="A72" s="26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0</v>
      </c>
      <c r="E72" s="1"/>
      <c r="F72" s="5">
        <f t="shared" ref="F72:F76" si="30">IF(D$12=0,0,D72/D$12)</f>
        <v>0</v>
      </c>
      <c r="G72" s="1"/>
      <c r="H72" s="1">
        <f>SUM(OSRRefH22_2x_0)</f>
        <v>597.53</v>
      </c>
      <c r="I72" s="1"/>
      <c r="J72" s="5">
        <f t="shared" ref="J72:J76" si="31">IF(H$12=0,0,H72/H$12)</f>
        <v>1.6117212402245252E-3</v>
      </c>
      <c r="K72" s="1"/>
      <c r="L72" s="1">
        <f t="shared" ref="L72:L76" si="32">+D72-H72</f>
        <v>-597.53</v>
      </c>
      <c r="M72" s="1"/>
      <c r="N72" s="5">
        <f t="shared" ref="N72:N76" si="33">IF(H72=0,0,L72/H72)</f>
        <v>-1</v>
      </c>
      <c r="O72" s="13"/>
      <c r="P72" s="1">
        <f>SUM(OSRRefP22_2x_0)</f>
        <v>18186.2</v>
      </c>
      <c r="Q72" s="1"/>
      <c r="R72" s="5">
        <f t="shared" ref="R72:R76" si="34">IF(P$12=0,0,P72/P$12)</f>
        <v>8.4268041022246918E-3</v>
      </c>
      <c r="S72" s="1"/>
      <c r="T72" s="1">
        <f>SUM(OSRRefT22_2x_0)</f>
        <v>4747.8</v>
      </c>
      <c r="U72" s="1"/>
      <c r="V72" s="5">
        <f t="shared" ref="V72:V76" si="35">IF(T$12=0,0,T72/T$12)</f>
        <v>1.8455698675092841E-3</v>
      </c>
      <c r="W72" s="1"/>
      <c r="X72" s="1">
        <f t="shared" ref="X72:X76" si="36">+P72-T72</f>
        <v>13438.400000000001</v>
      </c>
      <c r="Y72" s="1"/>
      <c r="Z72" s="5">
        <f t="shared" ref="Z72:Z76" si="37">IF(T72=0,0,X72/T72)</f>
        <v>2.8304477863431488</v>
      </c>
    </row>
    <row r="73" spans="1:26" s="24" customFormat="1" hidden="1" outlineLevel="2" x14ac:dyDescent="0.25">
      <c r="A73" s="27"/>
      <c r="B73" s="11" t="str">
        <f>CONCATENATE("          ", "6362", " - ", "ADVERTISING EXPENSE")</f>
        <v xml:space="preserve">          6362 - ADVERTISING EXPENSE</v>
      </c>
      <c r="C73" s="11"/>
      <c r="D73" s="6"/>
      <c r="E73" s="2"/>
      <c r="F73" s="7">
        <f t="shared" si="30"/>
        <v>0</v>
      </c>
      <c r="G73" s="2"/>
      <c r="H73" s="6">
        <v>597.53</v>
      </c>
      <c r="I73" s="2"/>
      <c r="J73" s="7">
        <f t="shared" si="31"/>
        <v>1.6117212402245252E-3</v>
      </c>
      <c r="K73" s="2"/>
      <c r="L73" s="6">
        <f t="shared" si="32"/>
        <v>-597.53</v>
      </c>
      <c r="M73" s="2"/>
      <c r="N73" s="7">
        <f t="shared" si="33"/>
        <v>-1</v>
      </c>
      <c r="O73" s="11"/>
      <c r="P73" s="6">
        <v>18186.2</v>
      </c>
      <c r="Q73" s="2"/>
      <c r="R73" s="7">
        <f t="shared" si="34"/>
        <v>8.4268041022246918E-3</v>
      </c>
      <c r="S73" s="2"/>
      <c r="T73" s="6">
        <v>4747.8</v>
      </c>
      <c r="U73" s="2"/>
      <c r="V73" s="7">
        <f t="shared" si="35"/>
        <v>1.8455698675092841E-3</v>
      </c>
      <c r="W73" s="2"/>
      <c r="X73" s="6">
        <f t="shared" si="36"/>
        <v>13438.400000000001</v>
      </c>
      <c r="Y73" s="2"/>
      <c r="Z73" s="7">
        <f t="shared" si="37"/>
        <v>2.8304477863431488</v>
      </c>
    </row>
    <row r="74" spans="1:26" s="25" customFormat="1" outlineLevel="1" collapsed="1" x14ac:dyDescent="0.25">
      <c r="A74" s="26"/>
      <c r="B74" s="13" t="str">
        <f>CONCATENATE("     ","Discounts and Markdowns                           ")</f>
        <v xml:space="preserve">     Discounts and Markdowns                           </v>
      </c>
      <c r="C74" s="13"/>
      <c r="D74" s="1">
        <f>SUM(OSRRefD22_3x_0)</f>
        <v>30989.040000000001</v>
      </c>
      <c r="E74" s="1"/>
      <c r="F74" s="5">
        <f t="shared" si="30"/>
        <v>0.24860754603032295</v>
      </c>
      <c r="G74" s="1"/>
      <c r="H74" s="1">
        <f>SUM(OSRRefH22_3x_0)</f>
        <v>24831.1</v>
      </c>
      <c r="I74" s="1"/>
      <c r="J74" s="5">
        <f t="shared" si="31"/>
        <v>6.6977074436662939E-2</v>
      </c>
      <c r="K74" s="1"/>
      <c r="L74" s="1">
        <f t="shared" si="32"/>
        <v>6157.9400000000023</v>
      </c>
      <c r="M74" s="1"/>
      <c r="N74" s="5">
        <f t="shared" si="33"/>
        <v>0.24799304098489405</v>
      </c>
      <c r="O74" s="13"/>
      <c r="P74" s="1">
        <f>SUM(OSRRefP22_3x_0)</f>
        <v>217280.53999999998</v>
      </c>
      <c r="Q74" s="1"/>
      <c r="R74" s="5">
        <f t="shared" si="34"/>
        <v>0.10067966621974882</v>
      </c>
      <c r="S74" s="1"/>
      <c r="T74" s="1">
        <f>SUM(OSRRefT22_3x_0)</f>
        <v>213794.16</v>
      </c>
      <c r="U74" s="1"/>
      <c r="V74" s="5">
        <f t="shared" si="35"/>
        <v>8.3106293345435497E-2</v>
      </c>
      <c r="W74" s="1"/>
      <c r="X74" s="1">
        <f t="shared" si="36"/>
        <v>3486.3799999999756</v>
      </c>
      <c r="Y74" s="1"/>
      <c r="Z74" s="5">
        <f t="shared" si="37"/>
        <v>1.6307180701287515E-2</v>
      </c>
    </row>
    <row r="75" spans="1:26" s="24" customFormat="1" hidden="1" outlineLevel="2" x14ac:dyDescent="0.25">
      <c r="A75" s="27"/>
      <c r="B75" s="11" t="str">
        <f>CONCATENATE("          ", "6382", " - ", "DISCOUNTS/MARK DOWNS")</f>
        <v xml:space="preserve">          6382 - DISCOUNTS/MARK DOWNS</v>
      </c>
      <c r="C75" s="11"/>
      <c r="D75" s="6">
        <v>30989.040000000001</v>
      </c>
      <c r="E75" s="2"/>
      <c r="F75" s="7">
        <f t="shared" si="30"/>
        <v>0.24860754603032295</v>
      </c>
      <c r="G75" s="2"/>
      <c r="H75" s="6">
        <v>24831.1</v>
      </c>
      <c r="I75" s="2"/>
      <c r="J75" s="7">
        <f t="shared" si="31"/>
        <v>6.6977074436662939E-2</v>
      </c>
      <c r="K75" s="2"/>
      <c r="L75" s="6">
        <f t="shared" si="32"/>
        <v>6157.9400000000023</v>
      </c>
      <c r="M75" s="2"/>
      <c r="N75" s="7">
        <f t="shared" si="33"/>
        <v>0.24799304098489405</v>
      </c>
      <c r="O75" s="11"/>
      <c r="P75" s="6">
        <v>217299.93</v>
      </c>
      <c r="Q75" s="2"/>
      <c r="R75" s="7">
        <f t="shared" si="34"/>
        <v>0.10068865081969505</v>
      </c>
      <c r="S75" s="2"/>
      <c r="T75" s="6">
        <v>213800.02</v>
      </c>
      <c r="U75" s="2"/>
      <c r="V75" s="7">
        <f t="shared" si="35"/>
        <v>8.3108571250870358E-2</v>
      </c>
      <c r="W75" s="2"/>
      <c r="X75" s="6">
        <f t="shared" si="36"/>
        <v>3499.9100000000035</v>
      </c>
      <c r="Y75" s="2"/>
      <c r="Z75" s="7">
        <f t="shared" si="37"/>
        <v>1.6370017177734612E-2</v>
      </c>
    </row>
    <row r="76" spans="1:26" s="24" customFormat="1" hidden="1" outlineLevel="2" x14ac:dyDescent="0.25">
      <c r="A76" s="27"/>
      <c r="B76" s="11" t="str">
        <f>CONCATENATE("          ", "9175", " - ", "EARNED DISCOUNTS")</f>
        <v xml:space="preserve">          9175 - EARNED DISCOUNTS</v>
      </c>
      <c r="C76" s="11"/>
      <c r="D76" s="6"/>
      <c r="E76" s="2"/>
      <c r="F76" s="7">
        <f t="shared" si="30"/>
        <v>0</v>
      </c>
      <c r="G76" s="2"/>
      <c r="H76" s="6"/>
      <c r="I76" s="2"/>
      <c r="J76" s="7">
        <f t="shared" si="31"/>
        <v>0</v>
      </c>
      <c r="K76" s="2"/>
      <c r="L76" s="6">
        <f t="shared" si="32"/>
        <v>0</v>
      </c>
      <c r="M76" s="2"/>
      <c r="N76" s="7">
        <f t="shared" si="33"/>
        <v>0</v>
      </c>
      <c r="O76" s="11"/>
      <c r="P76" s="6">
        <v>-19.39</v>
      </c>
      <c r="Q76" s="2"/>
      <c r="R76" s="7">
        <f t="shared" si="34"/>
        <v>-8.984599946230481E-6</v>
      </c>
      <c r="S76" s="2"/>
      <c r="T76" s="6">
        <v>-5.86</v>
      </c>
      <c r="U76" s="2"/>
      <c r="V76" s="7">
        <f t="shared" si="35"/>
        <v>-2.2779054348549653E-6</v>
      </c>
      <c r="W76" s="2"/>
      <c r="X76" s="6">
        <f t="shared" si="36"/>
        <v>-13.530000000000001</v>
      </c>
      <c r="Y76" s="2"/>
      <c r="Z76" s="7">
        <f t="shared" si="37"/>
        <v>2.308873720136519</v>
      </c>
    </row>
    <row r="77" spans="1:26" s="25" customFormat="1" outlineLevel="1" collapsed="1" x14ac:dyDescent="0.25">
      <c r="A77" s="26"/>
      <c r="B77" s="13" t="str">
        <f>CONCATENATE("     ","Employees' Appreciation                           ")</f>
        <v xml:space="preserve">     Employees' Appreciation                           </v>
      </c>
      <c r="C77" s="13"/>
      <c r="D77" s="1">
        <f>SUM(OSRRefD22_4x_0)</f>
        <v>0</v>
      </c>
      <c r="E77" s="1"/>
      <c r="F77" s="5">
        <f t="shared" ref="F77:F81" si="38">IF(D$12=0,0,D77/D$12)</f>
        <v>0</v>
      </c>
      <c r="G77" s="1"/>
      <c r="H77" s="1">
        <f>SUM(OSRRefH22_4x_0)</f>
        <v>15.25</v>
      </c>
      <c r="I77" s="1"/>
      <c r="J77" s="5">
        <f t="shared" ref="J77:J81" si="39">IF(H$12=0,0,H77/H$12)</f>
        <v>4.1133916143832123E-5</v>
      </c>
      <c r="K77" s="1"/>
      <c r="L77" s="1">
        <f t="shared" ref="L77:L81" si="40">+D77-H77</f>
        <v>-15.25</v>
      </c>
      <c r="M77" s="1"/>
      <c r="N77" s="5">
        <f t="shared" ref="N77:N81" si="41">IF(H77=0,0,L77/H77)</f>
        <v>-1</v>
      </c>
      <c r="O77" s="13"/>
      <c r="P77" s="1">
        <f>SUM(OSRRefP22_4x_0)</f>
        <v>255.44</v>
      </c>
      <c r="Q77" s="1"/>
      <c r="R77" s="5">
        <f t="shared" ref="R77:R81" si="42">IF(P$12=0,0,P77/P$12)</f>
        <v>1.1836133111217709E-4</v>
      </c>
      <c r="S77" s="1"/>
      <c r="T77" s="1">
        <f>SUM(OSRRefT22_4x_0)</f>
        <v>544.36</v>
      </c>
      <c r="U77" s="1"/>
      <c r="V77" s="5">
        <f t="shared" ref="V77:V81" si="43">IF(T$12=0,0,T77/T$12)</f>
        <v>2.1160419838185137E-4</v>
      </c>
      <c r="W77" s="1"/>
      <c r="X77" s="1">
        <f t="shared" ref="X77:X81" si="44">+P77-T77</f>
        <v>-288.92</v>
      </c>
      <c r="Y77" s="1"/>
      <c r="Z77" s="5">
        <f t="shared" ref="Z77:Z81" si="45">IF(T77=0,0,X77/T77)</f>
        <v>-0.53075170842824604</v>
      </c>
    </row>
    <row r="78" spans="1:26" s="24" customFormat="1" hidden="1" outlineLevel="2" x14ac:dyDescent="0.25">
      <c r="A78" s="27"/>
      <c r="B78" s="11" t="str">
        <f>CONCATENATE("          ", "6277", " - ", "EMPLOYEE APPRECIATION")</f>
        <v xml:space="preserve">          6277 - EMPLOYEE APPRECIATION</v>
      </c>
      <c r="C78" s="11"/>
      <c r="D78" s="6"/>
      <c r="E78" s="2"/>
      <c r="F78" s="7">
        <f t="shared" si="38"/>
        <v>0</v>
      </c>
      <c r="G78" s="2"/>
      <c r="H78" s="6">
        <v>15.25</v>
      </c>
      <c r="I78" s="2"/>
      <c r="J78" s="7">
        <f t="shared" si="39"/>
        <v>4.1133916143832123E-5</v>
      </c>
      <c r="K78" s="2"/>
      <c r="L78" s="6">
        <f t="shared" si="40"/>
        <v>-15.25</v>
      </c>
      <c r="M78" s="2"/>
      <c r="N78" s="7">
        <f t="shared" si="41"/>
        <v>-1</v>
      </c>
      <c r="O78" s="11"/>
      <c r="P78" s="6">
        <v>255.44</v>
      </c>
      <c r="Q78" s="2"/>
      <c r="R78" s="7">
        <f t="shared" si="42"/>
        <v>1.1836133111217709E-4</v>
      </c>
      <c r="S78" s="2"/>
      <c r="T78" s="6">
        <v>544.36</v>
      </c>
      <c r="U78" s="2"/>
      <c r="V78" s="7">
        <f t="shared" si="43"/>
        <v>2.1160419838185137E-4</v>
      </c>
      <c r="W78" s="2"/>
      <c r="X78" s="6">
        <f t="shared" si="44"/>
        <v>-288.92</v>
      </c>
      <c r="Y78" s="2"/>
      <c r="Z78" s="7">
        <f t="shared" si="45"/>
        <v>-0.53075170842824604</v>
      </c>
    </row>
    <row r="79" spans="1:26" s="25" customFormat="1" outlineLevel="1" collapsed="1" x14ac:dyDescent="0.25">
      <c r="A79" s="26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37.69</v>
      </c>
      <c r="E79" s="1"/>
      <c r="F79" s="5">
        <f t="shared" si="38"/>
        <v>3.0236555923910101E-4</v>
      </c>
      <c r="G79" s="1"/>
      <c r="H79" s="1">
        <f>SUM(OSRRefH22_5x_0)</f>
        <v>0</v>
      </c>
      <c r="I79" s="1"/>
      <c r="J79" s="5">
        <f t="shared" si="39"/>
        <v>0</v>
      </c>
      <c r="K79" s="1"/>
      <c r="L79" s="1">
        <f t="shared" si="40"/>
        <v>37.69</v>
      </c>
      <c r="M79" s="1"/>
      <c r="N79" s="5">
        <f t="shared" si="41"/>
        <v>0</v>
      </c>
      <c r="O79" s="13"/>
      <c r="P79" s="1">
        <f>SUM(OSRRefP22_5x_0)</f>
        <v>118.87</v>
      </c>
      <c r="Q79" s="1"/>
      <c r="R79" s="5">
        <f t="shared" si="42"/>
        <v>5.5079906942156642E-5</v>
      </c>
      <c r="S79" s="1"/>
      <c r="T79" s="1">
        <f>SUM(OSRRefT22_5x_0)</f>
        <v>32.6</v>
      </c>
      <c r="U79" s="1"/>
      <c r="V79" s="5">
        <f t="shared" si="43"/>
        <v>1.2672306685370626E-5</v>
      </c>
      <c r="W79" s="1"/>
      <c r="X79" s="1">
        <f t="shared" si="44"/>
        <v>86.27000000000001</v>
      </c>
      <c r="Y79" s="1"/>
      <c r="Z79" s="5">
        <f t="shared" si="45"/>
        <v>2.6463190184049084</v>
      </c>
    </row>
    <row r="80" spans="1:26" s="24" customFormat="1" hidden="1" outlineLevel="2" x14ac:dyDescent="0.25">
      <c r="A80" s="27"/>
      <c r="B80" s="11" t="str">
        <f>CONCATENATE("          ", "6305", " - ", "FREIGHT OUT")</f>
        <v xml:space="preserve">          6305 - FREIGHT OUT</v>
      </c>
      <c r="C80" s="11"/>
      <c r="D80" s="6">
        <v>37.69</v>
      </c>
      <c r="E80" s="2"/>
      <c r="F80" s="7">
        <f t="shared" si="38"/>
        <v>3.0236555923910101E-4</v>
      </c>
      <c r="G80" s="2"/>
      <c r="H80" s="6"/>
      <c r="I80" s="2"/>
      <c r="J80" s="7">
        <f t="shared" si="39"/>
        <v>0</v>
      </c>
      <c r="K80" s="2"/>
      <c r="L80" s="6">
        <f t="shared" si="40"/>
        <v>37.69</v>
      </c>
      <c r="M80" s="2"/>
      <c r="N80" s="7">
        <f t="shared" si="41"/>
        <v>0</v>
      </c>
      <c r="O80" s="11"/>
      <c r="P80" s="6">
        <v>118.37</v>
      </c>
      <c r="Q80" s="2"/>
      <c r="R80" s="7">
        <f t="shared" si="42"/>
        <v>5.4848225664533366E-5</v>
      </c>
      <c r="S80" s="2"/>
      <c r="T80" s="6">
        <v>32.6</v>
      </c>
      <c r="U80" s="2"/>
      <c r="V80" s="7">
        <f t="shared" si="43"/>
        <v>1.2672306685370626E-5</v>
      </c>
      <c r="W80" s="2"/>
      <c r="X80" s="6">
        <f t="shared" si="44"/>
        <v>85.77000000000001</v>
      </c>
      <c r="Y80" s="2"/>
      <c r="Z80" s="7">
        <f t="shared" si="45"/>
        <v>2.6309815950920248</v>
      </c>
    </row>
    <row r="81" spans="1:26" s="24" customFormat="1" hidden="1" outlineLevel="2" x14ac:dyDescent="0.25">
      <c r="A81" s="27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8"/>
        <v>0</v>
      </c>
      <c r="G81" s="2"/>
      <c r="H81" s="6"/>
      <c r="I81" s="2"/>
      <c r="J81" s="7">
        <f t="shared" si="39"/>
        <v>0</v>
      </c>
      <c r="K81" s="2"/>
      <c r="L81" s="6">
        <f t="shared" si="40"/>
        <v>0</v>
      </c>
      <c r="M81" s="2"/>
      <c r="N81" s="7">
        <f t="shared" si="41"/>
        <v>0</v>
      </c>
      <c r="O81" s="11"/>
      <c r="P81" s="6">
        <v>0.5</v>
      </c>
      <c r="Q81" s="2"/>
      <c r="R81" s="7">
        <f t="shared" si="42"/>
        <v>2.316812776232718E-7</v>
      </c>
      <c r="S81" s="2"/>
      <c r="T81" s="6"/>
      <c r="U81" s="2"/>
      <c r="V81" s="7">
        <f t="shared" si="43"/>
        <v>0</v>
      </c>
      <c r="W81" s="2"/>
      <c r="X81" s="6">
        <f t="shared" si="44"/>
        <v>0.5</v>
      </c>
      <c r="Y81" s="2"/>
      <c r="Z81" s="7">
        <f t="shared" si="45"/>
        <v>0</v>
      </c>
    </row>
    <row r="82" spans="1:26" s="25" customFormat="1" outlineLevel="1" collapsed="1" x14ac:dyDescent="0.25">
      <c r="A82" s="26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1" si="46">IF(D$12=0,0,D82/D$12)</f>
        <v>0</v>
      </c>
      <c r="G82" s="1"/>
      <c r="H82" s="1">
        <f>SUM(OSRRefH22_6x_0)</f>
        <v>0</v>
      </c>
      <c r="I82" s="1"/>
      <c r="J82" s="5">
        <f t="shared" ref="J82:J91" si="47">IF(H$12=0,0,H82/H$12)</f>
        <v>0</v>
      </c>
      <c r="K82" s="1"/>
      <c r="L82" s="1">
        <f t="shared" ref="L82:L91" si="48">+D82-H82</f>
        <v>0</v>
      </c>
      <c r="M82" s="1"/>
      <c r="N82" s="5">
        <f t="shared" ref="N82:N91" si="49">IF(H82=0,0,L82/H82)</f>
        <v>0</v>
      </c>
      <c r="O82" s="13"/>
      <c r="P82" s="1">
        <f>SUM(OSRRefP22_6x_0)</f>
        <v>0</v>
      </c>
      <c r="Q82" s="1"/>
      <c r="R82" s="5">
        <f t="shared" ref="R82:R91" si="50">IF(P$12=0,0,P82/P$12)</f>
        <v>0</v>
      </c>
      <c r="S82" s="1"/>
      <c r="T82" s="1">
        <f>SUM(OSRRefT22_6x_0)</f>
        <v>33.06</v>
      </c>
      <c r="U82" s="1"/>
      <c r="V82" s="5">
        <f t="shared" ref="V82:V91" si="51">IF(T$12=0,0,T82/T$12)</f>
        <v>1.2851118374796103E-5</v>
      </c>
      <c r="W82" s="1"/>
      <c r="X82" s="1">
        <f t="shared" ref="X82:X91" si="52">+P82-T82</f>
        <v>-33.06</v>
      </c>
      <c r="Y82" s="1"/>
      <c r="Z82" s="5">
        <f t="shared" ref="Z82:Z91" si="53">IF(T82=0,0,X82/T82)</f>
        <v>-1</v>
      </c>
    </row>
    <row r="83" spans="1:26" s="24" customFormat="1" hidden="1" outlineLevel="2" x14ac:dyDescent="0.25">
      <c r="A83" s="27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46"/>
        <v>0</v>
      </c>
      <c r="G83" s="2"/>
      <c r="H83" s="6"/>
      <c r="I83" s="2"/>
      <c r="J83" s="7">
        <f t="shared" si="47"/>
        <v>0</v>
      </c>
      <c r="K83" s="2"/>
      <c r="L83" s="6">
        <f t="shared" si="48"/>
        <v>0</v>
      </c>
      <c r="M83" s="2"/>
      <c r="N83" s="7">
        <f t="shared" si="49"/>
        <v>0</v>
      </c>
      <c r="O83" s="11"/>
      <c r="P83" s="6"/>
      <c r="Q83" s="2"/>
      <c r="R83" s="7">
        <f t="shared" si="50"/>
        <v>0</v>
      </c>
      <c r="S83" s="2"/>
      <c r="T83" s="6">
        <v>33.06</v>
      </c>
      <c r="U83" s="2"/>
      <c r="V83" s="7">
        <f t="shared" si="51"/>
        <v>1.2851118374796103E-5</v>
      </c>
      <c r="W83" s="2"/>
      <c r="X83" s="6">
        <f t="shared" si="52"/>
        <v>-33.06</v>
      </c>
      <c r="Y83" s="2"/>
      <c r="Z83" s="7">
        <f t="shared" si="53"/>
        <v>-1</v>
      </c>
    </row>
    <row r="84" spans="1:26" s="25" customFormat="1" outlineLevel="1" collapsed="1" x14ac:dyDescent="0.25">
      <c r="A84" s="26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2850</v>
      </c>
      <c r="E84" s="1"/>
      <c r="F84" s="5">
        <f t="shared" si="46"/>
        <v>2.2863938546867548E-2</v>
      </c>
      <c r="G84" s="1"/>
      <c r="H84" s="1">
        <f>SUM(OSRRefH22_7x_0)</f>
        <v>1000</v>
      </c>
      <c r="I84" s="1"/>
      <c r="J84" s="5">
        <f t="shared" si="47"/>
        <v>2.6973059766447296E-3</v>
      </c>
      <c r="K84" s="1"/>
      <c r="L84" s="1">
        <f t="shared" si="48"/>
        <v>1850</v>
      </c>
      <c r="M84" s="1"/>
      <c r="N84" s="5">
        <f t="shared" si="49"/>
        <v>1.85</v>
      </c>
      <c r="O84" s="13"/>
      <c r="P84" s="1">
        <f>SUM(OSRRefP22_7x_0)</f>
        <v>28500</v>
      </c>
      <c r="Q84" s="1"/>
      <c r="R84" s="5">
        <f t="shared" si="50"/>
        <v>1.3205832824526493E-2</v>
      </c>
      <c r="S84" s="1"/>
      <c r="T84" s="1">
        <f>SUM(OSRRefT22_7x_0)</f>
        <v>10000</v>
      </c>
      <c r="U84" s="1"/>
      <c r="V84" s="5">
        <f t="shared" si="51"/>
        <v>3.8872106396842412E-3</v>
      </c>
      <c r="W84" s="1"/>
      <c r="X84" s="1">
        <f t="shared" si="52"/>
        <v>18500</v>
      </c>
      <c r="Y84" s="1"/>
      <c r="Z84" s="5">
        <f t="shared" si="53"/>
        <v>1.85</v>
      </c>
    </row>
    <row r="85" spans="1:26" s="24" customFormat="1" hidden="1" outlineLevel="2" x14ac:dyDescent="0.25">
      <c r="A85" s="27"/>
      <c r="B85" s="11" t="str">
        <f>CONCATENATE("          ", "6408", " - ", "INVENTORY ADJUSTMENT")</f>
        <v xml:space="preserve">          6408 - INVENTORY ADJUSTMENT</v>
      </c>
      <c r="C85" s="11"/>
      <c r="D85" s="6">
        <v>2850</v>
      </c>
      <c r="E85" s="2"/>
      <c r="F85" s="7">
        <f t="shared" si="46"/>
        <v>2.2863938546867548E-2</v>
      </c>
      <c r="G85" s="2"/>
      <c r="H85" s="6">
        <v>1000</v>
      </c>
      <c r="I85" s="2"/>
      <c r="J85" s="7">
        <f t="shared" si="47"/>
        <v>2.6973059766447296E-3</v>
      </c>
      <c r="K85" s="2"/>
      <c r="L85" s="6">
        <f t="shared" si="48"/>
        <v>1850</v>
      </c>
      <c r="M85" s="2"/>
      <c r="N85" s="7">
        <f t="shared" si="49"/>
        <v>1.85</v>
      </c>
      <c r="O85" s="11"/>
      <c r="P85" s="6">
        <v>28500</v>
      </c>
      <c r="Q85" s="2"/>
      <c r="R85" s="7">
        <f t="shared" si="50"/>
        <v>1.3205832824526493E-2</v>
      </c>
      <c r="S85" s="2"/>
      <c r="T85" s="6">
        <v>10000</v>
      </c>
      <c r="U85" s="2"/>
      <c r="V85" s="7">
        <f t="shared" si="51"/>
        <v>3.8872106396842412E-3</v>
      </c>
      <c r="W85" s="2"/>
      <c r="X85" s="6">
        <f t="shared" si="52"/>
        <v>18500</v>
      </c>
      <c r="Y85" s="2"/>
      <c r="Z85" s="7">
        <f t="shared" si="53"/>
        <v>1.85</v>
      </c>
    </row>
    <row r="86" spans="1:26" s="25" customFormat="1" outlineLevel="1" collapsed="1" x14ac:dyDescent="0.25">
      <c r="A86" s="26"/>
      <c r="B86" s="13" t="str">
        <f>CONCATENATE("     ","Professional Services                             ")</f>
        <v xml:space="preserve">     Professional Services                             </v>
      </c>
      <c r="C86" s="13"/>
      <c r="D86" s="1">
        <f>SUM(OSRRefD22_8x_0)</f>
        <v>2930</v>
      </c>
      <c r="E86" s="1"/>
      <c r="F86" s="5">
        <f t="shared" si="46"/>
        <v>2.3505733313095412E-2</v>
      </c>
      <c r="G86" s="1"/>
      <c r="H86" s="1">
        <f>SUM(OSRRefH22_8x_0)</f>
        <v>0</v>
      </c>
      <c r="I86" s="1"/>
      <c r="J86" s="5">
        <f t="shared" si="47"/>
        <v>0</v>
      </c>
      <c r="K86" s="1"/>
      <c r="L86" s="1">
        <f t="shared" si="48"/>
        <v>2930</v>
      </c>
      <c r="M86" s="1"/>
      <c r="N86" s="5">
        <f t="shared" si="49"/>
        <v>0</v>
      </c>
      <c r="O86" s="13"/>
      <c r="P86" s="1">
        <f>SUM(OSRRefP22_8x_0)</f>
        <v>2930</v>
      </c>
      <c r="Q86" s="1"/>
      <c r="R86" s="5">
        <f t="shared" si="50"/>
        <v>1.3576522868723726E-3</v>
      </c>
      <c r="S86" s="1"/>
      <c r="T86" s="1">
        <f>SUM(OSRRefT22_8x_0)</f>
        <v>0</v>
      </c>
      <c r="U86" s="1"/>
      <c r="V86" s="5">
        <f t="shared" si="51"/>
        <v>0</v>
      </c>
      <c r="W86" s="1"/>
      <c r="X86" s="1">
        <f t="shared" si="52"/>
        <v>2930</v>
      </c>
      <c r="Y86" s="1"/>
      <c r="Z86" s="5">
        <f t="shared" si="53"/>
        <v>0</v>
      </c>
    </row>
    <row r="87" spans="1:26" s="24" customFormat="1" hidden="1" outlineLevel="2" x14ac:dyDescent="0.25">
      <c r="A87" s="27"/>
      <c r="B87" s="11" t="str">
        <f>CONCATENATE("          ", "6336", " - ", "PROFESSIONAL SERVICES")</f>
        <v xml:space="preserve">          6336 - PROFESSIONAL SERVICES</v>
      </c>
      <c r="C87" s="11"/>
      <c r="D87" s="6">
        <v>2930</v>
      </c>
      <c r="E87" s="2"/>
      <c r="F87" s="7">
        <f t="shared" si="46"/>
        <v>2.3505733313095412E-2</v>
      </c>
      <c r="G87" s="2"/>
      <c r="H87" s="6"/>
      <c r="I87" s="2"/>
      <c r="J87" s="7">
        <f t="shared" si="47"/>
        <v>0</v>
      </c>
      <c r="K87" s="2"/>
      <c r="L87" s="6">
        <f t="shared" si="48"/>
        <v>2930</v>
      </c>
      <c r="M87" s="2"/>
      <c r="N87" s="7">
        <f t="shared" si="49"/>
        <v>0</v>
      </c>
      <c r="O87" s="11"/>
      <c r="P87" s="6">
        <v>2930</v>
      </c>
      <c r="Q87" s="2"/>
      <c r="R87" s="7">
        <f t="shared" si="50"/>
        <v>1.3576522868723726E-3</v>
      </c>
      <c r="S87" s="2"/>
      <c r="T87" s="6"/>
      <c r="U87" s="2"/>
      <c r="V87" s="7">
        <f t="shared" si="51"/>
        <v>0</v>
      </c>
      <c r="W87" s="2"/>
      <c r="X87" s="6">
        <f t="shared" si="52"/>
        <v>2930</v>
      </c>
      <c r="Y87" s="2"/>
      <c r="Z87" s="7">
        <f t="shared" si="53"/>
        <v>0</v>
      </c>
    </row>
    <row r="88" spans="1:26" s="25" customFormat="1" outlineLevel="1" collapsed="1" x14ac:dyDescent="0.25">
      <c r="A88" s="26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SUM(OSRRefD22_9x_0)</f>
        <v>0</v>
      </c>
      <c r="E88" s="1"/>
      <c r="F88" s="5">
        <f t="shared" si="46"/>
        <v>0</v>
      </c>
      <c r="G88" s="1"/>
      <c r="H88" s="1">
        <f>SUM(OSRRefH22_9x_0)</f>
        <v>0</v>
      </c>
      <c r="I88" s="1"/>
      <c r="J88" s="5">
        <f t="shared" si="47"/>
        <v>0</v>
      </c>
      <c r="K88" s="1"/>
      <c r="L88" s="1">
        <f t="shared" si="48"/>
        <v>0</v>
      </c>
      <c r="M88" s="1"/>
      <c r="N88" s="5">
        <f t="shared" si="49"/>
        <v>0</v>
      </c>
      <c r="O88" s="13"/>
      <c r="P88" s="1">
        <f>SUM(OSRRefP22_9x_0)</f>
        <v>309.77999999999997</v>
      </c>
      <c r="Q88" s="1"/>
      <c r="R88" s="5">
        <f t="shared" si="50"/>
        <v>1.4354045236427427E-4</v>
      </c>
      <c r="S88" s="1"/>
      <c r="T88" s="1">
        <f>SUM(OSRRefT22_9x_0)</f>
        <v>208.67000000000002</v>
      </c>
      <c r="U88" s="1"/>
      <c r="V88" s="5">
        <f t="shared" si="51"/>
        <v>8.1114424418291062E-5</v>
      </c>
      <c r="W88" s="1"/>
      <c r="X88" s="1">
        <f t="shared" si="52"/>
        <v>101.10999999999996</v>
      </c>
      <c r="Y88" s="1"/>
      <c r="Z88" s="5">
        <f t="shared" si="53"/>
        <v>0.48454497531988283</v>
      </c>
    </row>
    <row r="89" spans="1:26" s="24" customFormat="1" hidden="1" outlineLevel="2" x14ac:dyDescent="0.25">
      <c r="A89" s="27"/>
      <c r="B89" s="11" t="str">
        <f>CONCATENATE("          ", "6371", " - ", "COMPUTER SOFTWARE MAINTENANCE")</f>
        <v xml:space="preserve">          6371 - COMPUTER SOFTWARE MAINTENANCE</v>
      </c>
      <c r="C89" s="11"/>
      <c r="D89" s="6"/>
      <c r="E89" s="2"/>
      <c r="F89" s="7">
        <f t="shared" si="46"/>
        <v>0</v>
      </c>
      <c r="G89" s="2"/>
      <c r="H89" s="6"/>
      <c r="I89" s="2"/>
      <c r="J89" s="7">
        <f t="shared" si="47"/>
        <v>0</v>
      </c>
      <c r="K89" s="2"/>
      <c r="L89" s="6">
        <f t="shared" si="48"/>
        <v>0</v>
      </c>
      <c r="M89" s="2"/>
      <c r="N89" s="7">
        <f t="shared" si="49"/>
        <v>0</v>
      </c>
      <c r="O89" s="11"/>
      <c r="P89" s="6"/>
      <c r="Q89" s="2"/>
      <c r="R89" s="7">
        <f t="shared" si="50"/>
        <v>0</v>
      </c>
      <c r="S89" s="2"/>
      <c r="T89" s="6">
        <v>186.58</v>
      </c>
      <c r="U89" s="2"/>
      <c r="V89" s="7">
        <f t="shared" si="51"/>
        <v>7.2527576115228581E-5</v>
      </c>
      <c r="W89" s="2"/>
      <c r="X89" s="6">
        <f t="shared" si="52"/>
        <v>-186.58</v>
      </c>
      <c r="Y89" s="2"/>
      <c r="Z89" s="7">
        <f t="shared" si="53"/>
        <v>-1</v>
      </c>
    </row>
    <row r="90" spans="1:26" s="24" customFormat="1" hidden="1" outlineLevel="2" x14ac:dyDescent="0.25">
      <c r="A90" s="27"/>
      <c r="B90" s="11" t="str">
        <f>CONCATENATE("          ", "6373", " - ", "MAINTENANCE CONTRACTS")</f>
        <v xml:space="preserve">          6373 - MAINTENANCE CONTRACTS</v>
      </c>
      <c r="C90" s="11"/>
      <c r="D90" s="6"/>
      <c r="E90" s="2"/>
      <c r="F90" s="7">
        <f t="shared" si="46"/>
        <v>0</v>
      </c>
      <c r="G90" s="2"/>
      <c r="H90" s="6"/>
      <c r="I90" s="2"/>
      <c r="J90" s="7">
        <f t="shared" si="47"/>
        <v>0</v>
      </c>
      <c r="K90" s="2"/>
      <c r="L90" s="6">
        <f t="shared" si="48"/>
        <v>0</v>
      </c>
      <c r="M90" s="2"/>
      <c r="N90" s="7">
        <f t="shared" si="49"/>
        <v>0</v>
      </c>
      <c r="O90" s="11"/>
      <c r="P90" s="6">
        <v>309.77999999999997</v>
      </c>
      <c r="Q90" s="2"/>
      <c r="R90" s="7">
        <f t="shared" si="50"/>
        <v>1.4354045236427427E-4</v>
      </c>
      <c r="S90" s="2"/>
      <c r="T90" s="6"/>
      <c r="U90" s="2"/>
      <c r="V90" s="7">
        <f t="shared" si="51"/>
        <v>0</v>
      </c>
      <c r="W90" s="2"/>
      <c r="X90" s="6">
        <f t="shared" si="52"/>
        <v>309.77999999999997</v>
      </c>
      <c r="Y90" s="2"/>
      <c r="Z90" s="7">
        <f t="shared" si="53"/>
        <v>0</v>
      </c>
    </row>
    <row r="91" spans="1:26" s="24" customFormat="1" hidden="1" outlineLevel="2" x14ac:dyDescent="0.25">
      <c r="A91" s="27"/>
      <c r="B91" s="11" t="str">
        <f>CONCATENATE("          ", "6375", " - ", "OUTSIDE REPAIRS &amp; MAINTENANCE")</f>
        <v xml:space="preserve">          6375 - OUTSIDE REPAIRS &amp; MAINTENANCE</v>
      </c>
      <c r="C91" s="11"/>
      <c r="D91" s="6"/>
      <c r="E91" s="2"/>
      <c r="F91" s="7">
        <f t="shared" si="46"/>
        <v>0</v>
      </c>
      <c r="G91" s="2"/>
      <c r="H91" s="6"/>
      <c r="I91" s="2"/>
      <c r="J91" s="7">
        <f t="shared" si="47"/>
        <v>0</v>
      </c>
      <c r="K91" s="2"/>
      <c r="L91" s="6">
        <f t="shared" si="48"/>
        <v>0</v>
      </c>
      <c r="M91" s="2"/>
      <c r="N91" s="7">
        <f t="shared" si="49"/>
        <v>0</v>
      </c>
      <c r="O91" s="11"/>
      <c r="P91" s="6"/>
      <c r="Q91" s="2"/>
      <c r="R91" s="7">
        <f t="shared" si="50"/>
        <v>0</v>
      </c>
      <c r="S91" s="2"/>
      <c r="T91" s="6">
        <v>22.09</v>
      </c>
      <c r="U91" s="2"/>
      <c r="V91" s="7">
        <f t="shared" si="51"/>
        <v>8.5868483030624883E-6</v>
      </c>
      <c r="W91" s="2"/>
      <c r="X91" s="6">
        <f t="shared" si="52"/>
        <v>-22.09</v>
      </c>
      <c r="Y91" s="2"/>
      <c r="Z91" s="7">
        <f t="shared" si="53"/>
        <v>-1</v>
      </c>
    </row>
    <row r="92" spans="1:26" s="25" customFormat="1" outlineLevel="1" collapsed="1" x14ac:dyDescent="0.25">
      <c r="A92" s="26"/>
      <c r="B92" s="13" t="str">
        <f>CONCATENATE("     ","Royalty &amp; Commissions                             ")</f>
        <v xml:space="preserve">     Royalty &amp; Commissions                             </v>
      </c>
      <c r="C92" s="13"/>
      <c r="D92" s="1">
        <f>SUM(OSRRefD22_10x_0)</f>
        <v>14555.51</v>
      </c>
      <c r="E92" s="1"/>
      <c r="F92" s="5">
        <f t="shared" ref="F92:F94" si="54">IF(D$12=0,0,D92/D$12)</f>
        <v>0.11677062672221616</v>
      </c>
      <c r="G92" s="1"/>
      <c r="H92" s="1">
        <f>SUM(OSRRefH22_10x_0)</f>
        <v>8904.32</v>
      </c>
      <c r="I92" s="1"/>
      <c r="J92" s="5">
        <f t="shared" ref="J92:J94" si="55">IF(H$12=0,0,H92/H$12)</f>
        <v>2.4017675553957195E-2</v>
      </c>
      <c r="K92" s="1"/>
      <c r="L92" s="1">
        <f t="shared" ref="L92:L94" si="56">+D92-H92</f>
        <v>5651.1900000000005</v>
      </c>
      <c r="M92" s="1"/>
      <c r="N92" s="5">
        <f t="shared" ref="N92:N94" si="57">IF(H92=0,0,L92/H92)</f>
        <v>0.63465711025659466</v>
      </c>
      <c r="O92" s="13"/>
      <c r="P92" s="1">
        <f>SUM(OSRRefP22_10x_0)</f>
        <v>40841.660000000003</v>
      </c>
      <c r="Q92" s="1"/>
      <c r="R92" s="5">
        <f t="shared" ref="R92:R94" si="58">IF(P$12=0,0,P92/P$12)</f>
        <v>1.8924495938110551E-2</v>
      </c>
      <c r="S92" s="1"/>
      <c r="T92" s="1">
        <f>SUM(OSRRefT22_10x_0)</f>
        <v>54949.19</v>
      </c>
      <c r="U92" s="1"/>
      <c r="V92" s="5">
        <f t="shared" ref="V92:V94" si="59">IF(T$12=0,0,T92/T$12)</f>
        <v>2.1359907601003092E-2</v>
      </c>
      <c r="W92" s="1"/>
      <c r="X92" s="1">
        <f t="shared" ref="X92:X94" si="60">+P92-T92</f>
        <v>-14107.529999999999</v>
      </c>
      <c r="Y92" s="1"/>
      <c r="Z92" s="5">
        <f t="shared" ref="Z92:Z94" si="61">IF(T92=0,0,X92/T92)</f>
        <v>-0.25673772443233461</v>
      </c>
    </row>
    <row r="93" spans="1:26" s="24" customFormat="1" hidden="1" outlineLevel="2" x14ac:dyDescent="0.25">
      <c r="A93" s="27"/>
      <c r="B93" s="11" t="str">
        <f>CONCATENATE("          ", "6253", " - ", "ROYALTY DUE ATHLETICS-LRG")</f>
        <v xml:space="preserve">          6253 - ROYALTY DUE ATHLETICS-LRG</v>
      </c>
      <c r="C93" s="11"/>
      <c r="D93" s="6">
        <v>14555.51</v>
      </c>
      <c r="E93" s="2"/>
      <c r="F93" s="7">
        <f t="shared" si="54"/>
        <v>0.11677062672221616</v>
      </c>
      <c r="G93" s="2"/>
      <c r="H93" s="6">
        <v>6150.32</v>
      </c>
      <c r="I93" s="2"/>
      <c r="J93" s="7">
        <f t="shared" si="55"/>
        <v>1.6589294894277611E-2</v>
      </c>
      <c r="K93" s="2"/>
      <c r="L93" s="6">
        <f t="shared" si="56"/>
        <v>8405.19</v>
      </c>
      <c r="M93" s="2"/>
      <c r="N93" s="7">
        <f t="shared" si="57"/>
        <v>1.3666264519569715</v>
      </c>
      <c r="O93" s="11"/>
      <c r="P93" s="6">
        <v>32870.44</v>
      </c>
      <c r="Q93" s="2"/>
      <c r="R93" s="7">
        <f t="shared" si="58"/>
        <v>1.5230931070478198E-2</v>
      </c>
      <c r="S93" s="2"/>
      <c r="T93" s="6">
        <v>41365.990000000005</v>
      </c>
      <c r="U93" s="2"/>
      <c r="V93" s="7">
        <f t="shared" si="59"/>
        <v>1.6079831644907193E-2</v>
      </c>
      <c r="W93" s="2"/>
      <c r="X93" s="6">
        <f t="shared" si="60"/>
        <v>-8495.5500000000029</v>
      </c>
      <c r="Y93" s="2"/>
      <c r="Z93" s="7">
        <f t="shared" si="61"/>
        <v>-0.20537523700025073</v>
      </c>
    </row>
    <row r="94" spans="1:26" s="24" customFormat="1" hidden="1" outlineLevel="2" x14ac:dyDescent="0.25">
      <c r="A94" s="27"/>
      <c r="B94" s="11" t="str">
        <f>CONCATENATE("          ", "6254", " - ", "ROYALTY &amp; COMMISSIONS")</f>
        <v xml:space="preserve">          6254 - ROYALTY &amp; COMMISSIONS</v>
      </c>
      <c r="C94" s="11"/>
      <c r="D94" s="6"/>
      <c r="E94" s="2"/>
      <c r="F94" s="7">
        <f t="shared" si="54"/>
        <v>0</v>
      </c>
      <c r="G94" s="2"/>
      <c r="H94" s="6">
        <v>2754</v>
      </c>
      <c r="I94" s="2"/>
      <c r="J94" s="7">
        <f t="shared" si="55"/>
        <v>7.4283806596795844E-3</v>
      </c>
      <c r="K94" s="2"/>
      <c r="L94" s="6">
        <f t="shared" si="56"/>
        <v>-2754</v>
      </c>
      <c r="M94" s="2"/>
      <c r="N94" s="7">
        <f t="shared" si="57"/>
        <v>-1</v>
      </c>
      <c r="O94" s="11"/>
      <c r="P94" s="6">
        <v>7971.22</v>
      </c>
      <c r="Q94" s="2"/>
      <c r="R94" s="7">
        <f t="shared" si="58"/>
        <v>3.6935648676323534E-3</v>
      </c>
      <c r="S94" s="2"/>
      <c r="T94" s="6">
        <v>13583.2</v>
      </c>
      <c r="U94" s="2"/>
      <c r="V94" s="7">
        <f t="shared" si="59"/>
        <v>5.280075956095899E-3</v>
      </c>
      <c r="W94" s="2"/>
      <c r="X94" s="6">
        <f t="shared" si="60"/>
        <v>-5611.9800000000005</v>
      </c>
      <c r="Y94" s="2"/>
      <c r="Z94" s="7">
        <f t="shared" si="61"/>
        <v>-0.41315595735909066</v>
      </c>
    </row>
    <row r="95" spans="1:26" s="25" customFormat="1" outlineLevel="1" collapsed="1" x14ac:dyDescent="0.25">
      <c r="A95" s="26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SUM(OSRRefD22_11x_0)</f>
        <v>0</v>
      </c>
      <c r="E95" s="1"/>
      <c r="F95" s="5">
        <f t="shared" ref="F95:F97" si="62">IF(D$12=0,0,D95/D$12)</f>
        <v>0</v>
      </c>
      <c r="G95" s="1"/>
      <c r="H95" s="1">
        <f>SUM(OSRRefH22_11x_0)</f>
        <v>0</v>
      </c>
      <c r="I95" s="1"/>
      <c r="J95" s="5">
        <f t="shared" ref="J95:J97" si="63">IF(H$12=0,0,H95/H$12)</f>
        <v>0</v>
      </c>
      <c r="K95" s="1"/>
      <c r="L95" s="1">
        <f t="shared" ref="L95:L97" si="64">+D95-H95</f>
        <v>0</v>
      </c>
      <c r="M95" s="1"/>
      <c r="N95" s="5">
        <f t="shared" ref="N95:N97" si="65">IF(H95=0,0,L95/H95)</f>
        <v>0</v>
      </c>
      <c r="O95" s="13"/>
      <c r="P95" s="1">
        <f>SUM(OSRRefP22_11x_0)</f>
        <v>379.58</v>
      </c>
      <c r="Q95" s="1"/>
      <c r="R95" s="5">
        <f t="shared" ref="R95:R97" si="66">IF(P$12=0,0,P95/P$12)</f>
        <v>1.7588315872048301E-4</v>
      </c>
      <c r="S95" s="1"/>
      <c r="T95" s="1">
        <f>SUM(OSRRefT22_11x_0)</f>
        <v>710.02</v>
      </c>
      <c r="U95" s="1"/>
      <c r="V95" s="5">
        <f t="shared" ref="V95:V97" si="67">IF(T$12=0,0,T95/T$12)</f>
        <v>2.7599972983886049E-4</v>
      </c>
      <c r="W95" s="1"/>
      <c r="X95" s="1">
        <f t="shared" ref="X95:X97" si="68">+P95-T95</f>
        <v>-330.44</v>
      </c>
      <c r="Y95" s="1"/>
      <c r="Z95" s="5">
        <f t="shared" ref="Z95:Z97" si="69">IF(T95=0,0,X95/T95)</f>
        <v>-0.46539534097631052</v>
      </c>
    </row>
    <row r="96" spans="1:26" s="24" customFormat="1" hidden="1" outlineLevel="2" x14ac:dyDescent="0.25">
      <c r="A96" s="27"/>
      <c r="B96" s="11" t="str">
        <f>CONCATENATE("          ", "6258", " - ", "MEMBERSHIP DUES")</f>
        <v xml:space="preserve">          6258 - MEMBERSHIP DUES</v>
      </c>
      <c r="C96" s="11"/>
      <c r="D96" s="6"/>
      <c r="E96" s="2"/>
      <c r="F96" s="7">
        <f t="shared" si="62"/>
        <v>0</v>
      </c>
      <c r="G96" s="2"/>
      <c r="H96" s="6"/>
      <c r="I96" s="2"/>
      <c r="J96" s="7">
        <f t="shared" si="63"/>
        <v>0</v>
      </c>
      <c r="K96" s="2"/>
      <c r="L96" s="6">
        <f t="shared" si="64"/>
        <v>0</v>
      </c>
      <c r="M96" s="2"/>
      <c r="N96" s="7">
        <f t="shared" si="65"/>
        <v>0</v>
      </c>
      <c r="O96" s="11"/>
      <c r="P96" s="6">
        <v>82.94</v>
      </c>
      <c r="Q96" s="2"/>
      <c r="R96" s="7">
        <f t="shared" si="66"/>
        <v>3.8431290332148322E-5</v>
      </c>
      <c r="S96" s="2"/>
      <c r="T96" s="6">
        <v>129.88</v>
      </c>
      <c r="U96" s="2"/>
      <c r="V96" s="7">
        <f t="shared" si="67"/>
        <v>5.0487091788218925E-5</v>
      </c>
      <c r="W96" s="2"/>
      <c r="X96" s="6">
        <f t="shared" si="68"/>
        <v>-46.94</v>
      </c>
      <c r="Y96" s="2"/>
      <c r="Z96" s="7">
        <f t="shared" si="69"/>
        <v>-0.36141053279950724</v>
      </c>
    </row>
    <row r="97" spans="1:26" s="24" customFormat="1" hidden="1" outlineLevel="2" x14ac:dyDescent="0.25">
      <c r="A97" s="27"/>
      <c r="B97" s="11" t="str">
        <f>CONCATENATE("          ", "6275", " - ", "SUBSCRIPTIONS")</f>
        <v xml:space="preserve">          6275 - SUBSCRIPTIONS</v>
      </c>
      <c r="C97" s="11"/>
      <c r="D97" s="6"/>
      <c r="E97" s="2"/>
      <c r="F97" s="7">
        <f t="shared" si="62"/>
        <v>0</v>
      </c>
      <c r="G97" s="2"/>
      <c r="H97" s="6"/>
      <c r="I97" s="2"/>
      <c r="J97" s="7">
        <f t="shared" si="63"/>
        <v>0</v>
      </c>
      <c r="K97" s="2"/>
      <c r="L97" s="6">
        <f t="shared" si="64"/>
        <v>0</v>
      </c>
      <c r="M97" s="2"/>
      <c r="N97" s="7">
        <f t="shared" si="65"/>
        <v>0</v>
      </c>
      <c r="O97" s="11"/>
      <c r="P97" s="6">
        <v>296.64</v>
      </c>
      <c r="Q97" s="2"/>
      <c r="R97" s="7">
        <f t="shared" si="66"/>
        <v>1.3745186838833468E-4</v>
      </c>
      <c r="S97" s="2"/>
      <c r="T97" s="6">
        <v>580.14</v>
      </c>
      <c r="U97" s="2"/>
      <c r="V97" s="7">
        <f t="shared" si="67"/>
        <v>2.2551263805064157E-4</v>
      </c>
      <c r="W97" s="2"/>
      <c r="X97" s="6">
        <f t="shared" si="68"/>
        <v>-283.5</v>
      </c>
      <c r="Y97" s="2"/>
      <c r="Z97" s="7">
        <f t="shared" si="69"/>
        <v>-0.48867514737821904</v>
      </c>
    </row>
    <row r="98" spans="1:26" s="25" customFormat="1" outlineLevel="1" collapsed="1" x14ac:dyDescent="0.25">
      <c r="A98" s="26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SUM(OSRRefD22_12x_0)</f>
        <v>140.1</v>
      </c>
      <c r="E98" s="1"/>
      <c r="F98" s="5">
        <f t="shared" ref="F98:F103" si="70">IF(D$12=0,0,D98/D$12)</f>
        <v>1.1239430843565416E-3</v>
      </c>
      <c r="G98" s="1"/>
      <c r="H98" s="1">
        <f>SUM(OSRRefH22_12x_0)</f>
        <v>243.96</v>
      </c>
      <c r="I98" s="1"/>
      <c r="J98" s="5">
        <f t="shared" ref="J98:J103" si="71">IF(H$12=0,0,H98/H$12)</f>
        <v>6.5803476606224819E-4</v>
      </c>
      <c r="K98" s="1"/>
      <c r="L98" s="1">
        <f t="shared" ref="L98:L103" si="72">+D98-H98</f>
        <v>-103.86000000000001</v>
      </c>
      <c r="M98" s="1"/>
      <c r="N98" s="5">
        <f t="shared" ref="N98:N103" si="73">IF(H98=0,0,L98/H98)</f>
        <v>-0.42572552877520908</v>
      </c>
      <c r="O98" s="13"/>
      <c r="P98" s="1">
        <f>SUM(OSRRefP22_12x_0)</f>
        <v>3555.94</v>
      </c>
      <c r="Q98" s="1"/>
      <c r="R98" s="5">
        <f t="shared" ref="R98:R103" si="74">IF(P$12=0,0,P98/P$12)</f>
        <v>1.6476894447033943E-3</v>
      </c>
      <c r="S98" s="1"/>
      <c r="T98" s="1">
        <f>SUM(OSRRefT22_12x_0)</f>
        <v>3340.3199999999997</v>
      </c>
      <c r="U98" s="1"/>
      <c r="V98" s="5">
        <f t="shared" ref="V98:V103" si="75">IF(T$12=0,0,T98/T$12)</f>
        <v>1.2984527443950064E-3</v>
      </c>
      <c r="W98" s="1"/>
      <c r="X98" s="1">
        <f t="shared" ref="X98:X103" si="76">+P98-T98</f>
        <v>215.62000000000035</v>
      </c>
      <c r="Y98" s="1"/>
      <c r="Z98" s="5">
        <f t="shared" ref="Z98:Z103" si="77">IF(T98=0,0,X98/T98)</f>
        <v>6.4550701729175763E-2</v>
      </c>
    </row>
    <row r="99" spans="1:26" s="24" customFormat="1" hidden="1" outlineLevel="2" x14ac:dyDescent="0.25">
      <c r="A99" s="27"/>
      <c r="B99" s="11" t="str">
        <f>CONCATENATE("          ", "6234", " - ", "EXPENDABLE SUPPLIES &amp; EQUIPMEN")</f>
        <v xml:space="preserve">          6234 - EXPENDABLE SUPPLIES &amp; EQUIPMEN</v>
      </c>
      <c r="C99" s="11"/>
      <c r="D99" s="6">
        <v>140.1</v>
      </c>
      <c r="E99" s="2"/>
      <c r="F99" s="7">
        <f t="shared" si="70"/>
        <v>1.1239430843565416E-3</v>
      </c>
      <c r="G99" s="2"/>
      <c r="H99" s="6"/>
      <c r="I99" s="2"/>
      <c r="J99" s="7">
        <f t="shared" si="71"/>
        <v>0</v>
      </c>
      <c r="K99" s="2"/>
      <c r="L99" s="6">
        <f t="shared" si="72"/>
        <v>140.1</v>
      </c>
      <c r="M99" s="2"/>
      <c r="N99" s="7">
        <f t="shared" si="73"/>
        <v>0</v>
      </c>
      <c r="O99" s="11"/>
      <c r="P99" s="6">
        <v>672.38</v>
      </c>
      <c r="Q99" s="2"/>
      <c r="R99" s="7">
        <f t="shared" si="74"/>
        <v>3.1155571489667098E-4</v>
      </c>
      <c r="S99" s="2"/>
      <c r="T99" s="6">
        <v>165.95</v>
      </c>
      <c r="U99" s="2"/>
      <c r="V99" s="7">
        <f t="shared" si="75"/>
        <v>6.4508260565559973E-5</v>
      </c>
      <c r="W99" s="2"/>
      <c r="X99" s="6">
        <f t="shared" si="76"/>
        <v>506.43</v>
      </c>
      <c r="Y99" s="2"/>
      <c r="Z99" s="7">
        <f t="shared" si="77"/>
        <v>3.0517023199758966</v>
      </c>
    </row>
    <row r="100" spans="1:26" s="24" customFormat="1" hidden="1" outlineLevel="2" x14ac:dyDescent="0.25">
      <c r="A100" s="27"/>
      <c r="B100" s="11" t="str">
        <f>CONCATENATE("          ", "6241", " - ", "OFFICE EXPENSE")</f>
        <v xml:space="preserve">          6241 - OFFICE EXPENSE</v>
      </c>
      <c r="C100" s="11"/>
      <c r="D100" s="6"/>
      <c r="E100" s="2"/>
      <c r="F100" s="7">
        <f t="shared" si="70"/>
        <v>0</v>
      </c>
      <c r="G100" s="2"/>
      <c r="H100" s="6">
        <v>169.71</v>
      </c>
      <c r="I100" s="2"/>
      <c r="J100" s="7">
        <f t="shared" si="71"/>
        <v>4.5775979729637705E-4</v>
      </c>
      <c r="K100" s="2"/>
      <c r="L100" s="6">
        <f t="shared" si="72"/>
        <v>-169.71</v>
      </c>
      <c r="M100" s="2"/>
      <c r="N100" s="7">
        <f t="shared" si="73"/>
        <v>-1</v>
      </c>
      <c r="O100" s="11"/>
      <c r="P100" s="6">
        <v>2649.5</v>
      </c>
      <c r="Q100" s="2"/>
      <c r="R100" s="7">
        <f t="shared" si="74"/>
        <v>1.2276790901257172E-3</v>
      </c>
      <c r="S100" s="2"/>
      <c r="T100" s="6">
        <v>1130.6400000000001</v>
      </c>
      <c r="U100" s="2"/>
      <c r="V100" s="7">
        <f t="shared" si="75"/>
        <v>4.3950358376525906E-4</v>
      </c>
      <c r="W100" s="2"/>
      <c r="X100" s="6">
        <f t="shared" si="76"/>
        <v>1518.86</v>
      </c>
      <c r="Y100" s="2"/>
      <c r="Z100" s="7">
        <f t="shared" si="77"/>
        <v>1.343363051015354</v>
      </c>
    </row>
    <row r="101" spans="1:26" s="24" customFormat="1" hidden="1" outlineLevel="2" x14ac:dyDescent="0.25">
      <c r="A101" s="27"/>
      <c r="B101" s="11" t="str">
        <f>CONCATENATE("          ", "6245", " - ", "PRINTING")</f>
        <v xml:space="preserve">          6245 - PRINTING</v>
      </c>
      <c r="C101" s="11"/>
      <c r="D101" s="6"/>
      <c r="E101" s="2"/>
      <c r="F101" s="7">
        <f t="shared" si="70"/>
        <v>0</v>
      </c>
      <c r="G101" s="2"/>
      <c r="H101" s="6"/>
      <c r="I101" s="2"/>
      <c r="J101" s="7">
        <f t="shared" si="71"/>
        <v>0</v>
      </c>
      <c r="K101" s="2"/>
      <c r="L101" s="6">
        <f t="shared" si="72"/>
        <v>0</v>
      </c>
      <c r="M101" s="2"/>
      <c r="N101" s="7">
        <f t="shared" si="73"/>
        <v>0</v>
      </c>
      <c r="O101" s="11"/>
      <c r="P101" s="6">
        <v>-528.98</v>
      </c>
      <c r="Q101" s="2"/>
      <c r="R101" s="7">
        <f t="shared" si="74"/>
        <v>-2.4510952447431665E-4</v>
      </c>
      <c r="S101" s="2"/>
      <c r="T101" s="6">
        <v>220.5</v>
      </c>
      <c r="U101" s="2"/>
      <c r="V101" s="7">
        <f t="shared" si="75"/>
        <v>8.5712994605037512E-5</v>
      </c>
      <c r="W101" s="2"/>
      <c r="X101" s="6">
        <f t="shared" si="76"/>
        <v>-749.48</v>
      </c>
      <c r="Y101" s="2"/>
      <c r="Z101" s="7">
        <f t="shared" si="77"/>
        <v>-3.3990022675736964</v>
      </c>
    </row>
    <row r="102" spans="1:26" s="24" customFormat="1" hidden="1" outlineLevel="2" x14ac:dyDescent="0.25">
      <c r="A102" s="27"/>
      <c r="B102" s="11" t="str">
        <f>CONCATENATE("          ", "6247", " - ", "STORE SUPPLIES")</f>
        <v xml:space="preserve">          6247 - STORE SUPPLIES</v>
      </c>
      <c r="C102" s="11"/>
      <c r="D102" s="6"/>
      <c r="E102" s="2"/>
      <c r="F102" s="7">
        <f t="shared" si="70"/>
        <v>0</v>
      </c>
      <c r="G102" s="2"/>
      <c r="H102" s="6">
        <v>74.25</v>
      </c>
      <c r="I102" s="2"/>
      <c r="J102" s="7">
        <f t="shared" si="71"/>
        <v>2.0027496876587117E-4</v>
      </c>
      <c r="K102" s="2"/>
      <c r="L102" s="6">
        <f t="shared" si="72"/>
        <v>-74.25</v>
      </c>
      <c r="M102" s="2"/>
      <c r="N102" s="7">
        <f t="shared" si="73"/>
        <v>-1</v>
      </c>
      <c r="O102" s="11"/>
      <c r="P102" s="6">
        <v>763.04</v>
      </c>
      <c r="Q102" s="2"/>
      <c r="R102" s="7">
        <f t="shared" si="74"/>
        <v>3.5356416415532259E-4</v>
      </c>
      <c r="S102" s="2"/>
      <c r="T102" s="6">
        <v>1247.95</v>
      </c>
      <c r="U102" s="2"/>
      <c r="V102" s="7">
        <f t="shared" si="75"/>
        <v>4.8510445177939491E-4</v>
      </c>
      <c r="W102" s="2"/>
      <c r="X102" s="6">
        <f t="shared" si="76"/>
        <v>-484.91000000000008</v>
      </c>
      <c r="Y102" s="2"/>
      <c r="Z102" s="7">
        <f t="shared" si="77"/>
        <v>-0.38856524700508838</v>
      </c>
    </row>
    <row r="103" spans="1:26" s="24" customFormat="1" hidden="1" outlineLevel="2" x14ac:dyDescent="0.25">
      <c r="A103" s="27"/>
      <c r="B103" s="11" t="str">
        <f>CONCATENATE("          ", "6248", " - ", "UNIFORMS")</f>
        <v xml:space="preserve">          6248 - UNIFORMS</v>
      </c>
      <c r="C103" s="11"/>
      <c r="D103" s="6"/>
      <c r="E103" s="2"/>
      <c r="F103" s="7">
        <f t="shared" si="70"/>
        <v>0</v>
      </c>
      <c r="G103" s="2"/>
      <c r="H103" s="6"/>
      <c r="I103" s="2"/>
      <c r="J103" s="7">
        <f t="shared" si="71"/>
        <v>0</v>
      </c>
      <c r="K103" s="2"/>
      <c r="L103" s="6">
        <f t="shared" si="72"/>
        <v>0</v>
      </c>
      <c r="M103" s="2"/>
      <c r="N103" s="7">
        <f t="shared" si="73"/>
        <v>0</v>
      </c>
      <c r="O103" s="11"/>
      <c r="P103" s="6"/>
      <c r="Q103" s="2"/>
      <c r="R103" s="7">
        <f t="shared" si="74"/>
        <v>0</v>
      </c>
      <c r="S103" s="2"/>
      <c r="T103" s="6">
        <v>575.28</v>
      </c>
      <c r="U103" s="2"/>
      <c r="V103" s="7">
        <f t="shared" si="75"/>
        <v>2.2362345367975503E-4</v>
      </c>
      <c r="W103" s="2"/>
      <c r="X103" s="6">
        <f t="shared" si="76"/>
        <v>-575.28</v>
      </c>
      <c r="Y103" s="2"/>
      <c r="Z103" s="7">
        <f t="shared" si="77"/>
        <v>-1</v>
      </c>
    </row>
    <row r="104" spans="1:26" s="25" customFormat="1" outlineLevel="1" collapsed="1" x14ac:dyDescent="0.25">
      <c r="A104" s="26"/>
      <c r="B104" s="13" t="str">
        <f>CONCATENATE("     ","Telephone/Data Lines                              ")</f>
        <v xml:space="preserve">     Telephone/Data Lines                              </v>
      </c>
      <c r="C104" s="13"/>
      <c r="D104" s="1">
        <f>SUM(OSRRefD22_13x_0)</f>
        <v>415.71</v>
      </c>
      <c r="E104" s="1"/>
      <c r="F104" s="5">
        <f t="shared" ref="F104:F110" si="78">IF(D$12=0,0,D104/D$12)</f>
        <v>3.3350062783573014E-3</v>
      </c>
      <c r="G104" s="1"/>
      <c r="H104" s="1">
        <f>SUM(OSRRefH22_13x_0)</f>
        <v>517.59</v>
      </c>
      <c r="I104" s="1"/>
      <c r="J104" s="5">
        <f t="shared" ref="J104:J110" si="79">IF(H$12=0,0,H104/H$12)</f>
        <v>1.3960986004515456E-3</v>
      </c>
      <c r="K104" s="1"/>
      <c r="L104" s="1">
        <f t="shared" ref="L104:L110" si="80">+D104-H104</f>
        <v>-101.88000000000005</v>
      </c>
      <c r="M104" s="1"/>
      <c r="N104" s="5">
        <f t="shared" ref="N104:N110" si="81">IF(H104=0,0,L104/H104)</f>
        <v>-0.19683533298556782</v>
      </c>
      <c r="O104" s="13"/>
      <c r="P104" s="1">
        <f>SUM(OSRRefP22_13x_0)</f>
        <v>5404.34</v>
      </c>
      <c r="Q104" s="1"/>
      <c r="R104" s="5">
        <f t="shared" ref="R104:R110" si="82">IF(P$12=0,0,P104/P$12)</f>
        <v>2.5041687918211054E-3</v>
      </c>
      <c r="S104" s="1"/>
      <c r="T104" s="1">
        <f>SUM(OSRRefT22_13x_0)</f>
        <v>5049.66</v>
      </c>
      <c r="U104" s="1"/>
      <c r="V104" s="5">
        <f t="shared" ref="V104:V110" si="83">IF(T$12=0,0,T104/T$12)</f>
        <v>1.9629092078787924E-3</v>
      </c>
      <c r="W104" s="1"/>
      <c r="X104" s="1">
        <f t="shared" ref="X104:X110" si="84">+P104-T104</f>
        <v>354.68000000000029</v>
      </c>
      <c r="Y104" s="1"/>
      <c r="Z104" s="5">
        <f t="shared" ref="Z104:Z110" si="85">IF(T104=0,0,X104/T104)</f>
        <v>7.0238392287797657E-2</v>
      </c>
    </row>
    <row r="105" spans="1:26" s="24" customFormat="1" hidden="1" outlineLevel="2" x14ac:dyDescent="0.25">
      <c r="A105" s="27"/>
      <c r="B105" s="11" t="str">
        <f>CONCATENATE("          ", "6309", " - ", "TELEPHONE")</f>
        <v xml:space="preserve">          6309 - TELEPHONE</v>
      </c>
      <c r="C105" s="11"/>
      <c r="D105" s="6">
        <v>415.71</v>
      </c>
      <c r="E105" s="2"/>
      <c r="F105" s="7">
        <f t="shared" si="78"/>
        <v>3.3350062783573014E-3</v>
      </c>
      <c r="G105" s="2"/>
      <c r="H105" s="6">
        <v>517.59</v>
      </c>
      <c r="I105" s="2"/>
      <c r="J105" s="7">
        <f t="shared" si="79"/>
        <v>1.3960986004515456E-3</v>
      </c>
      <c r="K105" s="2"/>
      <c r="L105" s="6">
        <f t="shared" si="80"/>
        <v>-101.88000000000005</v>
      </c>
      <c r="M105" s="2"/>
      <c r="N105" s="7">
        <f t="shared" si="81"/>
        <v>-0.19683533298556782</v>
      </c>
      <c r="O105" s="11"/>
      <c r="P105" s="6">
        <v>5404.34</v>
      </c>
      <c r="Q105" s="2"/>
      <c r="R105" s="7">
        <f t="shared" si="82"/>
        <v>2.5041687918211054E-3</v>
      </c>
      <c r="S105" s="2"/>
      <c r="T105" s="6">
        <v>5049.66</v>
      </c>
      <c r="U105" s="2"/>
      <c r="V105" s="7">
        <f t="shared" si="83"/>
        <v>1.9629092078787924E-3</v>
      </c>
      <c r="W105" s="2"/>
      <c r="X105" s="6">
        <f t="shared" si="84"/>
        <v>354.68000000000029</v>
      </c>
      <c r="Y105" s="2"/>
      <c r="Z105" s="7">
        <f t="shared" si="85"/>
        <v>7.0238392287797657E-2</v>
      </c>
    </row>
    <row r="106" spans="1:26" s="25" customFormat="1" outlineLevel="1" collapsed="1" x14ac:dyDescent="0.25">
      <c r="A106" s="26"/>
      <c r="B106" s="13" t="str">
        <f>CONCATENATE("     ","Training                                          ")</f>
        <v xml:space="preserve">     Training                                          </v>
      </c>
      <c r="C106" s="13"/>
      <c r="D106" s="1">
        <f>SUM(OSRRefD22_14x_0)</f>
        <v>0</v>
      </c>
      <c r="E106" s="1"/>
      <c r="F106" s="5">
        <f t="shared" si="78"/>
        <v>0</v>
      </c>
      <c r="G106" s="1"/>
      <c r="H106" s="1">
        <f>SUM(OSRRefH22_14x_0)</f>
        <v>0</v>
      </c>
      <c r="I106" s="1"/>
      <c r="J106" s="5">
        <f t="shared" si="79"/>
        <v>0</v>
      </c>
      <c r="K106" s="1"/>
      <c r="L106" s="1">
        <f t="shared" si="80"/>
        <v>0</v>
      </c>
      <c r="M106" s="1"/>
      <c r="N106" s="5">
        <f t="shared" si="81"/>
        <v>0</v>
      </c>
      <c r="O106" s="13"/>
      <c r="P106" s="1">
        <f>SUM(OSRRefP22_14x_0)</f>
        <v>3651.14</v>
      </c>
      <c r="Q106" s="1"/>
      <c r="R106" s="5">
        <f t="shared" si="82"/>
        <v>1.6918015599628651E-3</v>
      </c>
      <c r="S106" s="1"/>
      <c r="T106" s="1">
        <f>SUM(OSRRefT22_14x_0)</f>
        <v>3454.53</v>
      </c>
      <c r="U106" s="1"/>
      <c r="V106" s="5">
        <f t="shared" si="83"/>
        <v>1.3428485771108402E-3</v>
      </c>
      <c r="W106" s="1"/>
      <c r="X106" s="1">
        <f t="shared" si="84"/>
        <v>196.60999999999967</v>
      </c>
      <c r="Y106" s="1"/>
      <c r="Z106" s="5">
        <f t="shared" si="85"/>
        <v>5.6913675666443675E-2</v>
      </c>
    </row>
    <row r="107" spans="1:26" s="24" customFormat="1" hidden="1" outlineLevel="2" x14ac:dyDescent="0.25">
      <c r="A107" s="27"/>
      <c r="B107" s="11" t="str">
        <f>CONCATENATE("          ", "6376", " - ", "TRAINING")</f>
        <v xml:space="preserve">          6376 - TRAINING</v>
      </c>
      <c r="C107" s="11"/>
      <c r="D107" s="6"/>
      <c r="E107" s="2"/>
      <c r="F107" s="7">
        <f t="shared" si="78"/>
        <v>0</v>
      </c>
      <c r="G107" s="2"/>
      <c r="H107" s="6"/>
      <c r="I107" s="2"/>
      <c r="J107" s="7">
        <f t="shared" si="79"/>
        <v>0</v>
      </c>
      <c r="K107" s="2"/>
      <c r="L107" s="6">
        <f t="shared" si="80"/>
        <v>0</v>
      </c>
      <c r="M107" s="2"/>
      <c r="N107" s="7">
        <f t="shared" si="81"/>
        <v>0</v>
      </c>
      <c r="O107" s="11"/>
      <c r="P107" s="6">
        <v>3651.14</v>
      </c>
      <c r="Q107" s="2"/>
      <c r="R107" s="7">
        <f t="shared" si="82"/>
        <v>1.6918015599628651E-3</v>
      </c>
      <c r="S107" s="2"/>
      <c r="T107" s="6">
        <v>3454.53</v>
      </c>
      <c r="U107" s="2"/>
      <c r="V107" s="7">
        <f t="shared" si="83"/>
        <v>1.3428485771108402E-3</v>
      </c>
      <c r="W107" s="2"/>
      <c r="X107" s="6">
        <f t="shared" si="84"/>
        <v>196.60999999999967</v>
      </c>
      <c r="Y107" s="2"/>
      <c r="Z107" s="7">
        <f t="shared" si="85"/>
        <v>5.6913675666443675E-2</v>
      </c>
    </row>
    <row r="108" spans="1:26" s="25" customFormat="1" outlineLevel="1" collapsed="1" x14ac:dyDescent="0.25">
      <c r="A108" s="26"/>
      <c r="B108" s="13" t="str">
        <f>CONCATENATE("     ","Travel                                            ")</f>
        <v xml:space="preserve">     Travel                                            </v>
      </c>
      <c r="C108" s="13"/>
      <c r="D108" s="1">
        <f>SUM(OSRRefD22_15x_0)</f>
        <v>0</v>
      </c>
      <c r="E108" s="1"/>
      <c r="F108" s="5">
        <f t="shared" si="78"/>
        <v>0</v>
      </c>
      <c r="G108" s="1"/>
      <c r="H108" s="1">
        <f>SUM(OSRRefH22_15x_0)</f>
        <v>30</v>
      </c>
      <c r="I108" s="1"/>
      <c r="J108" s="5">
        <f t="shared" si="79"/>
        <v>8.0919179299341883E-5</v>
      </c>
      <c r="K108" s="1"/>
      <c r="L108" s="1">
        <f t="shared" si="80"/>
        <v>-30</v>
      </c>
      <c r="M108" s="1"/>
      <c r="N108" s="5">
        <f t="shared" si="81"/>
        <v>-1</v>
      </c>
      <c r="O108" s="13"/>
      <c r="P108" s="1">
        <f>SUM(OSRRefP22_15x_0)</f>
        <v>-99.159999999999982</v>
      </c>
      <c r="Q108" s="1"/>
      <c r="R108" s="5">
        <f t="shared" si="82"/>
        <v>-4.5947030978247256E-5</v>
      </c>
      <c r="S108" s="1"/>
      <c r="T108" s="1">
        <f>SUM(OSRRefT22_15x_0)</f>
        <v>109.35</v>
      </c>
      <c r="U108" s="1"/>
      <c r="V108" s="5">
        <f t="shared" si="83"/>
        <v>4.2506648344947177E-5</v>
      </c>
      <c r="W108" s="1"/>
      <c r="X108" s="1">
        <f t="shared" si="84"/>
        <v>-208.51</v>
      </c>
      <c r="Y108" s="1"/>
      <c r="Z108" s="5">
        <f t="shared" si="85"/>
        <v>-1.9068129858253315</v>
      </c>
    </row>
    <row r="109" spans="1:26" s="24" customFormat="1" hidden="1" outlineLevel="2" x14ac:dyDescent="0.25">
      <c r="A109" s="27"/>
      <c r="B109" s="11" t="str">
        <f>CONCATENATE("          ", "6292", " - ", "TRAVEL/CONFERENCE")</f>
        <v xml:space="preserve">          6292 - TRAVEL/CONFERENCE</v>
      </c>
      <c r="C109" s="11"/>
      <c r="D109" s="6"/>
      <c r="E109" s="2"/>
      <c r="F109" s="7">
        <f t="shared" si="78"/>
        <v>0</v>
      </c>
      <c r="G109" s="2"/>
      <c r="H109" s="6"/>
      <c r="I109" s="2"/>
      <c r="J109" s="7">
        <f t="shared" si="79"/>
        <v>0</v>
      </c>
      <c r="K109" s="2"/>
      <c r="L109" s="6">
        <f t="shared" si="80"/>
        <v>0</v>
      </c>
      <c r="M109" s="2"/>
      <c r="N109" s="7">
        <f t="shared" si="81"/>
        <v>0</v>
      </c>
      <c r="O109" s="11"/>
      <c r="P109" s="6">
        <v>107.04</v>
      </c>
      <c r="Q109" s="2"/>
      <c r="R109" s="7">
        <f t="shared" si="82"/>
        <v>4.9598327913590028E-5</v>
      </c>
      <c r="S109" s="2"/>
      <c r="T109" s="6"/>
      <c r="U109" s="2"/>
      <c r="V109" s="7">
        <f t="shared" si="83"/>
        <v>0</v>
      </c>
      <c r="W109" s="2"/>
      <c r="X109" s="6">
        <f t="shared" si="84"/>
        <v>107.04</v>
      </c>
      <c r="Y109" s="2"/>
      <c r="Z109" s="7">
        <f t="shared" si="85"/>
        <v>0</v>
      </c>
    </row>
    <row r="110" spans="1:26" s="24" customFormat="1" hidden="1" outlineLevel="2" x14ac:dyDescent="0.25">
      <c r="A110" s="27"/>
      <c r="B110" s="11" t="str">
        <f>CONCATENATE("          ", "6294", " - ", "TRAVEL OPERATIONAL")</f>
        <v xml:space="preserve">          6294 - TRAVEL OPERATIONAL</v>
      </c>
      <c r="C110" s="11"/>
      <c r="D110" s="6"/>
      <c r="E110" s="2"/>
      <c r="F110" s="7">
        <f t="shared" si="78"/>
        <v>0</v>
      </c>
      <c r="G110" s="2"/>
      <c r="H110" s="6">
        <v>30</v>
      </c>
      <c r="I110" s="2"/>
      <c r="J110" s="7">
        <f t="shared" si="79"/>
        <v>8.0919179299341883E-5</v>
      </c>
      <c r="K110" s="2"/>
      <c r="L110" s="6">
        <f t="shared" si="80"/>
        <v>-30</v>
      </c>
      <c r="M110" s="2"/>
      <c r="N110" s="7">
        <f t="shared" si="81"/>
        <v>-1</v>
      </c>
      <c r="O110" s="11"/>
      <c r="P110" s="6">
        <v>-206.2</v>
      </c>
      <c r="Q110" s="2"/>
      <c r="R110" s="7">
        <f t="shared" si="82"/>
        <v>-9.554535889183729E-5</v>
      </c>
      <c r="S110" s="2"/>
      <c r="T110" s="6">
        <v>109.35</v>
      </c>
      <c r="U110" s="2"/>
      <c r="V110" s="7">
        <f t="shared" si="83"/>
        <v>4.2506648344947177E-5</v>
      </c>
      <c r="W110" s="2"/>
      <c r="X110" s="6">
        <f t="shared" si="84"/>
        <v>-315.54999999999995</v>
      </c>
      <c r="Y110" s="2"/>
      <c r="Z110" s="7">
        <f t="shared" si="85"/>
        <v>-2.8856881572930955</v>
      </c>
    </row>
    <row r="111" spans="1:26" s="53" customFormat="1" x14ac:dyDescent="0.25">
      <c r="A111" s="37"/>
      <c r="B111" s="37"/>
      <c r="C111" s="37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7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25">
      <c r="A112" s="10"/>
      <c r="B112" s="29" t="s">
        <v>0</v>
      </c>
      <c r="C112" s="10"/>
      <c r="D112" s="4">
        <f>SUM(OSRRefD25x_0)</f>
        <v>54111.02</v>
      </c>
      <c r="E112" s="4"/>
      <c r="F112" s="12">
        <f t="shared" ref="F112:F113" si="86">IF(D$12=0,0,D112/D$12)</f>
        <v>0.43410211789063891</v>
      </c>
      <c r="G112" s="4"/>
      <c r="H112" s="4">
        <f>SUM(OSRRefH25x_0)</f>
        <v>37299.83</v>
      </c>
      <c r="I112" s="4"/>
      <c r="J112" s="12">
        <f t="shared" ref="J112:J113" si="87">IF(H$12=0,0,H112/H$12)</f>
        <v>0.10060905438683239</v>
      </c>
      <c r="K112" s="4"/>
      <c r="L112" s="4">
        <f t="shared" ref="L112:L113" si="88">+D112-H112</f>
        <v>16811.189999999995</v>
      </c>
      <c r="M112" s="4"/>
      <c r="N112" s="12">
        <f t="shared" ref="N112:N113" si="89">IF(H112=0,0,L112/H112)</f>
        <v>0.45070419891994129</v>
      </c>
      <c r="O112" s="10"/>
      <c r="P112" s="4">
        <f>SUM(OSRRefP25x_0)</f>
        <v>96904.89</v>
      </c>
      <c r="Q112" s="4"/>
      <c r="R112" s="12">
        <f t="shared" ref="R112:R113" si="90">IF(P$12=0,0,P112/P$12)</f>
        <v>4.4902097446285233E-2</v>
      </c>
      <c r="S112" s="4"/>
      <c r="T112" s="4">
        <f>SUM(OSRRefT25x_0)</f>
        <v>112587.23</v>
      </c>
      <c r="U112" s="4"/>
      <c r="V112" s="12">
        <f t="shared" ref="V112:V113" si="91">IF(T$12=0,0,T112/T$12)</f>
        <v>4.3765027834857674E-2</v>
      </c>
      <c r="W112" s="4"/>
      <c r="X112" s="4">
        <f t="shared" ref="X112:X113" si="92">+P112-T112</f>
        <v>-15682.339999999997</v>
      </c>
      <c r="Y112" s="4"/>
      <c r="Z112" s="12">
        <f t="shared" ref="Z112:Z113" si="93">IF(T112=0,0,X112/T112)</f>
        <v>-0.13929057496129887</v>
      </c>
    </row>
    <row r="113" spans="1:26" s="24" customFormat="1" hidden="1" outlineLevel="1" x14ac:dyDescent="0.25">
      <c r="A113" s="44"/>
      <c r="B113" s="11" t="str">
        <f>CONCATENATE("          ", "9150", " - ", "MISC. INCOME")</f>
        <v xml:space="preserve">          9150 - MISC. INCOME</v>
      </c>
      <c r="C113" s="11"/>
      <c r="D113" s="2">
        <f>--54111.02</f>
        <v>54111.02</v>
      </c>
      <c r="E113" s="2"/>
      <c r="F113" s="19">
        <f t="shared" si="86"/>
        <v>0.43410211789063891</v>
      </c>
      <c r="G113" s="2"/>
      <c r="H113" s="2">
        <f>--37299.83</f>
        <v>37299.83</v>
      </c>
      <c r="I113" s="2"/>
      <c r="J113" s="19">
        <f t="shared" si="87"/>
        <v>0.10060905438683239</v>
      </c>
      <c r="K113" s="2"/>
      <c r="L113" s="2">
        <f t="shared" si="88"/>
        <v>16811.189999999995</v>
      </c>
      <c r="M113" s="2"/>
      <c r="N113" s="19">
        <f t="shared" si="89"/>
        <v>0.45070419891994129</v>
      </c>
      <c r="O113" s="11"/>
      <c r="P113" s="2">
        <f>--96904.89</f>
        <v>96904.89</v>
      </c>
      <c r="Q113" s="2"/>
      <c r="R113" s="19">
        <f t="shared" si="90"/>
        <v>4.4902097446285233E-2</v>
      </c>
      <c r="S113" s="2"/>
      <c r="T113" s="2">
        <f>--112587.23</f>
        <v>112587.23</v>
      </c>
      <c r="U113" s="2"/>
      <c r="V113" s="19">
        <f t="shared" si="91"/>
        <v>4.3765027834857674E-2</v>
      </c>
      <c r="W113" s="2"/>
      <c r="X113" s="2">
        <f t="shared" si="92"/>
        <v>-15682.339999999997</v>
      </c>
      <c r="Y113" s="2"/>
      <c r="Z113" s="19">
        <f t="shared" si="93"/>
        <v>-0.13929057496129887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8" t="s">
        <v>3</v>
      </c>
      <c r="C115" s="28"/>
      <c r="D115" s="21">
        <f>+D53-D55+D112</f>
        <v>51624.199999999961</v>
      </c>
      <c r="E115" s="14"/>
      <c r="F115" s="20">
        <f>IF(D$12=0,0,D115/D$12)</f>
        <v>0.41415176713375396</v>
      </c>
      <c r="G115" s="14"/>
      <c r="H115" s="21">
        <f>+H53-H55+H112</f>
        <v>205524.73999999993</v>
      </c>
      <c r="I115" s="14"/>
      <c r="J115" s="20">
        <f>IF(H$12=0,0,H115/H$12)</f>
        <v>0.55436310955035395</v>
      </c>
      <c r="K115" s="15"/>
      <c r="L115" s="21">
        <f>+D115-H115</f>
        <v>-153900.53999999998</v>
      </c>
      <c r="M115" s="15"/>
      <c r="N115" s="20">
        <f>IF(H115=0,0,L115/H115)</f>
        <v>-0.74881758760526851</v>
      </c>
      <c r="O115" s="29"/>
      <c r="P115" s="21">
        <f>+P53-P55+P112</f>
        <v>626991.92000000027</v>
      </c>
      <c r="Q115" s="14"/>
      <c r="R115" s="20">
        <f>IF(P$12=0,0,P115/P$12)</f>
        <v>0.29052457817013655</v>
      </c>
      <c r="S115" s="14"/>
      <c r="T115" s="21">
        <f>+T53-T55+T112</f>
        <v>967520.07000000076</v>
      </c>
      <c r="U115" s="14"/>
      <c r="V115" s="20">
        <f>IF(T$12=0,0,T115/T$12)</f>
        <v>0.37609543102120446</v>
      </c>
      <c r="W115" s="15"/>
      <c r="X115" s="21">
        <f>+P115-T115</f>
        <v>-340528.15000000049</v>
      </c>
      <c r="Y115" s="15"/>
      <c r="Z115" s="20">
        <f>IF(T115=0,0,X115/T115)</f>
        <v>-0.35195977898422326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1"/>
      <c r="B117" s="10" t="s">
        <v>13</v>
      </c>
      <c r="C117" s="10"/>
      <c r="D117" s="4">
        <v>27148</v>
      </c>
      <c r="E117" s="4"/>
      <c r="F117" s="12">
        <f>IF(D$12=0,0,D117/D$12)</f>
        <v>0.21779305391942463</v>
      </c>
      <c r="G117" s="4"/>
      <c r="H117" s="4">
        <v>40712.85</v>
      </c>
      <c r="I117" s="4"/>
      <c r="J117" s="12">
        <f>IF(H$12=0,0,H117/H$12)</f>
        <v>0.10981501363124037</v>
      </c>
      <c r="K117" s="4"/>
      <c r="L117" s="4">
        <f>+D117-H117</f>
        <v>-13564.849999999999</v>
      </c>
      <c r="M117" s="4"/>
      <c r="N117" s="12">
        <f>IF(H117=0,0,L117/H117)</f>
        <v>-0.33318350348845632</v>
      </c>
      <c r="O117" s="10"/>
      <c r="P117" s="4">
        <v>245041.03999999998</v>
      </c>
      <c r="Q117" s="4"/>
      <c r="R117" s="12">
        <f>IF(P$12=0,0,P117/P$12)</f>
        <v>0.11354284243467049</v>
      </c>
      <c r="S117" s="4"/>
      <c r="T117" s="4">
        <v>267437.40000000002</v>
      </c>
      <c r="U117" s="4"/>
      <c r="V117" s="12">
        <f>IF(T$12=0,0,T117/T$12)</f>
        <v>0.10395855067294904</v>
      </c>
      <c r="W117" s="4"/>
      <c r="X117" s="4">
        <f>+P117-T117</f>
        <v>-22396.360000000044</v>
      </c>
      <c r="Y117" s="4"/>
      <c r="Z117" s="12">
        <f>IF(T117=0,0,X117/T117)</f>
        <v>-8.3744308013763383E-2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8" t="s">
        <v>4</v>
      </c>
      <c r="C119" s="28"/>
      <c r="D119" s="30">
        <f>+D115-D117</f>
        <v>24476.199999999961</v>
      </c>
      <c r="E119" s="14"/>
      <c r="F119" s="36">
        <f>IF(D$12=0,0,D119/D$12)</f>
        <v>0.19635871321432932</v>
      </c>
      <c r="G119" s="14"/>
      <c r="H119" s="30">
        <f>+H115-H117</f>
        <v>164811.88999999993</v>
      </c>
      <c r="I119" s="14"/>
      <c r="J119" s="36">
        <f>IF(H$12=0,0,H119/H$12)</f>
        <v>0.44454809591911354</v>
      </c>
      <c r="K119" s="15"/>
      <c r="L119" s="30">
        <f>D119-H119</f>
        <v>-140335.68999999997</v>
      </c>
      <c r="M119" s="15"/>
      <c r="N119" s="36">
        <f>IF(H119=0,0,L119/H119)</f>
        <v>-0.85149008363413603</v>
      </c>
      <c r="O119" s="29"/>
      <c r="P119" s="30">
        <f>+P115-P117</f>
        <v>381950.8800000003</v>
      </c>
      <c r="Q119" s="14"/>
      <c r="R119" s="36">
        <f>IF(P$12=0,0,P119/P$12)</f>
        <v>0.17698173573546608</v>
      </c>
      <c r="S119" s="14"/>
      <c r="T119" s="30">
        <f>+T115-T117</f>
        <v>700082.67000000074</v>
      </c>
      <c r="U119" s="14"/>
      <c r="V119" s="36">
        <f>IF(T$12=0,0,T119/T$12)</f>
        <v>0.27213688034825545</v>
      </c>
      <c r="W119" s="15"/>
      <c r="X119" s="30">
        <f>P119-T119</f>
        <v>-318131.79000000044</v>
      </c>
      <c r="Y119" s="15"/>
      <c r="Z119" s="36">
        <f>IF(T119=0,0,X119/T119)</f>
        <v>-0.45442031867465038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5</v>
      </c>
      <c r="C122" s="28"/>
      <c r="D122" s="31">
        <f>SUM(D119:D121)</f>
        <v>24476.199999999961</v>
      </c>
      <c r="E122" s="14"/>
      <c r="F122" s="32">
        <f>IF(D$12=0,0,D122/D$12)</f>
        <v>0.19635871321432932</v>
      </c>
      <c r="G122" s="14"/>
      <c r="H122" s="31">
        <f>SUM(H119:H121)</f>
        <v>164811.88999999993</v>
      </c>
      <c r="I122" s="14"/>
      <c r="J122" s="32">
        <f>IF(H$12=0,0,H122/H$12)</f>
        <v>0.44454809591911354</v>
      </c>
      <c r="K122" s="15"/>
      <c r="L122" s="31">
        <f>+D122-H122</f>
        <v>-140335.68999999997</v>
      </c>
      <c r="M122" s="15"/>
      <c r="N122" s="32">
        <f>IF(H122=0,0,L122/H122)</f>
        <v>-0.85149008363413603</v>
      </c>
      <c r="O122" s="29"/>
      <c r="P122" s="31">
        <f>SUM(P119:P121)</f>
        <v>381950.8800000003</v>
      </c>
      <c r="Q122" s="14"/>
      <c r="R122" s="32">
        <f>IF(P$12=0,0,P122/P$12)</f>
        <v>0.17698173573546608</v>
      </c>
      <c r="S122" s="14"/>
      <c r="T122" s="31">
        <f>SUM(T119:T121)</f>
        <v>700082.67000000074</v>
      </c>
      <c r="U122" s="14"/>
      <c r="V122" s="32">
        <f>IF(T$12=0,0,T122/T$12)</f>
        <v>0.27213688034825545</v>
      </c>
      <c r="W122" s="15"/>
      <c r="X122" s="31">
        <f>+P122-T122</f>
        <v>-318131.79000000044</v>
      </c>
      <c r="Y122" s="15"/>
      <c r="Z122" s="32">
        <f>IF(T122=0,0,X122/T122)</f>
        <v>-0.45442031867465038</v>
      </c>
    </row>
    <row r="123" spans="1:26" ht="15.75" thickTop="1" x14ac:dyDescent="0.25">
      <c r="A123" s="9"/>
      <c r="C123" s="9"/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A124" s="9"/>
      <c r="B124" s="54">
        <v>43965.471013692128</v>
      </c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25">
      <c r="A125" s="9"/>
      <c r="B125" s="59" t="s">
        <v>313</v>
      </c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61"/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4273.75</v>
      </c>
      <c r="E12" s="4"/>
      <c r="F12" s="12"/>
      <c r="G12" s="4"/>
      <c r="H12" s="4">
        <f>SUM(OSRRefH13x_0)</f>
        <v>82519.529999999984</v>
      </c>
      <c r="I12" s="4"/>
      <c r="J12" s="12"/>
      <c r="K12" s="4"/>
      <c r="L12" s="4">
        <f t="shared" ref="L12:L33" si="0">+D12-H12</f>
        <v>-78245.779999999984</v>
      </c>
      <c r="M12" s="4"/>
      <c r="N12" s="12">
        <f t="shared" ref="N12:N33" si="1">IF(H12=0,0,L12/H12)</f>
        <v>-0.9482092299847078</v>
      </c>
      <c r="O12" s="10"/>
      <c r="P12" s="4">
        <f>SUM(OSRRefP13x_0)</f>
        <v>491833.84999999992</v>
      </c>
      <c r="Q12" s="4"/>
      <c r="R12" s="12"/>
      <c r="S12" s="4"/>
      <c r="T12" s="4">
        <f>SUM(OSRRefT13x_0)</f>
        <v>675515.82999999984</v>
      </c>
      <c r="U12" s="4"/>
      <c r="V12" s="12"/>
      <c r="W12" s="4"/>
      <c r="X12" s="4">
        <f t="shared" ref="X12:X33" si="2">+P12-T12</f>
        <v>-183681.97999999992</v>
      </c>
      <c r="Y12" s="4"/>
      <c r="Z12" s="12">
        <f t="shared" ref="Z12:Z33" si="3">IF(T12=0,0,X12/T12)</f>
        <v>-0.27191365744900453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--24.7</f>
        <v>24.7</v>
      </c>
      <c r="E13" s="2"/>
      <c r="F13" s="19"/>
      <c r="G13" s="2"/>
      <c r="H13" s="2">
        <f>--161.5</f>
        <v>161.5</v>
      </c>
      <c r="I13" s="2"/>
      <c r="J13" s="19"/>
      <c r="K13" s="2"/>
      <c r="L13" s="2">
        <f t="shared" si="0"/>
        <v>-136.80000000000001</v>
      </c>
      <c r="M13" s="2"/>
      <c r="N13" s="19">
        <f t="shared" si="1"/>
        <v>-0.84705882352941186</v>
      </c>
      <c r="O13" s="11"/>
      <c r="P13" s="2">
        <f>--174207.25</f>
        <v>174207.25</v>
      </c>
      <c r="Q13" s="2"/>
      <c r="R13" s="19"/>
      <c r="S13" s="2"/>
      <c r="T13" s="2">
        <f>--193342.7</f>
        <v>193342.7</v>
      </c>
      <c r="U13" s="2"/>
      <c r="V13" s="19"/>
      <c r="W13" s="2"/>
      <c r="X13" s="2">
        <f t="shared" si="2"/>
        <v>-19135.450000000012</v>
      </c>
      <c r="Y13" s="2"/>
      <c r="Z13" s="19">
        <f t="shared" si="3"/>
        <v>-9.8971670510446016E-2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--262.2</f>
        <v>262.2</v>
      </c>
      <c r="E14" s="2"/>
      <c r="F14" s="19"/>
      <c r="G14" s="2"/>
      <c r="H14" s="2">
        <f>--13141.97</f>
        <v>13141.97</v>
      </c>
      <c r="I14" s="2"/>
      <c r="J14" s="19"/>
      <c r="K14" s="2"/>
      <c r="L14" s="2">
        <f t="shared" si="0"/>
        <v>-12879.769999999999</v>
      </c>
      <c r="M14" s="2"/>
      <c r="N14" s="19">
        <f t="shared" si="1"/>
        <v>-0.98004865328409663</v>
      </c>
      <c r="O14" s="11"/>
      <c r="P14" s="2">
        <f>--74446.61</f>
        <v>74446.61</v>
      </c>
      <c r="Q14" s="2"/>
      <c r="R14" s="19"/>
      <c r="S14" s="2"/>
      <c r="T14" s="2">
        <f>--79977.31</f>
        <v>79977.31</v>
      </c>
      <c r="U14" s="2"/>
      <c r="V14" s="19"/>
      <c r="W14" s="2"/>
      <c r="X14" s="2">
        <f t="shared" si="2"/>
        <v>-5530.6999999999971</v>
      </c>
      <c r="Y14" s="2"/>
      <c r="Z14" s="19">
        <f t="shared" si="3"/>
        <v>-6.9153363622757466E-2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--651</f>
        <v>651</v>
      </c>
      <c r="E15" s="2"/>
      <c r="F15" s="19"/>
      <c r="G15" s="2"/>
      <c r="H15" s="2">
        <f>--172.64</f>
        <v>172.64</v>
      </c>
      <c r="I15" s="2"/>
      <c r="J15" s="19"/>
      <c r="K15" s="2"/>
      <c r="L15" s="2">
        <f t="shared" si="0"/>
        <v>478.36</v>
      </c>
      <c r="M15" s="2"/>
      <c r="N15" s="19">
        <f t="shared" si="1"/>
        <v>2.7708526413345695</v>
      </c>
      <c r="O15" s="11"/>
      <c r="P15" s="2">
        <f>--921.72</f>
        <v>921.72</v>
      </c>
      <c r="Q15" s="2"/>
      <c r="R15" s="19"/>
      <c r="S15" s="2"/>
      <c r="T15" s="2">
        <f>--830.22</f>
        <v>830.22</v>
      </c>
      <c r="U15" s="2"/>
      <c r="V15" s="19"/>
      <c r="W15" s="2"/>
      <c r="X15" s="2">
        <f t="shared" si="2"/>
        <v>91.5</v>
      </c>
      <c r="Y15" s="2"/>
      <c r="Z15" s="19">
        <f t="shared" si="3"/>
        <v>0.11021175110211751</v>
      </c>
    </row>
    <row r="16" spans="1:26" s="24" customFormat="1" hidden="1" outlineLevel="1" x14ac:dyDescent="0.2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 t="shared" ref="D16:D18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--676</f>
        <v>676</v>
      </c>
      <c r="I17" s="2"/>
      <c r="J17" s="19"/>
      <c r="K17" s="2"/>
      <c r="L17" s="2">
        <f t="shared" si="0"/>
        <v>-676</v>
      </c>
      <c r="M17" s="2"/>
      <c r="N17" s="19">
        <f t="shared" si="1"/>
        <v>-1</v>
      </c>
      <c r="O17" s="11"/>
      <c r="P17" s="2">
        <f>--2676.14</f>
        <v>2676.14</v>
      </c>
      <c r="Q17" s="2"/>
      <c r="R17" s="19"/>
      <c r="S17" s="2"/>
      <c r="T17" s="2">
        <f>--4608.66</f>
        <v>4608.66</v>
      </c>
      <c r="U17" s="2"/>
      <c r="V17" s="19"/>
      <c r="W17" s="2"/>
      <c r="X17" s="2">
        <f t="shared" si="2"/>
        <v>-1932.52</v>
      </c>
      <c r="Y17" s="2"/>
      <c r="Z17" s="19">
        <f t="shared" si="3"/>
        <v>-0.41932362118272992</v>
      </c>
    </row>
    <row r="18" spans="1:26" s="24" customFormat="1" hidden="1" outlineLevel="1" x14ac:dyDescent="0.25">
      <c r="A18" s="44"/>
      <c r="B18" s="11" t="str">
        <f>CONCATENATE("          ", "4091", " - ", "TAXABLE SALES-GRAD ANNOUNCEMEN")</f>
        <v xml:space="preserve">          4091 - TAXABLE SALES-GRAD ANNOUNCEMEN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--471.6</f>
        <v>471.6</v>
      </c>
      <c r="U18" s="2"/>
      <c r="V18" s="19"/>
      <c r="W18" s="2"/>
      <c r="X18" s="2">
        <f t="shared" si="2"/>
        <v>-471.6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>--3214.15</f>
        <v>3214.15</v>
      </c>
      <c r="E19" s="2"/>
      <c r="F19" s="19"/>
      <c r="G19" s="2"/>
      <c r="H19" s="2">
        <f>--39254.68</f>
        <v>39254.68</v>
      </c>
      <c r="I19" s="2"/>
      <c r="J19" s="19"/>
      <c r="K19" s="2"/>
      <c r="L19" s="2">
        <f t="shared" si="0"/>
        <v>-36040.53</v>
      </c>
      <c r="M19" s="2"/>
      <c r="N19" s="19">
        <f t="shared" si="1"/>
        <v>-0.91812059097157328</v>
      </c>
      <c r="O19" s="11"/>
      <c r="P19" s="2">
        <f>--21866.37</f>
        <v>21866.37</v>
      </c>
      <c r="Q19" s="2"/>
      <c r="R19" s="19"/>
      <c r="S19" s="2"/>
      <c r="T19" s="2">
        <f>--123018.99</f>
        <v>123018.99</v>
      </c>
      <c r="U19" s="2"/>
      <c r="V19" s="19"/>
      <c r="W19" s="2"/>
      <c r="X19" s="2">
        <f t="shared" si="2"/>
        <v>-101152.62000000001</v>
      </c>
      <c r="Y19" s="2"/>
      <c r="Z19" s="19">
        <f t="shared" si="3"/>
        <v>-0.8222520766915743</v>
      </c>
    </row>
    <row r="20" spans="1:26" s="24" customFormat="1" hidden="1" outlineLevel="1" x14ac:dyDescent="0.2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 t="shared" ref="D20:D22" si="5">0</f>
        <v>0</v>
      </c>
      <c r="E20" s="2"/>
      <c r="F20" s="19"/>
      <c r="G20" s="2"/>
      <c r="H20" s="2">
        <f>--113.85</f>
        <v>113.85</v>
      </c>
      <c r="I20" s="2"/>
      <c r="J20" s="19"/>
      <c r="K20" s="2"/>
      <c r="L20" s="2">
        <f t="shared" si="0"/>
        <v>-113.85</v>
      </c>
      <c r="M20" s="2"/>
      <c r="N20" s="19">
        <f t="shared" si="1"/>
        <v>-1</v>
      </c>
      <c r="O20" s="11"/>
      <c r="P20" s="2">
        <f>--279.56</f>
        <v>279.56</v>
      </c>
      <c r="Q20" s="2"/>
      <c r="R20" s="19"/>
      <c r="S20" s="2"/>
      <c r="T20" s="2">
        <f>--2008.41</f>
        <v>2008.41</v>
      </c>
      <c r="U20" s="2"/>
      <c r="V20" s="19"/>
      <c r="W20" s="2"/>
      <c r="X20" s="2">
        <f t="shared" si="2"/>
        <v>-1728.8500000000001</v>
      </c>
      <c r="Y20" s="2"/>
      <c r="Z20" s="19">
        <f t="shared" si="3"/>
        <v>-0.86080531365607627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 t="shared" si="5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--864.6</f>
        <v>864.6</v>
      </c>
      <c r="Q21" s="2"/>
      <c r="R21" s="19"/>
      <c r="S21" s="2"/>
      <c r="T21" s="2">
        <f>--1926.3</f>
        <v>1926.3</v>
      </c>
      <c r="U21" s="2"/>
      <c r="V21" s="19"/>
      <c r="W21" s="2"/>
      <c r="X21" s="2">
        <f t="shared" si="2"/>
        <v>-1061.6999999999998</v>
      </c>
      <c r="Y21" s="2"/>
      <c r="Z21" s="19">
        <f t="shared" si="3"/>
        <v>-0.55116025541192948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 t="shared" si="5"/>
        <v>0</v>
      </c>
      <c r="E22" s="2"/>
      <c r="F22" s="19"/>
      <c r="G22" s="2"/>
      <c r="H22" s="2">
        <f>--1603</f>
        <v>1603</v>
      </c>
      <c r="I22" s="2"/>
      <c r="J22" s="19"/>
      <c r="K22" s="2"/>
      <c r="L22" s="2">
        <f t="shared" si="0"/>
        <v>-1603</v>
      </c>
      <c r="M22" s="2"/>
      <c r="N22" s="19">
        <f t="shared" si="1"/>
        <v>-1</v>
      </c>
      <c r="O22" s="11"/>
      <c r="P22" s="2">
        <f>--8924.02</f>
        <v>8924.02</v>
      </c>
      <c r="Q22" s="2"/>
      <c r="R22" s="19"/>
      <c r="S22" s="2"/>
      <c r="T22" s="2">
        <f>--12668</f>
        <v>12668</v>
      </c>
      <c r="U22" s="2"/>
      <c r="V22" s="19"/>
      <c r="W22" s="2"/>
      <c r="X22" s="2">
        <f t="shared" si="2"/>
        <v>-3743.9799999999996</v>
      </c>
      <c r="Y22" s="2"/>
      <c r="Z22" s="19">
        <f t="shared" si="3"/>
        <v>-0.29554625828860115</v>
      </c>
    </row>
    <row r="23" spans="1:26" s="24" customFormat="1" hidden="1" outlineLevel="1" x14ac:dyDescent="0.25">
      <c r="A23" s="44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--121.7</f>
        <v>121.7</v>
      </c>
      <c r="E23" s="2"/>
      <c r="F23" s="19"/>
      <c r="G23" s="2"/>
      <c r="H23" s="2">
        <f>--28198.35</f>
        <v>28198.35</v>
      </c>
      <c r="I23" s="2"/>
      <c r="J23" s="19"/>
      <c r="K23" s="2"/>
      <c r="L23" s="2">
        <f t="shared" si="0"/>
        <v>-28076.649999999998</v>
      </c>
      <c r="M23" s="2"/>
      <c r="N23" s="19">
        <f t="shared" si="1"/>
        <v>-0.99568414463966859</v>
      </c>
      <c r="O23" s="11"/>
      <c r="P23" s="2">
        <f>--205908.65</f>
        <v>205908.65</v>
      </c>
      <c r="Q23" s="2"/>
      <c r="R23" s="19"/>
      <c r="S23" s="2"/>
      <c r="T23" s="2">
        <f>--260558.54</f>
        <v>260558.54</v>
      </c>
      <c r="U23" s="2"/>
      <c r="V23" s="19"/>
      <c r="W23" s="2"/>
      <c r="X23" s="2">
        <f t="shared" si="2"/>
        <v>-54649.890000000014</v>
      </c>
      <c r="Y23" s="2"/>
      <c r="Z23" s="19">
        <f t="shared" si="3"/>
        <v>-0.20974131187563461</v>
      </c>
    </row>
    <row r="24" spans="1:26" s="24" customFormat="1" hidden="1" outlineLevel="1" x14ac:dyDescent="0.25">
      <c r="A24" s="44"/>
      <c r="B24" s="11" t="str">
        <f>CONCATENATE("          ", "4147", " - ", "NON-TAXABLE SALES-MISC")</f>
        <v xml:space="preserve">          4147 - NON-TAXABLE SALES-MISC</v>
      </c>
      <c r="C24" s="11"/>
      <c r="D24" s="2">
        <f t="shared" ref="D24:D33" si="6">0</f>
        <v>0</v>
      </c>
      <c r="E24" s="2"/>
      <c r="F24" s="19"/>
      <c r="G24" s="2"/>
      <c r="H24" s="2">
        <f>--167.5</f>
        <v>167.5</v>
      </c>
      <c r="I24" s="2"/>
      <c r="J24" s="19"/>
      <c r="K24" s="2"/>
      <c r="L24" s="2">
        <f t="shared" si="0"/>
        <v>-167.5</v>
      </c>
      <c r="M24" s="2"/>
      <c r="N24" s="19">
        <f t="shared" si="1"/>
        <v>-1</v>
      </c>
      <c r="O24" s="11"/>
      <c r="P24" s="2">
        <f>--3436.37</f>
        <v>3436.37</v>
      </c>
      <c r="Q24" s="2"/>
      <c r="R24" s="19"/>
      <c r="S24" s="2"/>
      <c r="T24" s="2">
        <f>--898.23</f>
        <v>898.23</v>
      </c>
      <c r="U24" s="2"/>
      <c r="V24" s="19"/>
      <c r="W24" s="2"/>
      <c r="X24" s="2">
        <f t="shared" si="2"/>
        <v>2538.14</v>
      </c>
      <c r="Y24" s="2"/>
      <c r="Z24" s="19">
        <f t="shared" si="3"/>
        <v>2.8257127907106194</v>
      </c>
    </row>
    <row r="25" spans="1:26" s="24" customFormat="1" hidden="1" outlineLevel="1" x14ac:dyDescent="0.25">
      <c r="A25" s="44"/>
      <c r="B25" s="11" t="str">
        <f>CONCATENATE("          ", "4192", " - ", "NON-TAXABLE SALES-GRAD MERCH")</f>
        <v xml:space="preserve">          4192 - NON-TAXABLE SALES-GRAD MERCH</v>
      </c>
      <c r="C25" s="11"/>
      <c r="D25" s="2">
        <f t="shared" si="6"/>
        <v>0</v>
      </c>
      <c r="E25" s="2"/>
      <c r="F25" s="19"/>
      <c r="G25" s="2"/>
      <c r="H25" s="2">
        <f>--313.5</f>
        <v>313.5</v>
      </c>
      <c r="I25" s="2"/>
      <c r="J25" s="19"/>
      <c r="K25" s="2"/>
      <c r="L25" s="2">
        <f t="shared" si="0"/>
        <v>-313.5</v>
      </c>
      <c r="M25" s="2"/>
      <c r="N25" s="19">
        <f t="shared" si="1"/>
        <v>-1</v>
      </c>
      <c r="O25" s="11"/>
      <c r="P25" s="2">
        <f>0</f>
        <v>0</v>
      </c>
      <c r="Q25" s="2"/>
      <c r="R25" s="19"/>
      <c r="S25" s="2"/>
      <c r="T25" s="2">
        <f>--532</f>
        <v>532</v>
      </c>
      <c r="U25" s="2"/>
      <c r="V25" s="19"/>
      <c r="W25" s="2"/>
      <c r="X25" s="2">
        <f t="shared" si="2"/>
        <v>-532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 t="shared" si="6"/>
        <v>0</v>
      </c>
      <c r="E26" s="2"/>
      <c r="F26" s="19"/>
      <c r="G26" s="2"/>
      <c r="H26" s="2">
        <f t="shared" ref="H26:H27" si="7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-1059.4</f>
        <v>-1059.4000000000001</v>
      </c>
      <c r="Q26" s="2"/>
      <c r="R26" s="19"/>
      <c r="S26" s="2"/>
      <c r="T26" s="2">
        <f>-1119.05</f>
        <v>-1119.05</v>
      </c>
      <c r="U26" s="2"/>
      <c r="V26" s="19"/>
      <c r="W26" s="2"/>
      <c r="X26" s="2">
        <f t="shared" si="2"/>
        <v>59.649999999999864</v>
      </c>
      <c r="Y26" s="2"/>
      <c r="Z26" s="19">
        <f t="shared" si="3"/>
        <v>-5.3304141906080932E-2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 t="shared" si="6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-227.7</f>
        <v>-227.7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-227.7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"4292", " - ", "SALES RETURN TAXABLE-GRAD MERC")</f>
        <v xml:space="preserve">          4292 - SALES RETURN TAXABLE-GRAD MERC</v>
      </c>
      <c r="C28" s="11"/>
      <c r="D28" s="2">
        <f t="shared" si="6"/>
        <v>0</v>
      </c>
      <c r="E28" s="2"/>
      <c r="F28" s="19"/>
      <c r="G28" s="2"/>
      <c r="H28" s="2">
        <f>-1283.46</f>
        <v>-1283.46</v>
      </c>
      <c r="I28" s="2"/>
      <c r="J28" s="19"/>
      <c r="K28" s="2"/>
      <c r="L28" s="2">
        <f t="shared" si="0"/>
        <v>1283.46</v>
      </c>
      <c r="M28" s="2"/>
      <c r="N28" s="19">
        <f t="shared" si="1"/>
        <v>-1</v>
      </c>
      <c r="O28" s="11"/>
      <c r="P28" s="2">
        <f>-513.95</f>
        <v>-513.95000000000005</v>
      </c>
      <c r="Q28" s="2"/>
      <c r="R28" s="19"/>
      <c r="S28" s="2"/>
      <c r="T28" s="2">
        <f>-3962.96</f>
        <v>-3962.96</v>
      </c>
      <c r="U28" s="2"/>
      <c r="V28" s="19"/>
      <c r="W28" s="2"/>
      <c r="X28" s="2">
        <f t="shared" si="2"/>
        <v>3449.01</v>
      </c>
      <c r="Y28" s="2"/>
      <c r="Z28" s="19">
        <f t="shared" si="3"/>
        <v>-0.87031158527968999</v>
      </c>
    </row>
    <row r="29" spans="1:26" s="24" customFormat="1" hidden="1" outlineLevel="1" x14ac:dyDescent="0.25">
      <c r="A29" s="44"/>
      <c r="B29" s="11" t="str">
        <f>CONCATENATE("          ", "4295", " - ", "SALES RETURN TAXABLE-CUSTOMER")</f>
        <v xml:space="preserve">          4295 - SALES RETURN TAXABLE-CUSTOMER</v>
      </c>
      <c r="C29" s="11"/>
      <c r="D29" s="2">
        <f t="shared" si="6"/>
        <v>0</v>
      </c>
      <c r="E29" s="2"/>
      <c r="F29" s="19"/>
      <c r="G29" s="2"/>
      <c r="H29" s="2">
        <f t="shared" ref="H29:H33" si="8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ref="P29:P30" si="9">0</f>
        <v>0</v>
      </c>
      <c r="Q29" s="2"/>
      <c r="R29" s="19"/>
      <c r="S29" s="2"/>
      <c r="T29" s="2">
        <f>-126.72</f>
        <v>-126.72</v>
      </c>
      <c r="U29" s="2"/>
      <c r="V29" s="19"/>
      <c r="W29" s="2"/>
      <c r="X29" s="2">
        <f t="shared" si="2"/>
        <v>126.72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"4341", " - ", "SALES RETURN NON TAXABLE-LOGO")</f>
        <v xml:space="preserve">          4341 - SALES RETURN NON TAXABLE-LOGO</v>
      </c>
      <c r="C30" s="11"/>
      <c r="D30" s="2">
        <f t="shared" si="6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9"/>
        <v>0</v>
      </c>
      <c r="Q30" s="2"/>
      <c r="R30" s="19"/>
      <c r="S30" s="2"/>
      <c r="T30" s="2">
        <f>-116.4</f>
        <v>-116.4</v>
      </c>
      <c r="U30" s="2"/>
      <c r="V30" s="19"/>
      <c r="W30" s="2"/>
      <c r="X30" s="2">
        <f t="shared" si="2"/>
        <v>116.4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"4342", " - ", "SALES RETURN NON TAXABLE-EVERY")</f>
        <v xml:space="preserve">          4342 - SALES RETURN NON TAXABLE-EVERY</v>
      </c>
      <c r="C31" s="11"/>
      <c r="D31" s="2">
        <f t="shared" si="6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-39.42</f>
        <v>-39.42</v>
      </c>
      <c r="Q31" s="2"/>
      <c r="R31" s="19"/>
      <c r="S31" s="2"/>
      <c r="T31" s="2">
        <f t="shared" ref="T31:T33" si="10">0</f>
        <v>0</v>
      </c>
      <c r="U31" s="2"/>
      <c r="V31" s="19"/>
      <c r="W31" s="2"/>
      <c r="X31" s="2">
        <f t="shared" si="2"/>
        <v>-39.42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"4346", " - ", "SALES RETURN NON TAXABLE-COIN-")</f>
        <v xml:space="preserve">          4346 - SALES RETURN NON TAXABLE-COIN-</v>
      </c>
      <c r="C32" s="11"/>
      <c r="D32" s="2">
        <f t="shared" si="6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-8.15</f>
        <v>-8.15</v>
      </c>
      <c r="Q32" s="2"/>
      <c r="R32" s="19"/>
      <c r="S32" s="2"/>
      <c r="T32" s="2">
        <f t="shared" si="10"/>
        <v>0</v>
      </c>
      <c r="U32" s="2"/>
      <c r="V32" s="19"/>
      <c r="W32" s="2"/>
      <c r="X32" s="2">
        <f t="shared" si="2"/>
        <v>-8.15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"4347", " - ", "SALES RETURN NON TAXABLE-MISC")</f>
        <v xml:space="preserve">          4347 - SALES RETURN NON TAXABLE-MISC</v>
      </c>
      <c r="C33" s="11"/>
      <c r="D33" s="2">
        <f t="shared" si="6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-84</f>
        <v>-84</v>
      </c>
      <c r="Q33" s="2"/>
      <c r="R33" s="19"/>
      <c r="S33" s="2"/>
      <c r="T33" s="2">
        <f t="shared" si="10"/>
        <v>0</v>
      </c>
      <c r="U33" s="2"/>
      <c r="V33" s="19"/>
      <c r="W33" s="2"/>
      <c r="X33" s="2">
        <f t="shared" si="2"/>
        <v>-84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1050.3500000000004</v>
      </c>
      <c r="E35" s="4"/>
      <c r="F35" s="12">
        <f t="shared" ref="F35:F40" si="11">IF(D$12=0,0,D35/D$12)</f>
        <v>0.24576776835331976</v>
      </c>
      <c r="G35" s="4"/>
      <c r="H35" s="4">
        <f>SUM(OSRRefH16x_0)</f>
        <v>14334.61</v>
      </c>
      <c r="I35" s="4"/>
      <c r="J35" s="12">
        <f t="shared" ref="J35:J40" si="12">IF(H$12=0,0,H35/H$12)</f>
        <v>0.1737117261816688</v>
      </c>
      <c r="K35" s="4"/>
      <c r="L35" s="4">
        <f t="shared" ref="L35:L40" si="13">+D35-H35</f>
        <v>-13284.26</v>
      </c>
      <c r="M35" s="4"/>
      <c r="N35" s="12">
        <f t="shared" ref="N35:N40" si="14">IF(H35=0,0,L35/H35)</f>
        <v>-0.92672629391382111</v>
      </c>
      <c r="O35" s="10"/>
      <c r="P35" s="4">
        <f>SUM(OSRRefP16x_0)</f>
        <v>9471.41</v>
      </c>
      <c r="Q35" s="4"/>
      <c r="R35" s="12">
        <f t="shared" ref="R35:R40" si="15">IF(P$12=0,0,P35/P$12)</f>
        <v>1.9257336598528144E-2</v>
      </c>
      <c r="S35" s="4"/>
      <c r="T35" s="4">
        <f>SUM(OSRRefT16x_0)</f>
        <v>46237.789999999994</v>
      </c>
      <c r="U35" s="4"/>
      <c r="V35" s="12">
        <f t="shared" ref="V35:V40" si="16">IF(T$12=0,0,T35/T$12)</f>
        <v>6.8448122081757878E-2</v>
      </c>
      <c r="W35" s="4"/>
      <c r="X35" s="4">
        <f t="shared" ref="X35:X40" si="17">+P35-T35</f>
        <v>-36766.37999999999</v>
      </c>
      <c r="Y35" s="4"/>
      <c r="Z35" s="12">
        <f t="shared" ref="Z35:Z40" si="18">IF(T35=0,0,X35/T35)</f>
        <v>-0.79515867864791967</v>
      </c>
    </row>
    <row r="36" spans="1:26" s="24" customFormat="1" hidden="1" outlineLevel="1" x14ac:dyDescent="0.25">
      <c r="A36" s="44"/>
      <c r="B36" s="11" t="str">
        <f>CONCATENATE("          ", "5092", " - ", "PURCHASES @ COST-GRAD MERCH")</f>
        <v xml:space="preserve">          5092 - PURCHASES @ COST-GRAD MERCH</v>
      </c>
      <c r="C36" s="11"/>
      <c r="D36" s="2">
        <v>5539.35</v>
      </c>
      <c r="E36" s="2"/>
      <c r="F36" s="19">
        <f t="shared" si="11"/>
        <v>1.296133372331091</v>
      </c>
      <c r="G36" s="2"/>
      <c r="H36" s="2">
        <v>27387.5</v>
      </c>
      <c r="I36" s="2"/>
      <c r="J36" s="19">
        <f t="shared" si="12"/>
        <v>0.33189112928781833</v>
      </c>
      <c r="K36" s="2"/>
      <c r="L36" s="2">
        <f t="shared" si="13"/>
        <v>-21848.15</v>
      </c>
      <c r="M36" s="2"/>
      <c r="N36" s="19">
        <f t="shared" si="14"/>
        <v>-0.79774167047010502</v>
      </c>
      <c r="O36" s="11"/>
      <c r="P36" s="2">
        <v>8545.83</v>
      </c>
      <c r="Q36" s="2"/>
      <c r="R36" s="19">
        <f t="shared" si="15"/>
        <v>1.7375440913633744E-2</v>
      </c>
      <c r="S36" s="2"/>
      <c r="T36" s="2">
        <v>35607.46</v>
      </c>
      <c r="U36" s="2"/>
      <c r="V36" s="19">
        <f t="shared" si="16"/>
        <v>5.2711510846459378E-2</v>
      </c>
      <c r="W36" s="2"/>
      <c r="X36" s="2">
        <f t="shared" si="17"/>
        <v>-27061.629999999997</v>
      </c>
      <c r="Y36" s="2"/>
      <c r="Z36" s="19">
        <f t="shared" si="18"/>
        <v>-0.75999888787349612</v>
      </c>
    </row>
    <row r="37" spans="1:26" s="24" customFormat="1" hidden="1" outlineLevel="1" x14ac:dyDescent="0.25">
      <c r="A37" s="44"/>
      <c r="B37" s="11" t="str">
        <f>CONCATENATE("          ", "5095", " - ", "PURCHASES @ COST-CUSTOMER SERV")</f>
        <v xml:space="preserve">          5095 - PURCHASES @ COST-CUSTOMER SERV</v>
      </c>
      <c r="C37" s="11"/>
      <c r="D37" s="2"/>
      <c r="E37" s="2"/>
      <c r="F37" s="19">
        <f t="shared" si="11"/>
        <v>0</v>
      </c>
      <c r="G37" s="2"/>
      <c r="H37" s="2">
        <v>-4.32</v>
      </c>
      <c r="I37" s="2"/>
      <c r="J37" s="19">
        <f t="shared" si="12"/>
        <v>-5.2351243396563227E-5</v>
      </c>
      <c r="K37" s="2"/>
      <c r="L37" s="2">
        <f t="shared" si="13"/>
        <v>4.32</v>
      </c>
      <c r="M37" s="2"/>
      <c r="N37" s="19">
        <f t="shared" si="14"/>
        <v>-1</v>
      </c>
      <c r="O37" s="11"/>
      <c r="P37" s="2">
        <v>11.85</v>
      </c>
      <c r="Q37" s="2"/>
      <c r="R37" s="19">
        <f t="shared" si="15"/>
        <v>2.4093502307740718E-5</v>
      </c>
      <c r="S37" s="2"/>
      <c r="T37" s="2">
        <v>-73.44</v>
      </c>
      <c r="U37" s="2"/>
      <c r="V37" s="19">
        <f t="shared" si="16"/>
        <v>-1.0871691933555431E-4</v>
      </c>
      <c r="W37" s="2"/>
      <c r="X37" s="2">
        <f t="shared" si="17"/>
        <v>85.289999999999992</v>
      </c>
      <c r="Y37" s="2"/>
      <c r="Z37" s="19">
        <f t="shared" si="18"/>
        <v>-1.1613562091503267</v>
      </c>
    </row>
    <row r="38" spans="1:26" s="24" customFormat="1" hidden="1" outlineLevel="1" x14ac:dyDescent="0.25">
      <c r="A38" s="44"/>
      <c r="B38" s="11" t="str">
        <f>CONCATENATE("          ", "5200", " - ", "PURCHASES OFFSET")</f>
        <v xml:space="preserve">          5200 - PURCHASES OFFSET</v>
      </c>
      <c r="C38" s="11"/>
      <c r="D38" s="2">
        <v>-5539</v>
      </c>
      <c r="E38" s="2"/>
      <c r="F38" s="19">
        <f t="shared" si="11"/>
        <v>-1.2960514770400702</v>
      </c>
      <c r="G38" s="2"/>
      <c r="H38" s="2">
        <v>-28650</v>
      </c>
      <c r="I38" s="2"/>
      <c r="J38" s="19">
        <f t="shared" si="12"/>
        <v>-0.34719053780359638</v>
      </c>
      <c r="K38" s="2"/>
      <c r="L38" s="2">
        <f t="shared" si="13"/>
        <v>23111</v>
      </c>
      <c r="M38" s="2"/>
      <c r="N38" s="19">
        <f t="shared" si="14"/>
        <v>-0.80666666666666664</v>
      </c>
      <c r="O38" s="11"/>
      <c r="P38" s="2">
        <v>-8677</v>
      </c>
      <c r="Q38" s="2"/>
      <c r="R38" s="19">
        <f t="shared" si="15"/>
        <v>-1.7642136668714448E-2</v>
      </c>
      <c r="S38" s="2"/>
      <c r="T38" s="2">
        <v>-37114</v>
      </c>
      <c r="U38" s="2"/>
      <c r="V38" s="19">
        <f t="shared" si="16"/>
        <v>-5.4941717650051236E-2</v>
      </c>
      <c r="W38" s="2"/>
      <c r="X38" s="2">
        <f t="shared" si="17"/>
        <v>28437</v>
      </c>
      <c r="Y38" s="2"/>
      <c r="Z38" s="19">
        <f t="shared" si="18"/>
        <v>-0.76620682222341974</v>
      </c>
    </row>
    <row r="39" spans="1:26" s="24" customFormat="1" hidden="1" outlineLevel="1" x14ac:dyDescent="0.25">
      <c r="A39" s="44"/>
      <c r="B39" s="11" t="str">
        <f>CONCATENATE("          ", "5300", " - ", "COG$ OFFSET")</f>
        <v xml:space="preserve">          5300 - COG$ OFFSET</v>
      </c>
      <c r="C39" s="11"/>
      <c r="D39" s="2">
        <v>1050</v>
      </c>
      <c r="E39" s="2"/>
      <c r="F39" s="19">
        <f t="shared" si="11"/>
        <v>0.24568587306229892</v>
      </c>
      <c r="G39" s="2"/>
      <c r="H39" s="2">
        <v>14335</v>
      </c>
      <c r="I39" s="2"/>
      <c r="J39" s="19">
        <f t="shared" si="12"/>
        <v>0.17371645233558652</v>
      </c>
      <c r="K39" s="2"/>
      <c r="L39" s="2">
        <f t="shared" si="13"/>
        <v>-13285</v>
      </c>
      <c r="M39" s="2"/>
      <c r="N39" s="19">
        <f t="shared" si="14"/>
        <v>-0.92675270317404956</v>
      </c>
      <c r="O39" s="11"/>
      <c r="P39" s="2">
        <v>9472</v>
      </c>
      <c r="Q39" s="2"/>
      <c r="R39" s="19">
        <f t="shared" si="15"/>
        <v>1.9258536190626167E-2</v>
      </c>
      <c r="S39" s="2"/>
      <c r="T39" s="2">
        <v>46237</v>
      </c>
      <c r="U39" s="2"/>
      <c r="V39" s="19">
        <f t="shared" si="16"/>
        <v>6.8446952605092926E-2</v>
      </c>
      <c r="W39" s="2"/>
      <c r="X39" s="2">
        <f t="shared" si="17"/>
        <v>-36765</v>
      </c>
      <c r="Y39" s="2"/>
      <c r="Z39" s="19">
        <f t="shared" si="18"/>
        <v>-0.79514241840949884</v>
      </c>
    </row>
    <row r="40" spans="1:26" s="24" customFormat="1" hidden="1" outlineLevel="1" x14ac:dyDescent="0.25">
      <c r="A40" s="44"/>
      <c r="B40" s="11" t="str">
        <f>CONCATENATE("          ", "5592", " - ", "FREIGHT-IN-GRAD MERCH")</f>
        <v xml:space="preserve">          5592 - FREIGHT-IN-GRAD MERCH</v>
      </c>
      <c r="C40" s="11"/>
      <c r="D40" s="2"/>
      <c r="E40" s="2"/>
      <c r="F40" s="19">
        <f t="shared" si="11"/>
        <v>0</v>
      </c>
      <c r="G40" s="2"/>
      <c r="H40" s="2">
        <v>1266.43</v>
      </c>
      <c r="I40" s="2"/>
      <c r="J40" s="19">
        <f t="shared" si="12"/>
        <v>1.5347033605256844E-2</v>
      </c>
      <c r="K40" s="2"/>
      <c r="L40" s="2">
        <f t="shared" si="13"/>
        <v>-1266.43</v>
      </c>
      <c r="M40" s="2"/>
      <c r="N40" s="19">
        <f t="shared" si="14"/>
        <v>-1</v>
      </c>
      <c r="O40" s="11"/>
      <c r="P40" s="2">
        <v>118.73</v>
      </c>
      <c r="Q40" s="2"/>
      <c r="R40" s="19">
        <f t="shared" si="15"/>
        <v>2.4140266067494139E-4</v>
      </c>
      <c r="S40" s="2"/>
      <c r="T40" s="2">
        <v>1580.77</v>
      </c>
      <c r="U40" s="2"/>
      <c r="V40" s="19">
        <f t="shared" si="16"/>
        <v>2.340093199592377E-3</v>
      </c>
      <c r="W40" s="2"/>
      <c r="X40" s="2">
        <f t="shared" si="17"/>
        <v>-1462.04</v>
      </c>
      <c r="Y40" s="2"/>
      <c r="Z40" s="19">
        <f t="shared" si="18"/>
        <v>-0.92489103411628504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10"/>
      <c r="B42" s="28" t="s">
        <v>6</v>
      </c>
      <c r="C42" s="28"/>
      <c r="D42" s="21">
        <f>D12-D35</f>
        <v>3223.3999999999996</v>
      </c>
      <c r="E42" s="14"/>
      <c r="F42" s="20">
        <f>IF(D$12=0,0,D42/D$12)</f>
        <v>0.75423223164668018</v>
      </c>
      <c r="G42" s="14"/>
      <c r="H42" s="21">
        <f>H12-H35</f>
        <v>68184.919999999984</v>
      </c>
      <c r="I42" s="14"/>
      <c r="J42" s="20">
        <f>IF(H$12=0,0,H42/H$12)</f>
        <v>0.82628827381833125</v>
      </c>
      <c r="K42" s="15"/>
      <c r="L42" s="21">
        <f>+D42-H42</f>
        <v>-64961.519999999982</v>
      </c>
      <c r="M42" s="15"/>
      <c r="N42" s="20">
        <f>IF(H42=0,0,L42/H42)</f>
        <v>-0.95272561733591532</v>
      </c>
      <c r="O42" s="29"/>
      <c r="P42" s="21">
        <f>P12-P35</f>
        <v>482362.43999999994</v>
      </c>
      <c r="Q42" s="14"/>
      <c r="R42" s="20">
        <f>IF(P$12=0,0,P42/P$12)</f>
        <v>0.98074266340147187</v>
      </c>
      <c r="S42" s="14"/>
      <c r="T42" s="21">
        <f>T12-T35</f>
        <v>629278.0399999998</v>
      </c>
      <c r="U42" s="14"/>
      <c r="V42" s="20">
        <f>IF(T$12=0,0,T42/T$12)</f>
        <v>0.93155187791824201</v>
      </c>
      <c r="W42" s="15"/>
      <c r="X42" s="21">
        <f>+P42-T42</f>
        <v>-146915.59999999986</v>
      </c>
      <c r="Y42" s="15"/>
      <c r="Z42" s="20">
        <f>IF(T42=0,0,X42/T42)</f>
        <v>-0.23346691074743353</v>
      </c>
    </row>
    <row r="43" spans="1:26" x14ac:dyDescent="0.2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9" t="s">
        <v>9</v>
      </c>
      <c r="C44" s="10"/>
      <c r="D44" s="22">
        <f>SUM(OSRRefD22x_0)</f>
        <v>34281.200000000004</v>
      </c>
      <c r="E44" s="22"/>
      <c r="F44" s="35">
        <f t="shared" ref="F44:F53" si="19">IF(D$12=0,0,D44/D$12)</f>
        <v>8.0213395729745542</v>
      </c>
      <c r="G44" s="22"/>
      <c r="H44" s="22">
        <f>SUM(OSRRefH22x_0)</f>
        <v>61194.979999999996</v>
      </c>
      <c r="I44" s="22"/>
      <c r="J44" s="35">
        <f t="shared" ref="J44:J53" si="20">IF(H$12=0,0,H44/H$12)</f>
        <v>0.74158178070088387</v>
      </c>
      <c r="K44" s="4"/>
      <c r="L44" s="22">
        <f t="shared" ref="L44:L53" si="21">+D44-H44</f>
        <v>-26913.779999999992</v>
      </c>
      <c r="M44" s="4"/>
      <c r="N44" s="35">
        <f t="shared" ref="N44:N53" si="22">IF(H44=0,0,L44/H44)</f>
        <v>-0.43980372246220184</v>
      </c>
      <c r="O44" s="10"/>
      <c r="P44" s="22">
        <f>SUM(OSRRefP22x_0)</f>
        <v>455064.84000000008</v>
      </c>
      <c r="Q44" s="22"/>
      <c r="R44" s="35">
        <f t="shared" ref="R44:R53" si="23">IF(P$12=0,0,P44/P$12)</f>
        <v>0.92524099347777744</v>
      </c>
      <c r="S44" s="22"/>
      <c r="T44" s="22">
        <f>SUM(OSRRefT22x_0)</f>
        <v>484543.38999999996</v>
      </c>
      <c r="U44" s="22"/>
      <c r="V44" s="35">
        <f t="shared" ref="V44:V53" si="24">IF(T$12=0,0,T44/T$12)</f>
        <v>0.71729390856762021</v>
      </c>
      <c r="W44" s="4"/>
      <c r="X44" s="22">
        <f t="shared" ref="X44:X53" si="25">+P44-T44</f>
        <v>-29478.549999999872</v>
      </c>
      <c r="Y44" s="4"/>
      <c r="Z44" s="35">
        <f t="shared" ref="Z44:Z53" si="26">IF(T44=0,0,X44/T44)</f>
        <v>-6.0837792049954237E-2</v>
      </c>
    </row>
    <row r="45" spans="1:26" s="25" customFormat="1" outlineLevel="1" collapsed="1" x14ac:dyDescent="0.25">
      <c r="A45" s="26"/>
      <c r="B45" s="13" t="str">
        <f>CONCATENATE("     ","*Benefits                                         ")</f>
        <v xml:space="preserve">     *Benefits                                         </v>
      </c>
      <c r="C45" s="13"/>
      <c r="D45" s="1">
        <f>SUM(OSRRefD22_0x_0)</f>
        <v>7793.3899999999994</v>
      </c>
      <c r="E45" s="1"/>
      <c r="F45" s="5">
        <f t="shared" si="19"/>
        <v>1.8235484059666567</v>
      </c>
      <c r="G45" s="1"/>
      <c r="H45" s="1">
        <f>SUM(OSRRefH22_0x_0)</f>
        <v>6852.6399999999994</v>
      </c>
      <c r="I45" s="1"/>
      <c r="J45" s="5">
        <f t="shared" si="20"/>
        <v>8.3042644571533555E-2</v>
      </c>
      <c r="K45" s="1"/>
      <c r="L45" s="1">
        <f t="shared" si="21"/>
        <v>940.75</v>
      </c>
      <c r="M45" s="1"/>
      <c r="N45" s="5">
        <f t="shared" si="22"/>
        <v>0.13728285740969906</v>
      </c>
      <c r="O45" s="13"/>
      <c r="P45" s="1">
        <f>SUM(OSRRefP22_0x_0)</f>
        <v>83105.049999999988</v>
      </c>
      <c r="Q45" s="1"/>
      <c r="R45" s="5">
        <f t="shared" si="23"/>
        <v>0.16896976489113144</v>
      </c>
      <c r="S45" s="1"/>
      <c r="T45" s="1">
        <f>SUM(OSRRefT22_0x_0)</f>
        <v>72324.509999999995</v>
      </c>
      <c r="U45" s="1"/>
      <c r="V45" s="5">
        <f t="shared" si="24"/>
        <v>0.10706560348112051</v>
      </c>
      <c r="W45" s="1"/>
      <c r="X45" s="1">
        <f t="shared" si="25"/>
        <v>10780.539999999994</v>
      </c>
      <c r="Y45" s="1"/>
      <c r="Z45" s="5">
        <f t="shared" si="26"/>
        <v>0.14905790581920283</v>
      </c>
    </row>
    <row r="46" spans="1:26" s="24" customFormat="1" hidden="1" outlineLevel="2" x14ac:dyDescent="0.25">
      <c r="A46" s="27"/>
      <c r="B46" s="11" t="str">
        <f>CONCATENATE("          ", "6111", " - ", "F.I.C.A.")</f>
        <v xml:space="preserve">          6111 - F.I.C.A.</v>
      </c>
      <c r="C46" s="11"/>
      <c r="D46" s="6">
        <v>1307.3499999999999</v>
      </c>
      <c r="E46" s="2"/>
      <c r="F46" s="7">
        <f t="shared" si="19"/>
        <v>0.30590231061713952</v>
      </c>
      <c r="G46" s="2"/>
      <c r="H46" s="6">
        <v>1042.31</v>
      </c>
      <c r="I46" s="2"/>
      <c r="J46" s="7">
        <f t="shared" si="20"/>
        <v>1.2631070487192548E-2</v>
      </c>
      <c r="K46" s="2"/>
      <c r="L46" s="6">
        <f t="shared" si="21"/>
        <v>265.03999999999996</v>
      </c>
      <c r="M46" s="2"/>
      <c r="N46" s="7">
        <f t="shared" si="22"/>
        <v>0.25428135583463651</v>
      </c>
      <c r="O46" s="11"/>
      <c r="P46" s="6">
        <v>13152.33</v>
      </c>
      <c r="Q46" s="2"/>
      <c r="R46" s="7">
        <f t="shared" si="23"/>
        <v>2.6741408709465609E-2</v>
      </c>
      <c r="S46" s="2"/>
      <c r="T46" s="6">
        <v>12218.01</v>
      </c>
      <c r="U46" s="2"/>
      <c r="V46" s="7">
        <f t="shared" si="24"/>
        <v>1.8086933654833822E-2</v>
      </c>
      <c r="W46" s="2"/>
      <c r="X46" s="6">
        <f t="shared" si="25"/>
        <v>934.31999999999971</v>
      </c>
      <c r="Y46" s="2"/>
      <c r="Z46" s="7">
        <f t="shared" si="26"/>
        <v>7.6470718226617898E-2</v>
      </c>
    </row>
    <row r="47" spans="1:26" s="24" customFormat="1" hidden="1" outlineLevel="2" x14ac:dyDescent="0.25">
      <c r="A47" s="27"/>
      <c r="B47" s="11" t="str">
        <f>CONCATENATE("          ", "6112", " - ", "COMPENSATION INSURANCE")</f>
        <v xml:space="preserve">          6112 - COMPENSATION INSURANCE</v>
      </c>
      <c r="C47" s="11"/>
      <c r="D47" s="6">
        <v>216.57</v>
      </c>
      <c r="E47" s="2"/>
      <c r="F47" s="7">
        <f t="shared" si="19"/>
        <v>5.0674466218192452E-2</v>
      </c>
      <c r="G47" s="2"/>
      <c r="H47" s="6">
        <v>141.46</v>
      </c>
      <c r="I47" s="2"/>
      <c r="J47" s="7">
        <f t="shared" si="20"/>
        <v>1.7142608543698689E-3</v>
      </c>
      <c r="K47" s="2"/>
      <c r="L47" s="6">
        <f t="shared" si="21"/>
        <v>75.109999999999985</v>
      </c>
      <c r="M47" s="2"/>
      <c r="N47" s="7">
        <f t="shared" si="22"/>
        <v>0.53096281634384268</v>
      </c>
      <c r="O47" s="11"/>
      <c r="P47" s="6">
        <v>2116.48</v>
      </c>
      <c r="Q47" s="2"/>
      <c r="R47" s="7">
        <f t="shared" si="23"/>
        <v>4.3032418366486984E-3</v>
      </c>
      <c r="S47" s="2"/>
      <c r="T47" s="6">
        <v>1839.55</v>
      </c>
      <c r="U47" s="2"/>
      <c r="V47" s="7">
        <f t="shared" si="24"/>
        <v>2.7231782266301597E-3</v>
      </c>
      <c r="W47" s="2"/>
      <c r="X47" s="6">
        <f t="shared" si="25"/>
        <v>276.93000000000006</v>
      </c>
      <c r="Y47" s="2"/>
      <c r="Z47" s="7">
        <f t="shared" si="26"/>
        <v>0.15054225218124001</v>
      </c>
    </row>
    <row r="48" spans="1:26" s="24" customFormat="1" hidden="1" outlineLevel="2" x14ac:dyDescent="0.25">
      <c r="A48" s="27"/>
      <c r="B48" s="11" t="str">
        <f>CONCATENATE("          ", "6113", " - ", "GROUP INSURANCE")</f>
        <v xml:space="preserve">          6113 - GROUP INSURANCE</v>
      </c>
      <c r="C48" s="11"/>
      <c r="D48" s="6">
        <v>2724.48</v>
      </c>
      <c r="E48" s="2"/>
      <c r="F48" s="7">
        <f t="shared" si="19"/>
        <v>0.63749166422930681</v>
      </c>
      <c r="G48" s="2"/>
      <c r="H48" s="6">
        <v>2741.79</v>
      </c>
      <c r="I48" s="2"/>
      <c r="J48" s="7">
        <f t="shared" si="20"/>
        <v>3.3225952692653493E-2</v>
      </c>
      <c r="K48" s="2"/>
      <c r="L48" s="6">
        <f t="shared" si="21"/>
        <v>-17.309999999999945</v>
      </c>
      <c r="M48" s="2"/>
      <c r="N48" s="7">
        <f t="shared" si="22"/>
        <v>-6.3133938047771516E-3</v>
      </c>
      <c r="O48" s="11"/>
      <c r="P48" s="6">
        <v>30067.27</v>
      </c>
      <c r="Q48" s="2"/>
      <c r="R48" s="7">
        <f t="shared" si="23"/>
        <v>6.1132982205271164E-2</v>
      </c>
      <c r="S48" s="2"/>
      <c r="T48" s="6">
        <v>25682.66</v>
      </c>
      <c r="U48" s="2"/>
      <c r="V48" s="7">
        <f t="shared" si="24"/>
        <v>3.8019331093987842E-2</v>
      </c>
      <c r="W48" s="2"/>
      <c r="X48" s="6">
        <f t="shared" si="25"/>
        <v>4384.6100000000006</v>
      </c>
      <c r="Y48" s="2"/>
      <c r="Z48" s="7">
        <f t="shared" si="26"/>
        <v>0.17072258091646272</v>
      </c>
    </row>
    <row r="49" spans="1:26" s="24" customFormat="1" hidden="1" outlineLevel="2" x14ac:dyDescent="0.25">
      <c r="A49" s="27"/>
      <c r="B49" s="11" t="str">
        <f>CONCATENATE("          ", "6114", " - ", "STATE UNEMPLOYMENT INSURANCE")</f>
        <v xml:space="preserve">          6114 - STATE UNEMPLOYMENT INSURANCE</v>
      </c>
      <c r="C49" s="11"/>
      <c r="D49" s="6">
        <v>29.64</v>
      </c>
      <c r="E49" s="2"/>
      <c r="F49" s="7">
        <f t="shared" si="19"/>
        <v>6.9353612167300386E-3</v>
      </c>
      <c r="G49" s="2"/>
      <c r="H49" s="6">
        <v>43.46</v>
      </c>
      <c r="I49" s="2"/>
      <c r="J49" s="7">
        <f t="shared" si="20"/>
        <v>5.2666320324412912E-4</v>
      </c>
      <c r="K49" s="2"/>
      <c r="L49" s="6">
        <f t="shared" si="21"/>
        <v>-13.82</v>
      </c>
      <c r="M49" s="2"/>
      <c r="N49" s="7">
        <f t="shared" si="22"/>
        <v>-0.31799355729406353</v>
      </c>
      <c r="O49" s="11"/>
      <c r="P49" s="6">
        <v>484.08</v>
      </c>
      <c r="Q49" s="2"/>
      <c r="R49" s="7">
        <f t="shared" si="23"/>
        <v>9.8423481832330176E-4</v>
      </c>
      <c r="S49" s="2"/>
      <c r="T49" s="6">
        <v>483.52</v>
      </c>
      <c r="U49" s="2"/>
      <c r="V49" s="7">
        <f t="shared" si="24"/>
        <v>7.1577893296741852E-4</v>
      </c>
      <c r="W49" s="2"/>
      <c r="X49" s="6">
        <f t="shared" si="25"/>
        <v>0.56000000000000227</v>
      </c>
      <c r="Y49" s="2"/>
      <c r="Z49" s="7">
        <f t="shared" si="26"/>
        <v>1.1581733951025858E-3</v>
      </c>
    </row>
    <row r="50" spans="1:26" s="24" customFormat="1" hidden="1" outlineLevel="2" x14ac:dyDescent="0.25">
      <c r="A50" s="27"/>
      <c r="B50" s="11" t="str">
        <f>CONCATENATE("          ", "6115", " - ", "P.E.R.S.")</f>
        <v xml:space="preserve">          6115 - P.E.R.S.</v>
      </c>
      <c r="C50" s="11"/>
      <c r="D50" s="6">
        <v>1166.77</v>
      </c>
      <c r="E50" s="2"/>
      <c r="F50" s="7">
        <f t="shared" si="19"/>
        <v>0.27300848201228428</v>
      </c>
      <c r="G50" s="2"/>
      <c r="H50" s="6">
        <v>1050.3599999999999</v>
      </c>
      <c r="I50" s="2"/>
      <c r="J50" s="7">
        <f t="shared" si="20"/>
        <v>1.2728623151392162E-2</v>
      </c>
      <c r="K50" s="2"/>
      <c r="L50" s="6">
        <f t="shared" si="21"/>
        <v>116.41000000000008</v>
      </c>
      <c r="M50" s="2"/>
      <c r="N50" s="7">
        <f t="shared" si="22"/>
        <v>0.11082866826611837</v>
      </c>
      <c r="O50" s="11"/>
      <c r="P50" s="6">
        <v>13219.88</v>
      </c>
      <c r="Q50" s="2"/>
      <c r="R50" s="7">
        <f t="shared" si="23"/>
        <v>2.6878751838654458E-2</v>
      </c>
      <c r="S50" s="2"/>
      <c r="T50" s="6">
        <v>12371.41</v>
      </c>
      <c r="U50" s="2"/>
      <c r="V50" s="7">
        <f t="shared" si="24"/>
        <v>1.8314019376866421E-2</v>
      </c>
      <c r="W50" s="2"/>
      <c r="X50" s="6">
        <f t="shared" si="25"/>
        <v>848.46999999999935</v>
      </c>
      <c r="Y50" s="2"/>
      <c r="Z50" s="7">
        <f t="shared" si="26"/>
        <v>6.8583128358044823E-2</v>
      </c>
    </row>
    <row r="51" spans="1:26" s="24" customFormat="1" hidden="1" outlineLevel="2" x14ac:dyDescent="0.25">
      <c r="A51" s="27"/>
      <c r="B51" s="11" t="str">
        <f>CONCATENATE("          ", "6118", " - ", "VACATION")</f>
        <v xml:space="preserve">          6118 - VACATION</v>
      </c>
      <c r="C51" s="11"/>
      <c r="D51" s="6">
        <v>1558.77</v>
      </c>
      <c r="E51" s="2"/>
      <c r="F51" s="7">
        <f t="shared" si="19"/>
        <v>0.36473120795554254</v>
      </c>
      <c r="G51" s="2"/>
      <c r="H51" s="6">
        <v>1006.74</v>
      </c>
      <c r="I51" s="2"/>
      <c r="J51" s="7">
        <f t="shared" si="20"/>
        <v>1.2200021013207421E-2</v>
      </c>
      <c r="K51" s="2"/>
      <c r="L51" s="6">
        <f t="shared" si="21"/>
        <v>552.03</v>
      </c>
      <c r="M51" s="2"/>
      <c r="N51" s="7">
        <f t="shared" si="22"/>
        <v>0.54833422730794446</v>
      </c>
      <c r="O51" s="11"/>
      <c r="P51" s="6">
        <v>13453.74</v>
      </c>
      <c r="Q51" s="2"/>
      <c r="R51" s="7">
        <f t="shared" si="23"/>
        <v>2.7354237614999461E-2</v>
      </c>
      <c r="S51" s="2"/>
      <c r="T51" s="6">
        <v>10315.379999999999</v>
      </c>
      <c r="U51" s="2"/>
      <c r="V51" s="7">
        <f t="shared" si="24"/>
        <v>1.5270374937031456E-2</v>
      </c>
      <c r="W51" s="2"/>
      <c r="X51" s="6">
        <f t="shared" si="25"/>
        <v>3138.3600000000006</v>
      </c>
      <c r="Y51" s="2"/>
      <c r="Z51" s="7">
        <f t="shared" si="26"/>
        <v>0.30424085200932982</v>
      </c>
    </row>
    <row r="52" spans="1:26" s="24" customFormat="1" hidden="1" outlineLevel="2" x14ac:dyDescent="0.25">
      <c r="A52" s="27"/>
      <c r="B52" s="11" t="str">
        <f>CONCATENATE("          ", "6119", " - ", "SICK LEAVE")</f>
        <v xml:space="preserve">          6119 - SICK LEAVE</v>
      </c>
      <c r="C52" s="11"/>
      <c r="D52" s="6">
        <v>789.81</v>
      </c>
      <c r="E52" s="2"/>
      <c r="F52" s="7">
        <f t="shared" si="19"/>
        <v>0.18480491371746124</v>
      </c>
      <c r="G52" s="2"/>
      <c r="H52" s="6">
        <v>527</v>
      </c>
      <c r="I52" s="2"/>
      <c r="J52" s="7">
        <f t="shared" si="20"/>
        <v>6.3863669606455597E-3</v>
      </c>
      <c r="K52" s="2"/>
      <c r="L52" s="6">
        <f t="shared" si="21"/>
        <v>262.80999999999995</v>
      </c>
      <c r="M52" s="2"/>
      <c r="N52" s="7">
        <f t="shared" si="22"/>
        <v>0.49869070208728644</v>
      </c>
      <c r="O52" s="11"/>
      <c r="P52" s="6">
        <v>8168.76</v>
      </c>
      <c r="Q52" s="2"/>
      <c r="R52" s="7">
        <f t="shared" si="23"/>
        <v>1.6608779570580597E-2</v>
      </c>
      <c r="S52" s="2"/>
      <c r="T52" s="6">
        <v>6510.59</v>
      </c>
      <c r="U52" s="2"/>
      <c r="V52" s="7">
        <f t="shared" si="24"/>
        <v>9.6379532660248717E-3</v>
      </c>
      <c r="W52" s="2"/>
      <c r="X52" s="6">
        <f t="shared" si="25"/>
        <v>1658.17</v>
      </c>
      <c r="Y52" s="2"/>
      <c r="Z52" s="7">
        <f t="shared" si="26"/>
        <v>0.25468813118319539</v>
      </c>
    </row>
    <row r="53" spans="1:26" s="24" customFormat="1" hidden="1" outlineLevel="2" x14ac:dyDescent="0.25">
      <c r="A53" s="27"/>
      <c r="B53" s="11" t="str">
        <f>CONCATENATE("          ", "6156", " - ", "EMPLOYEE MEALS")</f>
        <v xml:space="preserve">          6156 - EMPLOYEE MEALS</v>
      </c>
      <c r="C53" s="11"/>
      <c r="D53" s="6"/>
      <c r="E53" s="2"/>
      <c r="F53" s="7">
        <f t="shared" si="19"/>
        <v>0</v>
      </c>
      <c r="G53" s="2"/>
      <c r="H53" s="6">
        <v>299.52</v>
      </c>
      <c r="I53" s="2"/>
      <c r="J53" s="7">
        <f t="shared" si="20"/>
        <v>3.6296862088283834E-3</v>
      </c>
      <c r="K53" s="2"/>
      <c r="L53" s="6">
        <f t="shared" si="21"/>
        <v>-299.52</v>
      </c>
      <c r="M53" s="2"/>
      <c r="N53" s="7">
        <f t="shared" si="22"/>
        <v>-1</v>
      </c>
      <c r="O53" s="11"/>
      <c r="P53" s="6">
        <v>2442.5100000000002</v>
      </c>
      <c r="Q53" s="2"/>
      <c r="R53" s="7">
        <f t="shared" si="23"/>
        <v>4.9661282971881675E-3</v>
      </c>
      <c r="S53" s="2"/>
      <c r="T53" s="6">
        <v>2903.39</v>
      </c>
      <c r="U53" s="2"/>
      <c r="V53" s="7">
        <f t="shared" si="24"/>
        <v>4.2980339927785266E-3</v>
      </c>
      <c r="W53" s="2"/>
      <c r="X53" s="6">
        <f t="shared" si="25"/>
        <v>-460.87999999999965</v>
      </c>
      <c r="Y53" s="2"/>
      <c r="Z53" s="7">
        <f t="shared" si="26"/>
        <v>-0.15873857800708815</v>
      </c>
    </row>
    <row r="54" spans="1:26" s="25" customFormat="1" outlineLevel="1" collapsed="1" x14ac:dyDescent="0.25">
      <c r="A54" s="26"/>
      <c r="B54" s="13" t="str">
        <f>CONCATENATE("     ","*Payroll                                          ")</f>
        <v xml:space="preserve">     *Payroll                                          </v>
      </c>
      <c r="C54" s="13"/>
      <c r="D54" s="1">
        <f>SUM(OSRRefD22_1x_0)</f>
        <v>10574.62</v>
      </c>
      <c r="E54" s="1"/>
      <c r="F54" s="5">
        <f t="shared" ref="F54:F60" si="27">IF(D$12=0,0,D54/D$12)</f>
        <v>2.4743188066686166</v>
      </c>
      <c r="G54" s="1"/>
      <c r="H54" s="1">
        <f>SUM(OSRRefH22_1x_0)</f>
        <v>12854.24</v>
      </c>
      <c r="I54" s="1"/>
      <c r="J54" s="5">
        <f t="shared" ref="J54:J60" si="28">IF(H$12=0,0,H54/H$12)</f>
        <v>0.15577209419394417</v>
      </c>
      <c r="K54" s="1"/>
      <c r="L54" s="1">
        <f t="shared" ref="L54:L60" si="29">+D54-H54</f>
        <v>-2279.619999999999</v>
      </c>
      <c r="M54" s="1"/>
      <c r="N54" s="5">
        <f t="shared" ref="N54:N60" si="30">IF(H54=0,0,L54/H54)</f>
        <v>-0.17734381807092439</v>
      </c>
      <c r="O54" s="13"/>
      <c r="P54" s="1">
        <f>SUM(OSRRefP22_1x_0)</f>
        <v>169988.77999999997</v>
      </c>
      <c r="Q54" s="1"/>
      <c r="R54" s="5">
        <f t="shared" ref="R54:R60" si="31">IF(P$12=0,0,P54/P$12)</f>
        <v>0.34562236820422182</v>
      </c>
      <c r="S54" s="1"/>
      <c r="T54" s="1">
        <f>SUM(OSRRefT22_1x_0)</f>
        <v>172242.51</v>
      </c>
      <c r="U54" s="1"/>
      <c r="V54" s="5">
        <f t="shared" ref="V54:V60" si="32">IF(T$12=0,0,T54/T$12)</f>
        <v>0.25497923564574354</v>
      </c>
      <c r="W54" s="1"/>
      <c r="X54" s="1">
        <f t="shared" ref="X54:X60" si="33">+P54-T54</f>
        <v>-2253.7300000000396</v>
      </c>
      <c r="Y54" s="1"/>
      <c r="Z54" s="5">
        <f t="shared" ref="Z54:Z60" si="34">IF(T54=0,0,X54/T54)</f>
        <v>-1.3084632823801972E-2</v>
      </c>
    </row>
    <row r="55" spans="1:26" s="24" customFormat="1" hidden="1" outlineLevel="2" x14ac:dyDescent="0.25">
      <c r="A55" s="27"/>
      <c r="B55" s="11" t="str">
        <f>CONCATENATE("          ", "6002", " - ", "STAFF SALARIES")</f>
        <v xml:space="preserve">          6002 - STAFF SALARIES</v>
      </c>
      <c r="C55" s="11"/>
      <c r="D55" s="6">
        <v>10574.62</v>
      </c>
      <c r="E55" s="2"/>
      <c r="F55" s="7">
        <f t="shared" si="27"/>
        <v>2.4743188066686166</v>
      </c>
      <c r="G55" s="2"/>
      <c r="H55" s="6">
        <v>7163.49</v>
      </c>
      <c r="I55" s="2"/>
      <c r="J55" s="7">
        <f t="shared" si="28"/>
        <v>8.6809631610844137E-2</v>
      </c>
      <c r="K55" s="2"/>
      <c r="L55" s="6">
        <f t="shared" si="29"/>
        <v>3411.130000000001</v>
      </c>
      <c r="M55" s="2"/>
      <c r="N55" s="7">
        <f t="shared" si="30"/>
        <v>0.47618269865666052</v>
      </c>
      <c r="O55" s="11"/>
      <c r="P55" s="6">
        <v>113327.62</v>
      </c>
      <c r="Q55" s="2"/>
      <c r="R55" s="7">
        <f t="shared" si="31"/>
        <v>0.23041850413508549</v>
      </c>
      <c r="S55" s="2"/>
      <c r="T55" s="6">
        <v>110944.23</v>
      </c>
      <c r="U55" s="2"/>
      <c r="V55" s="7">
        <f t="shared" si="32"/>
        <v>0.16423631404759237</v>
      </c>
      <c r="W55" s="2"/>
      <c r="X55" s="6">
        <f t="shared" si="33"/>
        <v>2383.3899999999994</v>
      </c>
      <c r="Y55" s="2"/>
      <c r="Z55" s="7">
        <f t="shared" si="34"/>
        <v>2.1482775625194746E-2</v>
      </c>
    </row>
    <row r="56" spans="1:26" s="24" customFormat="1" hidden="1" outlineLevel="2" x14ac:dyDescent="0.25">
      <c r="A56" s="27"/>
      <c r="B56" s="11" t="str">
        <f>CONCATENATE("          ", "6004", " - ", "STAFF HOURLY")</f>
        <v xml:space="preserve">          6004 - STAFF HOURLY</v>
      </c>
      <c r="C56" s="11"/>
      <c r="D56" s="6"/>
      <c r="E56" s="2"/>
      <c r="F56" s="7">
        <f t="shared" si="27"/>
        <v>0</v>
      </c>
      <c r="G56" s="2"/>
      <c r="H56" s="6"/>
      <c r="I56" s="2"/>
      <c r="J56" s="7">
        <f t="shared" si="28"/>
        <v>0</v>
      </c>
      <c r="K56" s="2"/>
      <c r="L56" s="6">
        <f t="shared" si="29"/>
        <v>0</v>
      </c>
      <c r="M56" s="2"/>
      <c r="N56" s="7">
        <f t="shared" si="30"/>
        <v>0</v>
      </c>
      <c r="O56" s="11"/>
      <c r="P56" s="6">
        <v>491.67</v>
      </c>
      <c r="Q56" s="2"/>
      <c r="R56" s="7">
        <f t="shared" si="31"/>
        <v>9.9966685904193065E-4</v>
      </c>
      <c r="S56" s="2"/>
      <c r="T56" s="6">
        <v>142.5</v>
      </c>
      <c r="U56" s="2"/>
      <c r="V56" s="7">
        <f t="shared" si="32"/>
        <v>2.1094990475648814E-4</v>
      </c>
      <c r="W56" s="2"/>
      <c r="X56" s="6">
        <f t="shared" si="33"/>
        <v>349.17</v>
      </c>
      <c r="Y56" s="2"/>
      <c r="Z56" s="7">
        <f t="shared" si="34"/>
        <v>2.4503157894736844</v>
      </c>
    </row>
    <row r="57" spans="1:26" s="24" customFormat="1" hidden="1" outlineLevel="2" x14ac:dyDescent="0.25">
      <c r="A57" s="27"/>
      <c r="B57" s="11" t="str">
        <f>CONCATENATE("          ", "6005", " - ", "TEMPORARY WAGES-HOURLY")</f>
        <v xml:space="preserve">          6005 - TEMPORARY WAGES-HOURLY</v>
      </c>
      <c r="C57" s="11"/>
      <c r="D57" s="6"/>
      <c r="E57" s="2"/>
      <c r="F57" s="7">
        <f t="shared" si="27"/>
        <v>0</v>
      </c>
      <c r="G57" s="2"/>
      <c r="H57" s="6">
        <v>1323</v>
      </c>
      <c r="I57" s="2"/>
      <c r="J57" s="7">
        <f t="shared" si="28"/>
        <v>1.6032568290197488E-2</v>
      </c>
      <c r="K57" s="2"/>
      <c r="L57" s="6">
        <f t="shared" si="29"/>
        <v>-1323</v>
      </c>
      <c r="M57" s="2"/>
      <c r="N57" s="7">
        <f t="shared" si="30"/>
        <v>-1</v>
      </c>
      <c r="O57" s="11"/>
      <c r="P57" s="6">
        <v>18251.969999999998</v>
      </c>
      <c r="Q57" s="2"/>
      <c r="R57" s="7">
        <f t="shared" si="31"/>
        <v>3.7110032178549732E-2</v>
      </c>
      <c r="S57" s="2"/>
      <c r="T57" s="6">
        <v>16706.350000000002</v>
      </c>
      <c r="U57" s="2"/>
      <c r="V57" s="7">
        <f t="shared" si="32"/>
        <v>2.4731248711077587E-2</v>
      </c>
      <c r="W57" s="2"/>
      <c r="X57" s="6">
        <f t="shared" si="33"/>
        <v>1545.6199999999953</v>
      </c>
      <c r="Y57" s="2"/>
      <c r="Z57" s="7">
        <f t="shared" si="34"/>
        <v>9.2516917220098652E-2</v>
      </c>
    </row>
    <row r="58" spans="1:26" s="24" customFormat="1" hidden="1" outlineLevel="2" x14ac:dyDescent="0.25">
      <c r="A58" s="27"/>
      <c r="B58" s="11" t="str">
        <f>CONCATENATE("          ", "6006", " - ", "TEMPORARY PART TIME")</f>
        <v xml:space="preserve">          6006 - TEMPORARY PART TIME</v>
      </c>
      <c r="C58" s="11"/>
      <c r="D58" s="6"/>
      <c r="E58" s="2"/>
      <c r="F58" s="7">
        <f t="shared" si="27"/>
        <v>0</v>
      </c>
      <c r="G58" s="2"/>
      <c r="H58" s="6">
        <v>804</v>
      </c>
      <c r="I58" s="2"/>
      <c r="J58" s="7">
        <f t="shared" si="28"/>
        <v>9.7431480765825997E-3</v>
      </c>
      <c r="K58" s="2"/>
      <c r="L58" s="6">
        <f t="shared" si="29"/>
        <v>-804</v>
      </c>
      <c r="M58" s="2"/>
      <c r="N58" s="7">
        <f t="shared" si="30"/>
        <v>-1</v>
      </c>
      <c r="O58" s="11"/>
      <c r="P58" s="6">
        <v>2571.56</v>
      </c>
      <c r="Q58" s="2"/>
      <c r="R58" s="7">
        <f t="shared" si="31"/>
        <v>5.2285136535437735E-3</v>
      </c>
      <c r="S58" s="2"/>
      <c r="T58" s="6">
        <v>9032.4</v>
      </c>
      <c r="U58" s="2"/>
      <c r="V58" s="7">
        <f t="shared" si="32"/>
        <v>1.3371115226122832E-2</v>
      </c>
      <c r="W58" s="2"/>
      <c r="X58" s="6">
        <f t="shared" si="33"/>
        <v>-6460.84</v>
      </c>
      <c r="Y58" s="2"/>
      <c r="Z58" s="7">
        <f t="shared" si="34"/>
        <v>-0.71529604534785884</v>
      </c>
    </row>
    <row r="59" spans="1:26" s="24" customFormat="1" hidden="1" outlineLevel="2" x14ac:dyDescent="0.25">
      <c r="A59" s="27"/>
      <c r="B59" s="11" t="str">
        <f>CONCATENATE("          ", "6007", " - ", "STUDENT HOURLY")</f>
        <v xml:space="preserve">          6007 - STUDENT HOURLY</v>
      </c>
      <c r="C59" s="11"/>
      <c r="D59" s="6"/>
      <c r="E59" s="2"/>
      <c r="F59" s="7">
        <f t="shared" si="27"/>
        <v>0</v>
      </c>
      <c r="G59" s="2"/>
      <c r="H59" s="6">
        <v>3563.75</v>
      </c>
      <c r="I59" s="2"/>
      <c r="J59" s="7">
        <f t="shared" si="28"/>
        <v>4.3186746216319953E-2</v>
      </c>
      <c r="K59" s="2"/>
      <c r="L59" s="6">
        <f t="shared" si="29"/>
        <v>-3563.75</v>
      </c>
      <c r="M59" s="2"/>
      <c r="N59" s="7">
        <f t="shared" si="30"/>
        <v>-1</v>
      </c>
      <c r="O59" s="11"/>
      <c r="P59" s="6">
        <v>35345.96</v>
      </c>
      <c r="Q59" s="2"/>
      <c r="R59" s="7">
        <f t="shared" si="31"/>
        <v>7.1865651378000939E-2</v>
      </c>
      <c r="S59" s="2"/>
      <c r="T59" s="6">
        <v>34781.03</v>
      </c>
      <c r="U59" s="2"/>
      <c r="V59" s="7">
        <f t="shared" si="32"/>
        <v>5.1488105023386362E-2</v>
      </c>
      <c r="W59" s="2"/>
      <c r="X59" s="6">
        <f t="shared" si="33"/>
        <v>564.93000000000029</v>
      </c>
      <c r="Y59" s="2"/>
      <c r="Z59" s="7">
        <f t="shared" si="34"/>
        <v>1.6242474705320697E-2</v>
      </c>
    </row>
    <row r="60" spans="1:26" s="24" customFormat="1" hidden="1" outlineLevel="2" x14ac:dyDescent="0.25">
      <c r="A60" s="27"/>
      <c r="B60" s="11" t="str">
        <f>CONCATENATE("          ", "6008", " - ", "STUDENT HOURLY-FICA EXEMPT")</f>
        <v xml:space="preserve">          6008 - STUDENT HOURLY-FICA EXEMPT</v>
      </c>
      <c r="C60" s="11"/>
      <c r="D60" s="6"/>
      <c r="E60" s="2"/>
      <c r="F60" s="7">
        <f t="shared" si="27"/>
        <v>0</v>
      </c>
      <c r="G60" s="2"/>
      <c r="H60" s="6"/>
      <c r="I60" s="2"/>
      <c r="J60" s="7">
        <f t="shared" si="28"/>
        <v>0</v>
      </c>
      <c r="K60" s="2"/>
      <c r="L60" s="6">
        <f t="shared" si="29"/>
        <v>0</v>
      </c>
      <c r="M60" s="2"/>
      <c r="N60" s="7">
        <f t="shared" si="30"/>
        <v>0</v>
      </c>
      <c r="O60" s="11"/>
      <c r="P60" s="6"/>
      <c r="Q60" s="2"/>
      <c r="R60" s="7">
        <f t="shared" si="31"/>
        <v>0</v>
      </c>
      <c r="S60" s="2"/>
      <c r="T60" s="6">
        <v>636</v>
      </c>
      <c r="U60" s="2"/>
      <c r="V60" s="7">
        <f t="shared" si="32"/>
        <v>9.4150273280790495E-4</v>
      </c>
      <c r="W60" s="2"/>
      <c r="X60" s="6">
        <f t="shared" si="33"/>
        <v>-636</v>
      </c>
      <c r="Y60" s="2"/>
      <c r="Z60" s="7">
        <f t="shared" si="34"/>
        <v>-1</v>
      </c>
    </row>
    <row r="61" spans="1:26" s="25" customFormat="1" outlineLevel="1" collapsed="1" x14ac:dyDescent="0.25">
      <c r="A61" s="26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0</v>
      </c>
      <c r="E61" s="1"/>
      <c r="F61" s="5">
        <f t="shared" ref="F61:F71" si="35">IF(D$12=0,0,D61/D$12)</f>
        <v>0</v>
      </c>
      <c r="G61" s="1"/>
      <c r="H61" s="1">
        <f>SUM(OSRRefH22_2x_0)</f>
        <v>479</v>
      </c>
      <c r="I61" s="1"/>
      <c r="J61" s="5">
        <f t="shared" ref="J61:J71" si="36">IF(H$12=0,0,H61/H$12)</f>
        <v>5.8046864784615237E-3</v>
      </c>
      <c r="K61" s="1"/>
      <c r="L61" s="1">
        <f t="shared" ref="L61:L71" si="37">+D61-H61</f>
        <v>-479</v>
      </c>
      <c r="M61" s="1"/>
      <c r="N61" s="5">
        <f t="shared" ref="N61:N71" si="38">IF(H61=0,0,L61/H61)</f>
        <v>-1</v>
      </c>
      <c r="O61" s="13"/>
      <c r="P61" s="1">
        <f>SUM(OSRRefP22_2x_0)</f>
        <v>1915.77</v>
      </c>
      <c r="Q61" s="1"/>
      <c r="R61" s="5">
        <f t="shared" ref="R61:R71" si="39">IF(P$12=0,0,P61/P$12)</f>
        <v>3.8951568705569988E-3</v>
      </c>
      <c r="S61" s="1"/>
      <c r="T61" s="1">
        <f>SUM(OSRRefT22_2x_0)</f>
        <v>4635.76</v>
      </c>
      <c r="U61" s="1"/>
      <c r="V61" s="5">
        <f t="shared" ref="V61:V71" si="40">IF(T$12=0,0,T61/T$12)</f>
        <v>6.8625482840276317E-3</v>
      </c>
      <c r="W61" s="1"/>
      <c r="X61" s="1">
        <f t="shared" ref="X61:X71" si="41">+P61-T61</f>
        <v>-2719.9900000000002</v>
      </c>
      <c r="Y61" s="1"/>
      <c r="Z61" s="5">
        <f t="shared" ref="Z61:Z71" si="42">IF(T61=0,0,X61/T61)</f>
        <v>-0.58674090116830901</v>
      </c>
    </row>
    <row r="62" spans="1:26" s="24" customFormat="1" hidden="1" outlineLevel="2" x14ac:dyDescent="0.25">
      <c r="A62" s="27"/>
      <c r="B62" s="11" t="str">
        <f>CONCATENATE("          ", "6362", " - ", "ADVERTISING EXPENSE")</f>
        <v xml:space="preserve">          6362 - ADVERTISING EXPENSE</v>
      </c>
      <c r="C62" s="11"/>
      <c r="D62" s="6"/>
      <c r="E62" s="2"/>
      <c r="F62" s="7">
        <f t="shared" si="35"/>
        <v>0</v>
      </c>
      <c r="G62" s="2"/>
      <c r="H62" s="6">
        <v>479</v>
      </c>
      <c r="I62" s="2"/>
      <c r="J62" s="7">
        <f t="shared" si="36"/>
        <v>5.8046864784615237E-3</v>
      </c>
      <c r="K62" s="2"/>
      <c r="L62" s="6">
        <f t="shared" si="37"/>
        <v>-479</v>
      </c>
      <c r="M62" s="2"/>
      <c r="N62" s="7">
        <f t="shared" si="38"/>
        <v>-1</v>
      </c>
      <c r="O62" s="11"/>
      <c r="P62" s="6">
        <v>1915.77</v>
      </c>
      <c r="Q62" s="2"/>
      <c r="R62" s="7">
        <f t="shared" si="39"/>
        <v>3.8951568705569988E-3</v>
      </c>
      <c r="S62" s="2"/>
      <c r="T62" s="6">
        <v>4635.76</v>
      </c>
      <c r="U62" s="2"/>
      <c r="V62" s="7">
        <f t="shared" si="40"/>
        <v>6.8625482840276317E-3</v>
      </c>
      <c r="W62" s="2"/>
      <c r="X62" s="6">
        <f t="shared" si="41"/>
        <v>-2719.9900000000002</v>
      </c>
      <c r="Y62" s="2"/>
      <c r="Z62" s="7">
        <f t="shared" si="42"/>
        <v>-0.58674090116830901</v>
      </c>
    </row>
    <row r="63" spans="1:26" s="25" customFormat="1" outlineLevel="1" collapsed="1" x14ac:dyDescent="0.25">
      <c r="A63" s="26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SUM(OSRRefD22_3x_0)</f>
        <v>169.88</v>
      </c>
      <c r="E63" s="1"/>
      <c r="F63" s="5">
        <f t="shared" si="35"/>
        <v>3.9749634396022228E-2</v>
      </c>
      <c r="G63" s="1"/>
      <c r="H63" s="1">
        <f>SUM(OSRRefH22_3x_0)</f>
        <v>0</v>
      </c>
      <c r="I63" s="1"/>
      <c r="J63" s="5">
        <f t="shared" si="36"/>
        <v>0</v>
      </c>
      <c r="K63" s="1"/>
      <c r="L63" s="1">
        <f t="shared" si="37"/>
        <v>169.88</v>
      </c>
      <c r="M63" s="1"/>
      <c r="N63" s="5">
        <f t="shared" si="38"/>
        <v>0</v>
      </c>
      <c r="O63" s="13"/>
      <c r="P63" s="1">
        <f>SUM(OSRRefP22_3x_0)</f>
        <v>849.4</v>
      </c>
      <c r="Q63" s="1"/>
      <c r="R63" s="5">
        <f t="shared" si="39"/>
        <v>1.7270059797632883E-3</v>
      </c>
      <c r="S63" s="1"/>
      <c r="T63" s="1">
        <f>SUM(OSRRefT22_3x_0)</f>
        <v>0</v>
      </c>
      <c r="U63" s="1"/>
      <c r="V63" s="5">
        <f t="shared" si="40"/>
        <v>0</v>
      </c>
      <c r="W63" s="1"/>
      <c r="X63" s="1">
        <f t="shared" si="41"/>
        <v>849.4</v>
      </c>
      <c r="Y63" s="1"/>
      <c r="Z63" s="5">
        <f t="shared" si="42"/>
        <v>0</v>
      </c>
    </row>
    <row r="64" spans="1:26" s="24" customFormat="1" hidden="1" outlineLevel="2" x14ac:dyDescent="0.25">
      <c r="A64" s="27"/>
      <c r="B64" s="11" t="str">
        <f>CONCATENATE("          ", "6322", " - ", "EQUIPMENT DEPRECIATION EXPENSE")</f>
        <v xml:space="preserve">          6322 - EQUIPMENT DEPRECIATION EXPENSE</v>
      </c>
      <c r="C64" s="11"/>
      <c r="D64" s="6">
        <v>169.88</v>
      </c>
      <c r="E64" s="2"/>
      <c r="F64" s="7">
        <f t="shared" si="35"/>
        <v>3.9749634396022228E-2</v>
      </c>
      <c r="G64" s="2"/>
      <c r="H64" s="6"/>
      <c r="I64" s="2"/>
      <c r="J64" s="7">
        <f t="shared" si="36"/>
        <v>0</v>
      </c>
      <c r="K64" s="2"/>
      <c r="L64" s="6">
        <f t="shared" si="37"/>
        <v>169.88</v>
      </c>
      <c r="M64" s="2"/>
      <c r="N64" s="7">
        <f t="shared" si="38"/>
        <v>0</v>
      </c>
      <c r="O64" s="11"/>
      <c r="P64" s="6">
        <v>849.4</v>
      </c>
      <c r="Q64" s="2"/>
      <c r="R64" s="7">
        <f t="shared" si="39"/>
        <v>1.7270059797632883E-3</v>
      </c>
      <c r="S64" s="2"/>
      <c r="T64" s="6"/>
      <c r="U64" s="2"/>
      <c r="V64" s="7">
        <f t="shared" si="40"/>
        <v>0</v>
      </c>
      <c r="W64" s="2"/>
      <c r="X64" s="6">
        <f t="shared" si="41"/>
        <v>849.4</v>
      </c>
      <c r="Y64" s="2"/>
      <c r="Z64" s="7">
        <f t="shared" si="42"/>
        <v>0</v>
      </c>
    </row>
    <row r="65" spans="1:26" s="25" customFormat="1" outlineLevel="1" collapsed="1" x14ac:dyDescent="0.25">
      <c r="A65" s="26"/>
      <c r="B65" s="13" t="str">
        <f>CONCATENATE("     ","Discounts and Markdowns                           ")</f>
        <v xml:space="preserve">     Discounts and Markdowns                           </v>
      </c>
      <c r="C65" s="13"/>
      <c r="D65" s="1">
        <f>SUM(OSRRefD22_4x_0)</f>
        <v>154.86000000000001</v>
      </c>
      <c r="E65" s="1"/>
      <c r="F65" s="5">
        <f t="shared" si="35"/>
        <v>3.6235156478502492E-2</v>
      </c>
      <c r="G65" s="1"/>
      <c r="H65" s="1">
        <f>SUM(OSRRefH22_4x_0)</f>
        <v>2040.18</v>
      </c>
      <c r="I65" s="1"/>
      <c r="J65" s="5">
        <f t="shared" si="36"/>
        <v>2.4723601794629714E-2</v>
      </c>
      <c r="K65" s="1"/>
      <c r="L65" s="1">
        <f t="shared" si="37"/>
        <v>-1885.3200000000002</v>
      </c>
      <c r="M65" s="1"/>
      <c r="N65" s="5">
        <f t="shared" si="38"/>
        <v>-0.92409493280004706</v>
      </c>
      <c r="O65" s="13"/>
      <c r="P65" s="1">
        <f>SUM(OSRRefP22_4x_0)</f>
        <v>1281.19</v>
      </c>
      <c r="Q65" s="1"/>
      <c r="R65" s="5">
        <f t="shared" si="39"/>
        <v>2.6049244068906607E-3</v>
      </c>
      <c r="S65" s="1"/>
      <c r="T65" s="1">
        <f>SUM(OSRRefT22_4x_0)</f>
        <v>6565.21</v>
      </c>
      <c r="U65" s="1"/>
      <c r="V65" s="5">
        <f t="shared" si="40"/>
        <v>9.7188099944304808E-3</v>
      </c>
      <c r="W65" s="1"/>
      <c r="X65" s="1">
        <f t="shared" si="41"/>
        <v>-5284.02</v>
      </c>
      <c r="Y65" s="1"/>
      <c r="Z65" s="5">
        <f t="shared" si="42"/>
        <v>-0.80485163460117815</v>
      </c>
    </row>
    <row r="66" spans="1:26" s="24" customFormat="1" hidden="1" outlineLevel="2" x14ac:dyDescent="0.25">
      <c r="A66" s="27"/>
      <c r="B66" s="11" t="str">
        <f>CONCATENATE("          ", "6382", " - ", "DISCOUNTS/MARK DOWNS")</f>
        <v xml:space="preserve">          6382 - DISCOUNTS/MARK DOWNS</v>
      </c>
      <c r="C66" s="11"/>
      <c r="D66" s="6">
        <v>154.86000000000001</v>
      </c>
      <c r="E66" s="2"/>
      <c r="F66" s="7">
        <f t="shared" si="35"/>
        <v>3.6235156478502492E-2</v>
      </c>
      <c r="G66" s="2"/>
      <c r="H66" s="6">
        <v>2040.18</v>
      </c>
      <c r="I66" s="2"/>
      <c r="J66" s="7">
        <f t="shared" si="36"/>
        <v>2.4723601794629714E-2</v>
      </c>
      <c r="K66" s="2"/>
      <c r="L66" s="6">
        <f t="shared" si="37"/>
        <v>-1885.3200000000002</v>
      </c>
      <c r="M66" s="2"/>
      <c r="N66" s="7">
        <f t="shared" si="38"/>
        <v>-0.92409493280004706</v>
      </c>
      <c r="O66" s="11"/>
      <c r="P66" s="6">
        <v>1281.19</v>
      </c>
      <c r="Q66" s="2"/>
      <c r="R66" s="7">
        <f t="shared" si="39"/>
        <v>2.6049244068906607E-3</v>
      </c>
      <c r="S66" s="2"/>
      <c r="T66" s="6">
        <v>6565.21</v>
      </c>
      <c r="U66" s="2"/>
      <c r="V66" s="7">
        <f t="shared" si="40"/>
        <v>9.7188099944304808E-3</v>
      </c>
      <c r="W66" s="2"/>
      <c r="X66" s="6">
        <f t="shared" si="41"/>
        <v>-5284.02</v>
      </c>
      <c r="Y66" s="2"/>
      <c r="Z66" s="7">
        <f t="shared" si="42"/>
        <v>-0.80485163460117815</v>
      </c>
    </row>
    <row r="67" spans="1:26" s="25" customFormat="1" outlineLevel="1" collapsed="1" x14ac:dyDescent="0.25">
      <c r="A67" s="26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SUM(OSRRefD22_5x_0)</f>
        <v>1326.99</v>
      </c>
      <c r="E67" s="1"/>
      <c r="F67" s="5">
        <f t="shared" si="35"/>
        <v>0.31049780637613339</v>
      </c>
      <c r="G67" s="1"/>
      <c r="H67" s="1">
        <f>SUM(OSRRefH22_5x_0)</f>
        <v>3340.22</v>
      </c>
      <c r="I67" s="1"/>
      <c r="J67" s="5">
        <f t="shared" si="36"/>
        <v>4.0477932920849169E-2</v>
      </c>
      <c r="K67" s="1"/>
      <c r="L67" s="1">
        <f t="shared" si="37"/>
        <v>-2013.2299999999998</v>
      </c>
      <c r="M67" s="1"/>
      <c r="N67" s="5">
        <f t="shared" si="38"/>
        <v>-0.60272377268563149</v>
      </c>
      <c r="O67" s="13"/>
      <c r="P67" s="1">
        <f>SUM(OSRRefP22_5x_0)</f>
        <v>14876.070000000002</v>
      </c>
      <c r="Q67" s="1"/>
      <c r="R67" s="5">
        <f t="shared" si="39"/>
        <v>3.0246128850220464E-2</v>
      </c>
      <c r="S67" s="1"/>
      <c r="T67" s="1">
        <f>SUM(OSRRefT22_5x_0)</f>
        <v>32211.31</v>
      </c>
      <c r="U67" s="1"/>
      <c r="V67" s="5">
        <f t="shared" si="40"/>
        <v>4.7684019484783957E-2</v>
      </c>
      <c r="W67" s="1"/>
      <c r="X67" s="1">
        <f t="shared" si="41"/>
        <v>-17335.239999999998</v>
      </c>
      <c r="Y67" s="1"/>
      <c r="Z67" s="5">
        <f t="shared" si="42"/>
        <v>-0.5381724617843856</v>
      </c>
    </row>
    <row r="68" spans="1:26" s="24" customFormat="1" hidden="1" outlineLevel="2" x14ac:dyDescent="0.25">
      <c r="A68" s="27"/>
      <c r="B68" s="11" t="str">
        <f>CONCATENATE("          ", "6351", " - ", "EQUIPMENT RENTAL")</f>
        <v xml:space="preserve">          6351 - EQUIPMENT RENTAL</v>
      </c>
      <c r="C68" s="11"/>
      <c r="D68" s="6">
        <v>1326.99</v>
      </c>
      <c r="E68" s="2"/>
      <c r="F68" s="7">
        <f t="shared" si="35"/>
        <v>0.31049780637613339</v>
      </c>
      <c r="G68" s="2"/>
      <c r="H68" s="6">
        <v>3340.22</v>
      </c>
      <c r="I68" s="2"/>
      <c r="J68" s="7">
        <f t="shared" si="36"/>
        <v>4.0477932920849169E-2</v>
      </c>
      <c r="K68" s="2"/>
      <c r="L68" s="6">
        <f t="shared" si="37"/>
        <v>-2013.2299999999998</v>
      </c>
      <c r="M68" s="2"/>
      <c r="N68" s="7">
        <f t="shared" si="38"/>
        <v>-0.60272377268563149</v>
      </c>
      <c r="O68" s="11"/>
      <c r="P68" s="6">
        <v>14876.070000000002</v>
      </c>
      <c r="Q68" s="2"/>
      <c r="R68" s="7">
        <f t="shared" si="39"/>
        <v>3.0246128850220464E-2</v>
      </c>
      <c r="S68" s="2"/>
      <c r="T68" s="6">
        <v>32211.31</v>
      </c>
      <c r="U68" s="2"/>
      <c r="V68" s="7">
        <f t="shared" si="40"/>
        <v>4.7684019484783957E-2</v>
      </c>
      <c r="W68" s="2"/>
      <c r="X68" s="6">
        <f t="shared" si="41"/>
        <v>-17335.239999999998</v>
      </c>
      <c r="Y68" s="2"/>
      <c r="Z68" s="7">
        <f t="shared" si="42"/>
        <v>-0.5381724617843856</v>
      </c>
    </row>
    <row r="69" spans="1:26" s="25" customFormat="1" outlineLevel="1" collapsed="1" x14ac:dyDescent="0.25">
      <c r="A69" s="26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SUM(OSRRefD22_6x_0)</f>
        <v>1051.3899999999999</v>
      </c>
      <c r="E69" s="1"/>
      <c r="F69" s="5">
        <f t="shared" si="35"/>
        <v>0.24601111436092421</v>
      </c>
      <c r="G69" s="1"/>
      <c r="H69" s="1">
        <f>SUM(OSRRefH22_6x_0)</f>
        <v>608.61000000000013</v>
      </c>
      <c r="I69" s="1"/>
      <c r="J69" s="5">
        <f t="shared" si="36"/>
        <v>7.3753449637922108E-3</v>
      </c>
      <c r="K69" s="1"/>
      <c r="L69" s="1">
        <f t="shared" si="37"/>
        <v>442.77999999999975</v>
      </c>
      <c r="M69" s="1"/>
      <c r="N69" s="5">
        <f t="shared" si="38"/>
        <v>0.72752665910845971</v>
      </c>
      <c r="O69" s="13"/>
      <c r="P69" s="1">
        <f>SUM(OSRRefP22_6x_0)</f>
        <v>-17249.519999999997</v>
      </c>
      <c r="Q69" s="1"/>
      <c r="R69" s="5">
        <f t="shared" si="39"/>
        <v>-3.5071843875731611E-2</v>
      </c>
      <c r="S69" s="1"/>
      <c r="T69" s="1">
        <f>SUM(OSRRefT22_6x_0)</f>
        <v>-32698.75</v>
      </c>
      <c r="U69" s="1"/>
      <c r="V69" s="5">
        <f t="shared" si="40"/>
        <v>-4.8405601390569944E-2</v>
      </c>
      <c r="W69" s="1"/>
      <c r="X69" s="1">
        <f t="shared" si="41"/>
        <v>15449.230000000003</v>
      </c>
      <c r="Y69" s="1"/>
      <c r="Z69" s="5">
        <f t="shared" si="42"/>
        <v>-0.47247157765969655</v>
      </c>
    </row>
    <row r="70" spans="1:26" s="24" customFormat="1" hidden="1" outlineLevel="2" x14ac:dyDescent="0.25">
      <c r="A70" s="27"/>
      <c r="B70" s="11" t="str">
        <f>CONCATENATE("          ", "6305", " - ", "FREIGHT OUT")</f>
        <v xml:space="preserve">          6305 - FREIGHT OUT</v>
      </c>
      <c r="C70" s="11"/>
      <c r="D70" s="6">
        <v>3027.18</v>
      </c>
      <c r="E70" s="2"/>
      <c r="F70" s="7">
        <f t="shared" si="35"/>
        <v>0.70831939163498092</v>
      </c>
      <c r="G70" s="2"/>
      <c r="H70" s="6">
        <v>2700.53</v>
      </c>
      <c r="I70" s="2"/>
      <c r="J70" s="7">
        <f t="shared" si="36"/>
        <v>3.2725949844842797E-2</v>
      </c>
      <c r="K70" s="2"/>
      <c r="L70" s="6">
        <f t="shared" si="37"/>
        <v>326.64999999999964</v>
      </c>
      <c r="M70" s="2"/>
      <c r="N70" s="7">
        <f t="shared" si="38"/>
        <v>0.12095773792551819</v>
      </c>
      <c r="O70" s="11"/>
      <c r="P70" s="6">
        <v>39426.720000000001</v>
      </c>
      <c r="Q70" s="2"/>
      <c r="R70" s="7">
        <f t="shared" si="39"/>
        <v>8.0162680954147442E-2</v>
      </c>
      <c r="S70" s="2"/>
      <c r="T70" s="6">
        <v>39114.47</v>
      </c>
      <c r="U70" s="2"/>
      <c r="V70" s="7">
        <f t="shared" si="40"/>
        <v>5.7903113832284303E-2</v>
      </c>
      <c r="W70" s="2"/>
      <c r="X70" s="6">
        <f t="shared" si="41"/>
        <v>312.25</v>
      </c>
      <c r="Y70" s="2"/>
      <c r="Z70" s="7">
        <f t="shared" si="42"/>
        <v>7.982979189031578E-3</v>
      </c>
    </row>
    <row r="71" spans="1:26" s="24" customFormat="1" hidden="1" outlineLevel="2" x14ac:dyDescent="0.25">
      <c r="A71" s="27"/>
      <c r="B71" s="11" t="str">
        <f>CONCATENATE("          ", "6307", " - ", "POSTAGE")</f>
        <v xml:space="preserve">          6307 - POSTAGE</v>
      </c>
      <c r="C71" s="11"/>
      <c r="D71" s="6">
        <v>-1975.79</v>
      </c>
      <c r="E71" s="2"/>
      <c r="F71" s="7">
        <f t="shared" si="35"/>
        <v>-0.46230827727405671</v>
      </c>
      <c r="G71" s="2"/>
      <c r="H71" s="6">
        <v>-2091.92</v>
      </c>
      <c r="I71" s="2"/>
      <c r="J71" s="7">
        <f t="shared" si="36"/>
        <v>-2.5350604881050589E-2</v>
      </c>
      <c r="K71" s="2"/>
      <c r="L71" s="6">
        <f t="shared" si="37"/>
        <v>116.13000000000011</v>
      </c>
      <c r="M71" s="2"/>
      <c r="N71" s="7">
        <f t="shared" si="38"/>
        <v>-5.5513595166163193E-2</v>
      </c>
      <c r="O71" s="11"/>
      <c r="P71" s="6">
        <v>-56676.24</v>
      </c>
      <c r="Q71" s="2"/>
      <c r="R71" s="7">
        <f t="shared" si="39"/>
        <v>-0.11523452482987905</v>
      </c>
      <c r="S71" s="2"/>
      <c r="T71" s="6">
        <v>-71813.22</v>
      </c>
      <c r="U71" s="2"/>
      <c r="V71" s="7">
        <f t="shared" si="40"/>
        <v>-0.10630871522285425</v>
      </c>
      <c r="W71" s="2"/>
      <c r="X71" s="6">
        <f t="shared" si="41"/>
        <v>15136.980000000003</v>
      </c>
      <c r="Y71" s="2"/>
      <c r="Z71" s="7">
        <f t="shared" si="42"/>
        <v>-0.21078263862837515</v>
      </c>
    </row>
    <row r="72" spans="1:26" s="25" customFormat="1" outlineLevel="1" collapsed="1" x14ac:dyDescent="0.25">
      <c r="A72" s="26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SUM(OSRRefD22_7x_0)</f>
        <v>0</v>
      </c>
      <c r="E72" s="1"/>
      <c r="F72" s="5">
        <f t="shared" ref="F72:F78" si="43">IF(D$12=0,0,D72/D$12)</f>
        <v>0</v>
      </c>
      <c r="G72" s="1"/>
      <c r="H72" s="1">
        <f>SUM(OSRRefH22_7x_0)</f>
        <v>22.65</v>
      </c>
      <c r="I72" s="1"/>
      <c r="J72" s="5">
        <f t="shared" ref="J72:J78" si="44">IF(H$12=0,0,H72/H$12)</f>
        <v>2.7448047753059191E-4</v>
      </c>
      <c r="K72" s="1"/>
      <c r="L72" s="1">
        <f t="shared" ref="L72:L78" si="45">+D72-H72</f>
        <v>-22.65</v>
      </c>
      <c r="M72" s="1"/>
      <c r="N72" s="5">
        <f t="shared" ref="N72:N78" si="46">IF(H72=0,0,L72/H72)</f>
        <v>-1</v>
      </c>
      <c r="O72" s="13"/>
      <c r="P72" s="1">
        <f>SUM(OSRRefP22_7x_0)</f>
        <v>155.16999999999999</v>
      </c>
      <c r="Q72" s="1"/>
      <c r="R72" s="5">
        <f t="shared" ref="R72:R78" si="47">IF(P$12=0,0,P72/P$12)</f>
        <v>3.1549272177992631E-4</v>
      </c>
      <c r="S72" s="1"/>
      <c r="T72" s="1">
        <f>SUM(OSRRefT22_7x_0)</f>
        <v>291.33</v>
      </c>
      <c r="U72" s="1"/>
      <c r="V72" s="5">
        <f t="shared" ref="V72:V78" si="48">IF(T$12=0,0,T72/T$12)</f>
        <v>4.312704263347908E-4</v>
      </c>
      <c r="W72" s="1"/>
      <c r="X72" s="1">
        <f t="shared" ref="X72:X78" si="49">+P72-T72</f>
        <v>-136.16</v>
      </c>
      <c r="Y72" s="1"/>
      <c r="Z72" s="5">
        <f t="shared" ref="Z72:Z78" si="50">IF(T72=0,0,X72/T72)</f>
        <v>-0.46737376857858787</v>
      </c>
    </row>
    <row r="73" spans="1:26" s="24" customFormat="1" hidden="1" outlineLevel="2" x14ac:dyDescent="0.25">
      <c r="A73" s="27"/>
      <c r="B73" s="11" t="str">
        <f>CONCATENATE("          ", "6279", " - ", "GENERAL EXPENSE")</f>
        <v xml:space="preserve">          6279 - GENERAL EXPENSE</v>
      </c>
      <c r="C73" s="11"/>
      <c r="D73" s="6"/>
      <c r="E73" s="2"/>
      <c r="F73" s="7">
        <f t="shared" si="43"/>
        <v>0</v>
      </c>
      <c r="G73" s="2"/>
      <c r="H73" s="6">
        <v>22.65</v>
      </c>
      <c r="I73" s="2"/>
      <c r="J73" s="7">
        <f t="shared" si="44"/>
        <v>2.7448047753059191E-4</v>
      </c>
      <c r="K73" s="2"/>
      <c r="L73" s="6">
        <f t="shared" si="45"/>
        <v>-22.65</v>
      </c>
      <c r="M73" s="2"/>
      <c r="N73" s="7">
        <f t="shared" si="46"/>
        <v>-1</v>
      </c>
      <c r="O73" s="11"/>
      <c r="P73" s="6">
        <v>155.16999999999999</v>
      </c>
      <c r="Q73" s="2"/>
      <c r="R73" s="7">
        <f t="shared" si="47"/>
        <v>3.1549272177992631E-4</v>
      </c>
      <c r="S73" s="2"/>
      <c r="T73" s="6">
        <v>291.33</v>
      </c>
      <c r="U73" s="2"/>
      <c r="V73" s="7">
        <f t="shared" si="48"/>
        <v>4.312704263347908E-4</v>
      </c>
      <c r="W73" s="2"/>
      <c r="X73" s="6">
        <f t="shared" si="49"/>
        <v>-136.16</v>
      </c>
      <c r="Y73" s="2"/>
      <c r="Z73" s="7">
        <f t="shared" si="50"/>
        <v>-0.46737376857858787</v>
      </c>
    </row>
    <row r="74" spans="1:26" s="25" customFormat="1" outlineLevel="1" collapsed="1" x14ac:dyDescent="0.25">
      <c r="A74" s="26"/>
      <c r="B74" s="13" t="str">
        <f>CONCATENATE("     ","Inventory Adjustment                              ")</f>
        <v xml:space="preserve">     Inventory Adjustment                              </v>
      </c>
      <c r="C74" s="13"/>
      <c r="D74" s="1">
        <f>SUM(OSRRefD22_8x_0)</f>
        <v>100</v>
      </c>
      <c r="E74" s="1"/>
      <c r="F74" s="5">
        <f t="shared" si="43"/>
        <v>2.3398654577361802E-2</v>
      </c>
      <c r="G74" s="1"/>
      <c r="H74" s="1">
        <f>SUM(OSRRefH22_8x_0)</f>
        <v>100</v>
      </c>
      <c r="I74" s="1"/>
      <c r="J74" s="5">
        <f t="shared" si="44"/>
        <v>1.2118343378834081E-3</v>
      </c>
      <c r="K74" s="1"/>
      <c r="L74" s="1">
        <f t="shared" si="45"/>
        <v>0</v>
      </c>
      <c r="M74" s="1"/>
      <c r="N74" s="5">
        <f t="shared" si="46"/>
        <v>0</v>
      </c>
      <c r="O74" s="13"/>
      <c r="P74" s="1">
        <f>SUM(OSRRefP22_8x_0)</f>
        <v>900</v>
      </c>
      <c r="Q74" s="1"/>
      <c r="R74" s="5">
        <f t="shared" si="47"/>
        <v>1.8298862512208141E-3</v>
      </c>
      <c r="S74" s="1"/>
      <c r="T74" s="1">
        <f>SUM(OSRRefT22_8x_0)</f>
        <v>1000</v>
      </c>
      <c r="U74" s="1"/>
      <c r="V74" s="5">
        <f t="shared" si="48"/>
        <v>1.4803502088174606E-3</v>
      </c>
      <c r="W74" s="1"/>
      <c r="X74" s="1">
        <f t="shared" si="49"/>
        <v>-100</v>
      </c>
      <c r="Y74" s="1"/>
      <c r="Z74" s="5">
        <f t="shared" si="50"/>
        <v>-0.1</v>
      </c>
    </row>
    <row r="75" spans="1:26" s="24" customFormat="1" hidden="1" outlineLevel="2" x14ac:dyDescent="0.25">
      <c r="A75" s="27"/>
      <c r="B75" s="11" t="str">
        <f>CONCATENATE("          ", "6408", " - ", "INVENTORY ADJUSTMENT")</f>
        <v xml:space="preserve">          6408 - INVENTORY ADJUSTMENT</v>
      </c>
      <c r="C75" s="11"/>
      <c r="D75" s="6">
        <v>100</v>
      </c>
      <c r="E75" s="2"/>
      <c r="F75" s="7">
        <f t="shared" si="43"/>
        <v>2.3398654577361802E-2</v>
      </c>
      <c r="G75" s="2"/>
      <c r="H75" s="6">
        <v>100</v>
      </c>
      <c r="I75" s="2"/>
      <c r="J75" s="7">
        <f t="shared" si="44"/>
        <v>1.2118343378834081E-3</v>
      </c>
      <c r="K75" s="2"/>
      <c r="L75" s="6">
        <f t="shared" si="45"/>
        <v>0</v>
      </c>
      <c r="M75" s="2"/>
      <c r="N75" s="7">
        <f t="shared" si="46"/>
        <v>0</v>
      </c>
      <c r="O75" s="11"/>
      <c r="P75" s="6">
        <v>900</v>
      </c>
      <c r="Q75" s="2"/>
      <c r="R75" s="7">
        <f t="shared" si="47"/>
        <v>1.8298862512208141E-3</v>
      </c>
      <c r="S75" s="2"/>
      <c r="T75" s="6">
        <v>1000</v>
      </c>
      <c r="U75" s="2"/>
      <c r="V75" s="7">
        <f t="shared" si="48"/>
        <v>1.4803502088174606E-3</v>
      </c>
      <c r="W75" s="2"/>
      <c r="X75" s="6">
        <f t="shared" si="49"/>
        <v>-100</v>
      </c>
      <c r="Y75" s="2"/>
      <c r="Z75" s="7">
        <f t="shared" si="50"/>
        <v>-0.1</v>
      </c>
    </row>
    <row r="76" spans="1:26" s="25" customFormat="1" outlineLevel="1" collapsed="1" x14ac:dyDescent="0.25">
      <c r="A76" s="26"/>
      <c r="B76" s="13" t="str">
        <f>CONCATENATE("     ","Repair and Maintenance                            ")</f>
        <v xml:space="preserve">     Repair and Maintenance                            </v>
      </c>
      <c r="C76" s="13"/>
      <c r="D76" s="1">
        <f>SUM(OSRRefD22_9x_0)</f>
        <v>5143.9799999999996</v>
      </c>
      <c r="E76" s="1"/>
      <c r="F76" s="5">
        <f t="shared" si="43"/>
        <v>1.2036221117285755</v>
      </c>
      <c r="G76" s="1"/>
      <c r="H76" s="1">
        <f>SUM(OSRRefH22_9x_0)</f>
        <v>5298.96</v>
      </c>
      <c r="I76" s="1"/>
      <c r="J76" s="5">
        <f t="shared" si="44"/>
        <v>6.4214616830706631E-2</v>
      </c>
      <c r="K76" s="1"/>
      <c r="L76" s="1">
        <f t="shared" si="45"/>
        <v>-154.98000000000047</v>
      </c>
      <c r="M76" s="1"/>
      <c r="N76" s="5">
        <f t="shared" si="46"/>
        <v>-2.9247248516690156E-2</v>
      </c>
      <c r="O76" s="13"/>
      <c r="P76" s="1">
        <f>SUM(OSRRefP22_9x_0)</f>
        <v>65914.31</v>
      </c>
      <c r="Q76" s="1"/>
      <c r="R76" s="5">
        <f t="shared" si="47"/>
        <v>0.134017432919674</v>
      </c>
      <c r="S76" s="1"/>
      <c r="T76" s="1">
        <f>SUM(OSRRefT22_9x_0)</f>
        <v>65214.79</v>
      </c>
      <c r="U76" s="1"/>
      <c r="V76" s="5">
        <f t="shared" si="48"/>
        <v>9.6540727994486847E-2</v>
      </c>
      <c r="W76" s="1"/>
      <c r="X76" s="1">
        <f t="shared" si="49"/>
        <v>699.5199999999968</v>
      </c>
      <c r="Y76" s="1"/>
      <c r="Z76" s="5">
        <f t="shared" si="50"/>
        <v>1.0726401173721433E-2</v>
      </c>
    </row>
    <row r="77" spans="1:26" s="24" customFormat="1" hidden="1" outlineLevel="2" x14ac:dyDescent="0.25">
      <c r="A77" s="27"/>
      <c r="B77" s="11" t="str">
        <f>CONCATENATE("          ", "6373", " - ", "MAINTENANCE CONTRACTS")</f>
        <v xml:space="preserve">          6373 - MAINTENANCE CONTRACTS</v>
      </c>
      <c r="C77" s="11"/>
      <c r="D77" s="6">
        <v>4665.28</v>
      </c>
      <c r="E77" s="2"/>
      <c r="F77" s="7">
        <f t="shared" si="43"/>
        <v>1.0916127522667447</v>
      </c>
      <c r="G77" s="2"/>
      <c r="H77" s="6">
        <v>5298.96</v>
      </c>
      <c r="I77" s="2"/>
      <c r="J77" s="7">
        <f t="shared" si="44"/>
        <v>6.4214616830706631E-2</v>
      </c>
      <c r="K77" s="2"/>
      <c r="L77" s="6">
        <f t="shared" si="45"/>
        <v>-633.68000000000029</v>
      </c>
      <c r="M77" s="2"/>
      <c r="N77" s="7">
        <f t="shared" si="46"/>
        <v>-0.11958573003004369</v>
      </c>
      <c r="O77" s="11"/>
      <c r="P77" s="6">
        <v>64512.55</v>
      </c>
      <c r="Q77" s="2"/>
      <c r="R77" s="7">
        <f t="shared" si="47"/>
        <v>0.13116736475132815</v>
      </c>
      <c r="S77" s="2"/>
      <c r="T77" s="6">
        <v>65066.25</v>
      </c>
      <c r="U77" s="2"/>
      <c r="V77" s="7">
        <f t="shared" si="48"/>
        <v>9.6320836774469093E-2</v>
      </c>
      <c r="W77" s="2"/>
      <c r="X77" s="6">
        <f t="shared" si="49"/>
        <v>-553.69999999999709</v>
      </c>
      <c r="Y77" s="2"/>
      <c r="Z77" s="7">
        <f t="shared" si="50"/>
        <v>-8.5097881005897387E-3</v>
      </c>
    </row>
    <row r="78" spans="1:26" s="24" customFormat="1" hidden="1" outlineLevel="2" x14ac:dyDescent="0.25">
      <c r="A78" s="27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478.7</v>
      </c>
      <c r="E78" s="2"/>
      <c r="F78" s="7">
        <f t="shared" si="43"/>
        <v>0.11200935946183094</v>
      </c>
      <c r="G78" s="2"/>
      <c r="H78" s="6"/>
      <c r="I78" s="2"/>
      <c r="J78" s="7">
        <f t="shared" si="44"/>
        <v>0</v>
      </c>
      <c r="K78" s="2"/>
      <c r="L78" s="6">
        <f t="shared" si="45"/>
        <v>478.7</v>
      </c>
      <c r="M78" s="2"/>
      <c r="N78" s="7">
        <f t="shared" si="46"/>
        <v>0</v>
      </c>
      <c r="O78" s="11"/>
      <c r="P78" s="6">
        <v>1401.76</v>
      </c>
      <c r="Q78" s="2"/>
      <c r="R78" s="7">
        <f t="shared" si="47"/>
        <v>2.8500681683458757E-3</v>
      </c>
      <c r="S78" s="2"/>
      <c r="T78" s="6">
        <v>148.54</v>
      </c>
      <c r="U78" s="2"/>
      <c r="V78" s="7">
        <f t="shared" si="48"/>
        <v>2.1989122001774559E-4</v>
      </c>
      <c r="W78" s="2"/>
      <c r="X78" s="6">
        <f t="shared" si="49"/>
        <v>1253.22</v>
      </c>
      <c r="Y78" s="2"/>
      <c r="Z78" s="7">
        <f t="shared" si="50"/>
        <v>8.4369193483236842</v>
      </c>
    </row>
    <row r="79" spans="1:26" s="25" customFormat="1" outlineLevel="1" collapsed="1" x14ac:dyDescent="0.25">
      <c r="A79" s="26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SUM(OSRRefD22_10x_0)</f>
        <v>5781.94</v>
      </c>
      <c r="E79" s="1"/>
      <c r="F79" s="5">
        <f t="shared" ref="F79:F86" si="51">IF(D$12=0,0,D79/D$12)</f>
        <v>1.3528961684703129</v>
      </c>
      <c r="G79" s="1"/>
      <c r="H79" s="1">
        <f>SUM(OSRRefH22_10x_0)</f>
        <v>23557.96</v>
      </c>
      <c r="I79" s="1"/>
      <c r="J79" s="5">
        <f t="shared" ref="J79:J86" si="52">IF(H$12=0,0,H79/H$12)</f>
        <v>0.2854834485848381</v>
      </c>
      <c r="K79" s="1"/>
      <c r="L79" s="1">
        <f t="shared" ref="L79:L86" si="53">+D79-H79</f>
        <v>-17776.02</v>
      </c>
      <c r="M79" s="1"/>
      <c r="N79" s="5">
        <f t="shared" ref="N79:N86" si="54">IF(H79=0,0,L79/H79)</f>
        <v>-0.75456533587797925</v>
      </c>
      <c r="O79" s="13"/>
      <c r="P79" s="1">
        <f>SUM(OSRRefP22_10x_0)</f>
        <v>82607.740000000005</v>
      </c>
      <c r="Q79" s="1"/>
      <c r="R79" s="5">
        <f t="shared" ref="R79:R86" si="55">IF(P$12=0,0,P79/P$12)</f>
        <v>0.16795863074491521</v>
      </c>
      <c r="S79" s="1"/>
      <c r="T79" s="1">
        <f>SUM(OSRRefT22_10x_0)</f>
        <v>102838.90999999999</v>
      </c>
      <c r="U79" s="1"/>
      <c r="V79" s="5">
        <f t="shared" ref="V79:V86" si="56">IF(T$12=0,0,T79/T$12)</f>
        <v>0.15223760189306002</v>
      </c>
      <c r="W79" s="1"/>
      <c r="X79" s="1">
        <f t="shared" ref="X79:X86" si="57">+P79-T79</f>
        <v>-20231.169999999984</v>
      </c>
      <c r="Y79" s="1"/>
      <c r="Z79" s="5">
        <f t="shared" ref="Z79:Z86" si="58">IF(T79=0,0,X79/T79)</f>
        <v>-0.19672680311372404</v>
      </c>
    </row>
    <row r="80" spans="1:26" s="24" customFormat="1" hidden="1" outlineLevel="2" x14ac:dyDescent="0.25">
      <c r="A80" s="27"/>
      <c r="B80" s="11" t="str">
        <f>CONCATENATE("          ", "6259", " - ", "ROYALTY &amp; COMMISSIONS")</f>
        <v xml:space="preserve">          6259 - ROYALTY &amp; COMMISSIONS</v>
      </c>
      <c r="C80" s="11"/>
      <c r="D80" s="6">
        <v>5781.94</v>
      </c>
      <c r="E80" s="2"/>
      <c r="F80" s="7">
        <f t="shared" si="51"/>
        <v>1.3528961684703129</v>
      </c>
      <c r="G80" s="2"/>
      <c r="H80" s="6">
        <v>23557.96</v>
      </c>
      <c r="I80" s="2"/>
      <c r="J80" s="7">
        <f t="shared" si="52"/>
        <v>0.2854834485848381</v>
      </c>
      <c r="K80" s="2"/>
      <c r="L80" s="6">
        <f t="shared" si="53"/>
        <v>-17776.02</v>
      </c>
      <c r="M80" s="2"/>
      <c r="N80" s="7">
        <f t="shared" si="54"/>
        <v>-0.75456533587797925</v>
      </c>
      <c r="O80" s="11"/>
      <c r="P80" s="6">
        <v>82607.740000000005</v>
      </c>
      <c r="Q80" s="2"/>
      <c r="R80" s="7">
        <f t="shared" si="55"/>
        <v>0.16795863074491521</v>
      </c>
      <c r="S80" s="2"/>
      <c r="T80" s="6">
        <v>102838.90999999999</v>
      </c>
      <c r="U80" s="2"/>
      <c r="V80" s="7">
        <f t="shared" si="56"/>
        <v>0.15223760189306002</v>
      </c>
      <c r="W80" s="2"/>
      <c r="X80" s="6">
        <f t="shared" si="57"/>
        <v>-20231.169999999984</v>
      </c>
      <c r="Y80" s="2"/>
      <c r="Z80" s="7">
        <f t="shared" si="58"/>
        <v>-0.19672680311372404</v>
      </c>
    </row>
    <row r="81" spans="1:26" s="25" customFormat="1" outlineLevel="1" collapsed="1" x14ac:dyDescent="0.25">
      <c r="A81" s="26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SUM(OSRRefD22_11x_0)</f>
        <v>1978.3</v>
      </c>
      <c r="E81" s="1"/>
      <c r="F81" s="5">
        <f t="shared" si="51"/>
        <v>0.46289558350394849</v>
      </c>
      <c r="G81" s="1"/>
      <c r="H81" s="1">
        <f>SUM(OSRRefH22_11x_0)</f>
        <v>5554.77</v>
      </c>
      <c r="I81" s="1"/>
      <c r="J81" s="5">
        <f t="shared" si="52"/>
        <v>6.7314610250446189E-2</v>
      </c>
      <c r="K81" s="1"/>
      <c r="L81" s="1">
        <f t="shared" si="53"/>
        <v>-3576.4700000000003</v>
      </c>
      <c r="M81" s="1"/>
      <c r="N81" s="5">
        <f t="shared" si="54"/>
        <v>-0.64385564118766392</v>
      </c>
      <c r="O81" s="13"/>
      <c r="P81" s="1">
        <f>SUM(OSRRefP22_11x_0)</f>
        <v>48597.17</v>
      </c>
      <c r="Q81" s="1"/>
      <c r="R81" s="5">
        <f t="shared" si="55"/>
        <v>9.8808103590267329E-2</v>
      </c>
      <c r="S81" s="1"/>
      <c r="T81" s="1">
        <f>SUM(OSRRefT22_11x_0)</f>
        <v>56705.53</v>
      </c>
      <c r="U81" s="1"/>
      <c r="V81" s="5">
        <f t="shared" si="56"/>
        <v>8.3944043176604782E-2</v>
      </c>
      <c r="W81" s="1"/>
      <c r="X81" s="1">
        <f t="shared" si="57"/>
        <v>-8108.3600000000006</v>
      </c>
      <c r="Y81" s="1"/>
      <c r="Z81" s="5">
        <f t="shared" si="58"/>
        <v>-0.14299063953727265</v>
      </c>
    </row>
    <row r="82" spans="1:26" s="24" customFormat="1" hidden="1" outlineLevel="2" x14ac:dyDescent="0.25">
      <c r="A82" s="27"/>
      <c r="B82" s="11" t="str">
        <f>CONCATENATE("          ", "6234", " - ", "EXPENDABLE SUPPLIES &amp; EQUIPMEN")</f>
        <v xml:space="preserve">          6234 - EXPENDABLE SUPPLIES &amp; EQUIPMEN</v>
      </c>
      <c r="C82" s="11"/>
      <c r="D82" s="6"/>
      <c r="E82" s="2"/>
      <c r="F82" s="7">
        <f t="shared" si="51"/>
        <v>0</v>
      </c>
      <c r="G82" s="2"/>
      <c r="H82" s="6"/>
      <c r="I82" s="2"/>
      <c r="J82" s="7">
        <f t="shared" si="52"/>
        <v>0</v>
      </c>
      <c r="K82" s="2"/>
      <c r="L82" s="6">
        <f t="shared" si="53"/>
        <v>0</v>
      </c>
      <c r="M82" s="2"/>
      <c r="N82" s="7">
        <f t="shared" si="54"/>
        <v>0</v>
      </c>
      <c r="O82" s="11"/>
      <c r="P82" s="6">
        <v>1017.27</v>
      </c>
      <c r="Q82" s="2"/>
      <c r="R82" s="7">
        <f t="shared" si="55"/>
        <v>2.068320429754886E-3</v>
      </c>
      <c r="S82" s="2"/>
      <c r="T82" s="6">
        <v>856.68</v>
      </c>
      <c r="U82" s="2"/>
      <c r="V82" s="7">
        <f t="shared" si="56"/>
        <v>1.2681864168897421E-3</v>
      </c>
      <c r="W82" s="2"/>
      <c r="X82" s="6">
        <f t="shared" si="57"/>
        <v>160.59000000000003</v>
      </c>
      <c r="Y82" s="2"/>
      <c r="Z82" s="7">
        <f t="shared" si="58"/>
        <v>0.18745622636223566</v>
      </c>
    </row>
    <row r="83" spans="1:26" s="24" customFormat="1" hidden="1" outlineLevel="2" x14ac:dyDescent="0.25">
      <c r="A83" s="27"/>
      <c r="B83" s="11" t="str">
        <f>CONCATENATE("          ", "6241", " - ", "OFFICE EXPENSE")</f>
        <v xml:space="preserve">          6241 - OFFICE EXPENSE</v>
      </c>
      <c r="C83" s="11"/>
      <c r="D83" s="6"/>
      <c r="E83" s="2"/>
      <c r="F83" s="7">
        <f t="shared" si="51"/>
        <v>0</v>
      </c>
      <c r="G83" s="2"/>
      <c r="H83" s="6"/>
      <c r="I83" s="2"/>
      <c r="J83" s="7">
        <f t="shared" si="52"/>
        <v>0</v>
      </c>
      <c r="K83" s="2"/>
      <c r="L83" s="6">
        <f t="shared" si="53"/>
        <v>0</v>
      </c>
      <c r="M83" s="2"/>
      <c r="N83" s="7">
        <f t="shared" si="54"/>
        <v>0</v>
      </c>
      <c r="O83" s="11"/>
      <c r="P83" s="6">
        <v>1713.32</v>
      </c>
      <c r="Q83" s="2"/>
      <c r="R83" s="7">
        <f t="shared" si="55"/>
        <v>3.4835341243796055E-3</v>
      </c>
      <c r="S83" s="2"/>
      <c r="T83" s="6">
        <v>58.15</v>
      </c>
      <c r="U83" s="2"/>
      <c r="V83" s="7">
        <f t="shared" si="56"/>
        <v>8.6082364642735339E-5</v>
      </c>
      <c r="W83" s="2"/>
      <c r="X83" s="6">
        <f t="shared" si="57"/>
        <v>1655.1699999999998</v>
      </c>
      <c r="Y83" s="2"/>
      <c r="Z83" s="7">
        <f t="shared" si="58"/>
        <v>28.463800515907135</v>
      </c>
    </row>
    <row r="84" spans="1:26" s="24" customFormat="1" hidden="1" outlineLevel="2" x14ac:dyDescent="0.25">
      <c r="A84" s="27"/>
      <c r="B84" s="11" t="str">
        <f>CONCATENATE("          ", "6243", " - ", "PAPER SUPPLIES")</f>
        <v xml:space="preserve">          6243 - PAPER SUPPLIES</v>
      </c>
      <c r="C84" s="11"/>
      <c r="D84" s="6">
        <v>791.44</v>
      </c>
      <c r="E84" s="2"/>
      <c r="F84" s="7">
        <f t="shared" si="51"/>
        <v>0.18518631178707226</v>
      </c>
      <c r="G84" s="2"/>
      <c r="H84" s="6">
        <v>4596</v>
      </c>
      <c r="I84" s="2"/>
      <c r="J84" s="7">
        <f t="shared" si="52"/>
        <v>5.5695906169121429E-2</v>
      </c>
      <c r="K84" s="2"/>
      <c r="L84" s="6">
        <f t="shared" si="53"/>
        <v>-3804.56</v>
      </c>
      <c r="M84" s="2"/>
      <c r="N84" s="7">
        <f t="shared" si="54"/>
        <v>-0.82779808529155785</v>
      </c>
      <c r="O84" s="11"/>
      <c r="P84" s="6">
        <v>17888.36</v>
      </c>
      <c r="Q84" s="2"/>
      <c r="R84" s="7">
        <f t="shared" si="55"/>
        <v>3.6370737800987069E-2</v>
      </c>
      <c r="S84" s="2"/>
      <c r="T84" s="6">
        <v>31085.74</v>
      </c>
      <c r="U84" s="2"/>
      <c r="V84" s="7">
        <f t="shared" si="56"/>
        <v>4.6017781700245293E-2</v>
      </c>
      <c r="W84" s="2"/>
      <c r="X84" s="6">
        <f t="shared" si="57"/>
        <v>-13197.380000000001</v>
      </c>
      <c r="Y84" s="2"/>
      <c r="Z84" s="7">
        <f t="shared" si="58"/>
        <v>-0.42454771866457097</v>
      </c>
    </row>
    <row r="85" spans="1:26" s="24" customFormat="1" hidden="1" outlineLevel="2" x14ac:dyDescent="0.25">
      <c r="A85" s="27"/>
      <c r="B85" s="11" t="str">
        <f>CONCATENATE("          ", "6245", " - ", "PRINTING")</f>
        <v xml:space="preserve">          6245 - PRINTING</v>
      </c>
      <c r="C85" s="11"/>
      <c r="D85" s="6">
        <v>264.60000000000002</v>
      </c>
      <c r="E85" s="2"/>
      <c r="F85" s="7">
        <f t="shared" si="51"/>
        <v>6.1912840011699333E-2</v>
      </c>
      <c r="G85" s="2"/>
      <c r="H85" s="6">
        <v>22</v>
      </c>
      <c r="I85" s="2"/>
      <c r="J85" s="7">
        <f t="shared" si="52"/>
        <v>2.6660355433434977E-4</v>
      </c>
      <c r="K85" s="2"/>
      <c r="L85" s="6">
        <f t="shared" si="53"/>
        <v>242.60000000000002</v>
      </c>
      <c r="M85" s="2"/>
      <c r="N85" s="7">
        <f t="shared" si="54"/>
        <v>11.027272727272729</v>
      </c>
      <c r="O85" s="11"/>
      <c r="P85" s="6">
        <v>5828.02</v>
      </c>
      <c r="Q85" s="2"/>
      <c r="R85" s="7">
        <f t="shared" si="55"/>
        <v>1.1849570744266588E-2</v>
      </c>
      <c r="S85" s="2"/>
      <c r="T85" s="6">
        <v>8626.7999999999993</v>
      </c>
      <c r="U85" s="2"/>
      <c r="V85" s="7">
        <f t="shared" si="56"/>
        <v>1.2770685181426468E-2</v>
      </c>
      <c r="W85" s="2"/>
      <c r="X85" s="6">
        <f t="shared" si="57"/>
        <v>-2798.7799999999988</v>
      </c>
      <c r="Y85" s="2"/>
      <c r="Z85" s="7">
        <f t="shared" si="58"/>
        <v>-0.32442852506143632</v>
      </c>
    </row>
    <row r="86" spans="1:26" s="24" customFormat="1" hidden="1" outlineLevel="2" x14ac:dyDescent="0.25">
      <c r="A86" s="27"/>
      <c r="B86" s="11" t="str">
        <f>CONCATENATE("          ", "6247", " - ", "STORE SUPPLIES")</f>
        <v xml:space="preserve">          6247 - STORE SUPPLIES</v>
      </c>
      <c r="C86" s="11"/>
      <c r="D86" s="6">
        <v>922.26</v>
      </c>
      <c r="E86" s="2"/>
      <c r="F86" s="7">
        <f t="shared" si="51"/>
        <v>0.21579643170517696</v>
      </c>
      <c r="G86" s="2"/>
      <c r="H86" s="6">
        <v>936.77</v>
      </c>
      <c r="I86" s="2"/>
      <c r="J86" s="7">
        <f t="shared" si="52"/>
        <v>1.13521005269904E-2</v>
      </c>
      <c r="K86" s="2"/>
      <c r="L86" s="6">
        <f t="shared" si="53"/>
        <v>-14.509999999999991</v>
      </c>
      <c r="M86" s="2"/>
      <c r="N86" s="7">
        <f t="shared" si="54"/>
        <v>-1.5489394408446034E-2</v>
      </c>
      <c r="O86" s="11"/>
      <c r="P86" s="6">
        <v>22150.2</v>
      </c>
      <c r="Q86" s="2"/>
      <c r="R86" s="7">
        <f t="shared" si="55"/>
        <v>4.5035940490879195E-2</v>
      </c>
      <c r="S86" s="2"/>
      <c r="T86" s="6">
        <v>16078.16</v>
      </c>
      <c r="U86" s="2"/>
      <c r="V86" s="7">
        <f t="shared" si="56"/>
        <v>2.3801307513400542E-2</v>
      </c>
      <c r="W86" s="2"/>
      <c r="X86" s="6">
        <f t="shared" si="57"/>
        <v>6072.0400000000009</v>
      </c>
      <c r="Y86" s="2"/>
      <c r="Z86" s="7">
        <f t="shared" si="58"/>
        <v>0.377657642416794</v>
      </c>
    </row>
    <row r="87" spans="1:26" s="25" customFormat="1" outlineLevel="1" collapsed="1" x14ac:dyDescent="0.25">
      <c r="A87" s="26"/>
      <c r="B87" s="13" t="str">
        <f>CONCATENATE("     ","Telephone/Data Lines                              ")</f>
        <v xml:space="preserve">     Telephone/Data Lines                              </v>
      </c>
      <c r="C87" s="13"/>
      <c r="D87" s="1">
        <f>SUM(OSRRefD22_12x_0)</f>
        <v>205.85</v>
      </c>
      <c r="E87" s="1"/>
      <c r="F87" s="5">
        <f t="shared" ref="F87:F90" si="59">IF(D$12=0,0,D87/D$12)</f>
        <v>4.8166130447499268E-2</v>
      </c>
      <c r="G87" s="1"/>
      <c r="H87" s="1">
        <f>SUM(OSRRefH22_12x_0)</f>
        <v>485.75</v>
      </c>
      <c r="I87" s="1"/>
      <c r="J87" s="5">
        <f t="shared" ref="J87:J90" si="60">IF(H$12=0,0,H87/H$12)</f>
        <v>5.886485296268654E-3</v>
      </c>
      <c r="K87" s="1"/>
      <c r="L87" s="1">
        <f t="shared" ref="L87:L90" si="61">+D87-H87</f>
        <v>-279.89999999999998</v>
      </c>
      <c r="M87" s="1"/>
      <c r="N87" s="5">
        <f t="shared" ref="N87:N90" si="62">IF(H87=0,0,L87/H87)</f>
        <v>-0.57622233659289757</v>
      </c>
      <c r="O87" s="13"/>
      <c r="P87" s="1">
        <f>SUM(OSRRefP22_12x_0)</f>
        <v>2026</v>
      </c>
      <c r="Q87" s="1"/>
      <c r="R87" s="5">
        <f t="shared" ref="R87:R90" si="63">IF(P$12=0,0,P87/P$12)</f>
        <v>4.1192772721926323E-3</v>
      </c>
      <c r="S87" s="1"/>
      <c r="T87" s="1">
        <f>SUM(OSRRefT22_12x_0)</f>
        <v>3212.28</v>
      </c>
      <c r="U87" s="1"/>
      <c r="V87" s="5">
        <f t="shared" ref="V87:V90" si="64">IF(T$12=0,0,T87/T$12)</f>
        <v>4.7552993687801524E-3</v>
      </c>
      <c r="W87" s="1"/>
      <c r="X87" s="1">
        <f t="shared" ref="X87:X90" si="65">+P87-T87</f>
        <v>-1186.2800000000002</v>
      </c>
      <c r="Y87" s="1"/>
      <c r="Z87" s="5">
        <f t="shared" ref="Z87:Z90" si="66">IF(T87=0,0,X87/T87)</f>
        <v>-0.3692953291742937</v>
      </c>
    </row>
    <row r="88" spans="1:26" s="24" customFormat="1" hidden="1" outlineLevel="2" x14ac:dyDescent="0.25">
      <c r="A88" s="27"/>
      <c r="B88" s="11" t="str">
        <f>CONCATENATE("          ", "6309", " - ", "TELEPHONE")</f>
        <v xml:space="preserve">          6309 - TELEPHONE</v>
      </c>
      <c r="C88" s="11"/>
      <c r="D88" s="6">
        <v>205.85</v>
      </c>
      <c r="E88" s="2"/>
      <c r="F88" s="7">
        <f t="shared" si="59"/>
        <v>4.8166130447499268E-2</v>
      </c>
      <c r="G88" s="2"/>
      <c r="H88" s="6">
        <v>485.75</v>
      </c>
      <c r="I88" s="2"/>
      <c r="J88" s="7">
        <f t="shared" si="60"/>
        <v>5.886485296268654E-3</v>
      </c>
      <c r="K88" s="2"/>
      <c r="L88" s="6">
        <f t="shared" si="61"/>
        <v>-279.89999999999998</v>
      </c>
      <c r="M88" s="2"/>
      <c r="N88" s="7">
        <f t="shared" si="62"/>
        <v>-0.57622233659289757</v>
      </c>
      <c r="O88" s="11"/>
      <c r="P88" s="6">
        <v>2026</v>
      </c>
      <c r="Q88" s="2"/>
      <c r="R88" s="7">
        <f t="shared" si="63"/>
        <v>4.1192772721926323E-3</v>
      </c>
      <c r="S88" s="2"/>
      <c r="T88" s="6">
        <v>3212.28</v>
      </c>
      <c r="U88" s="2"/>
      <c r="V88" s="7">
        <f t="shared" si="64"/>
        <v>4.7552993687801524E-3</v>
      </c>
      <c r="W88" s="2"/>
      <c r="X88" s="6">
        <f t="shared" si="65"/>
        <v>-1186.2800000000002</v>
      </c>
      <c r="Y88" s="2"/>
      <c r="Z88" s="7">
        <f t="shared" si="66"/>
        <v>-0.3692953291742937</v>
      </c>
    </row>
    <row r="89" spans="1:26" s="25" customFormat="1" outlineLevel="1" collapsed="1" x14ac:dyDescent="0.25">
      <c r="A89" s="26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SUM(OSRRefD22_13x_0)</f>
        <v>0</v>
      </c>
      <c r="E89" s="1"/>
      <c r="F89" s="5">
        <f t="shared" si="59"/>
        <v>0</v>
      </c>
      <c r="G89" s="1"/>
      <c r="H89" s="1">
        <f>SUM(OSRRefH22_13x_0)</f>
        <v>0</v>
      </c>
      <c r="I89" s="1"/>
      <c r="J89" s="5">
        <f t="shared" si="60"/>
        <v>0</v>
      </c>
      <c r="K89" s="1"/>
      <c r="L89" s="1">
        <f t="shared" si="61"/>
        <v>0</v>
      </c>
      <c r="M89" s="1"/>
      <c r="N89" s="5">
        <f t="shared" si="62"/>
        <v>0</v>
      </c>
      <c r="O89" s="13"/>
      <c r="P89" s="1">
        <f>SUM(OSRRefP22_13x_0)</f>
        <v>97.71</v>
      </c>
      <c r="Q89" s="1"/>
      <c r="R89" s="5">
        <f t="shared" si="63"/>
        <v>1.9866465067420636E-4</v>
      </c>
      <c r="S89" s="1"/>
      <c r="T89" s="1">
        <f>SUM(OSRRefT22_13x_0)</f>
        <v>0</v>
      </c>
      <c r="U89" s="1"/>
      <c r="V89" s="5">
        <f t="shared" si="64"/>
        <v>0</v>
      </c>
      <c r="W89" s="1"/>
      <c r="X89" s="1">
        <f t="shared" si="65"/>
        <v>97.71</v>
      </c>
      <c r="Y89" s="1"/>
      <c r="Z89" s="5">
        <f t="shared" si="66"/>
        <v>0</v>
      </c>
    </row>
    <row r="90" spans="1:26" s="24" customFormat="1" hidden="1" outlineLevel="2" x14ac:dyDescent="0.25">
      <c r="A90" s="27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59"/>
        <v>0</v>
      </c>
      <c r="G90" s="2"/>
      <c r="H90" s="6"/>
      <c r="I90" s="2"/>
      <c r="J90" s="7">
        <f t="shared" si="60"/>
        <v>0</v>
      </c>
      <c r="K90" s="2"/>
      <c r="L90" s="6">
        <f t="shared" si="61"/>
        <v>0</v>
      </c>
      <c r="M90" s="2"/>
      <c r="N90" s="7">
        <f t="shared" si="62"/>
        <v>0</v>
      </c>
      <c r="O90" s="11"/>
      <c r="P90" s="6">
        <v>97.71</v>
      </c>
      <c r="Q90" s="2"/>
      <c r="R90" s="7">
        <f t="shared" si="63"/>
        <v>1.9866465067420636E-4</v>
      </c>
      <c r="S90" s="2"/>
      <c r="T90" s="6"/>
      <c r="U90" s="2"/>
      <c r="V90" s="7">
        <f t="shared" si="64"/>
        <v>0</v>
      </c>
      <c r="W90" s="2"/>
      <c r="X90" s="6">
        <f t="shared" si="65"/>
        <v>97.71</v>
      </c>
      <c r="Y90" s="2"/>
      <c r="Z90" s="7">
        <f t="shared" si="66"/>
        <v>0</v>
      </c>
    </row>
    <row r="91" spans="1:26" s="53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9" t="s">
        <v>0</v>
      </c>
      <c r="C92" s="10"/>
      <c r="D92" s="4">
        <f>SUM(OSRRefD25x_0)</f>
        <v>359130.98</v>
      </c>
      <c r="E92" s="4"/>
      <c r="F92" s="12">
        <f t="shared" ref="F92:F98" si="67">IF(D$12=0,0,D92/D$12)</f>
        <v>84.031817490494291</v>
      </c>
      <c r="G92" s="4"/>
      <c r="H92" s="4">
        <f>SUM(OSRRefH25x_0)</f>
        <v>131693.78999999998</v>
      </c>
      <c r="I92" s="4"/>
      <c r="J92" s="12">
        <f t="shared" ref="J92:J98" si="68">IF(H$12=0,0,H92/H$12)</f>
        <v>1.5959105680800654</v>
      </c>
      <c r="K92" s="4"/>
      <c r="L92" s="4">
        <f t="shared" ref="L92:L98" si="69">+D92-H92</f>
        <v>227437.19</v>
      </c>
      <c r="M92" s="4"/>
      <c r="N92" s="12">
        <f t="shared" ref="N92:N98" si="70">IF(H92=0,0,L92/H92)</f>
        <v>1.7270152981397227</v>
      </c>
      <c r="O92" s="10"/>
      <c r="P92" s="4">
        <f>SUM(OSRRefP25x_0)</f>
        <v>590000.91</v>
      </c>
      <c r="Q92" s="4"/>
      <c r="R92" s="12">
        <f t="shared" ref="R92:R98" si="71">IF(P$12=0,0,P92/P$12)</f>
        <v>1.1995939482408544</v>
      </c>
      <c r="S92" s="4"/>
      <c r="T92" s="4">
        <f>SUM(OSRRefT25x_0)</f>
        <v>628400.22</v>
      </c>
      <c r="U92" s="4"/>
      <c r="V92" s="12">
        <f t="shared" ref="V92:V98" si="72">IF(T$12=0,0,T92/T$12)</f>
        <v>0.93025239689793815</v>
      </c>
      <c r="W92" s="4"/>
      <c r="X92" s="4">
        <f t="shared" ref="X92:X98" si="73">+P92-T92</f>
        <v>-38399.309999999939</v>
      </c>
      <c r="Y92" s="4"/>
      <c r="Z92" s="12">
        <f t="shared" ref="Z92:Z98" si="74">IF(T92=0,0,X92/T92)</f>
        <v>-6.1106455373296877E-2</v>
      </c>
    </row>
    <row r="93" spans="1:26" s="24" customFormat="1" hidden="1" outlineLevel="1" x14ac:dyDescent="0.25">
      <c r="A93" s="44"/>
      <c r="B93" s="11" t="str">
        <f>CONCATENATE("          ", "4098", " - ", "TAXABLE SALES-GRAD RENTALS")</f>
        <v xml:space="preserve">          4098 - TAXABLE SALES-GRAD RENTALS</v>
      </c>
      <c r="C93" s="11"/>
      <c r="D93" s="2">
        <f t="shared" ref="D93:D94" si="75">0</f>
        <v>0</v>
      </c>
      <c r="E93" s="2"/>
      <c r="F93" s="19">
        <f t="shared" si="67"/>
        <v>0</v>
      </c>
      <c r="G93" s="2"/>
      <c r="H93" s="2">
        <f>--1176.5</f>
        <v>1176.5</v>
      </c>
      <c r="I93" s="2"/>
      <c r="J93" s="19">
        <f t="shared" si="68"/>
        <v>1.4257230985198295E-2</v>
      </c>
      <c r="K93" s="2"/>
      <c r="L93" s="2">
        <f t="shared" si="69"/>
        <v>-1176.5</v>
      </c>
      <c r="M93" s="2"/>
      <c r="N93" s="19">
        <f t="shared" si="70"/>
        <v>-1</v>
      </c>
      <c r="O93" s="11"/>
      <c r="P93" s="2">
        <f>--2098.85</f>
        <v>2098.85</v>
      </c>
      <c r="Q93" s="2"/>
      <c r="R93" s="19">
        <f t="shared" si="71"/>
        <v>4.2673963981942281E-3</v>
      </c>
      <c r="S93" s="2"/>
      <c r="T93" s="2">
        <f>--7074</f>
        <v>7074</v>
      </c>
      <c r="U93" s="2"/>
      <c r="V93" s="19">
        <f t="shared" si="72"/>
        <v>1.0471997377174717E-2</v>
      </c>
      <c r="W93" s="2"/>
      <c r="X93" s="2">
        <f t="shared" si="73"/>
        <v>-4975.1499999999996</v>
      </c>
      <c r="Y93" s="2"/>
      <c r="Z93" s="19">
        <f t="shared" si="74"/>
        <v>-0.70330081990387328</v>
      </c>
    </row>
    <row r="94" spans="1:26" s="24" customFormat="1" hidden="1" outlineLevel="1" x14ac:dyDescent="0.25">
      <c r="A94" s="44"/>
      <c r="B94" s="11" t="str">
        <f>CONCATENATE("          ", "4197", " - ", "NON-TAXABLE SALES-RETURNED CHE")</f>
        <v xml:space="preserve">          4197 - NON-TAXABLE SALES-RETURNED CHE</v>
      </c>
      <c r="C94" s="11"/>
      <c r="D94" s="2">
        <f t="shared" si="75"/>
        <v>0</v>
      </c>
      <c r="E94" s="2"/>
      <c r="F94" s="19">
        <f t="shared" si="67"/>
        <v>0</v>
      </c>
      <c r="G94" s="2"/>
      <c r="H94" s="2">
        <f>0</f>
        <v>0</v>
      </c>
      <c r="I94" s="2"/>
      <c r="J94" s="19">
        <f t="shared" si="68"/>
        <v>0</v>
      </c>
      <c r="K94" s="2"/>
      <c r="L94" s="2">
        <f t="shared" si="69"/>
        <v>0</v>
      </c>
      <c r="M94" s="2"/>
      <c r="N94" s="19">
        <f t="shared" si="70"/>
        <v>0</v>
      </c>
      <c r="O94" s="11"/>
      <c r="P94" s="2">
        <f>--30</f>
        <v>30</v>
      </c>
      <c r="Q94" s="2"/>
      <c r="R94" s="19">
        <f t="shared" si="71"/>
        <v>6.0996208374027136E-5</v>
      </c>
      <c r="S94" s="2"/>
      <c r="T94" s="2">
        <f>--335</f>
        <v>335</v>
      </c>
      <c r="U94" s="2"/>
      <c r="V94" s="19">
        <f t="shared" si="72"/>
        <v>4.9591731995384935E-4</v>
      </c>
      <c r="W94" s="2"/>
      <c r="X94" s="2">
        <f t="shared" si="73"/>
        <v>-305</v>
      </c>
      <c r="Y94" s="2"/>
      <c r="Z94" s="19">
        <f t="shared" si="74"/>
        <v>-0.91044776119402981</v>
      </c>
    </row>
    <row r="95" spans="1:26" s="24" customFormat="1" hidden="1" outlineLevel="1" x14ac:dyDescent="0.25">
      <c r="A95" s="44"/>
      <c r="B95" s="11" t="str">
        <f>CONCATENATE("          ", "4198", " - ", "NON-TAXABLE SALES-GRAD RENTALS")</f>
        <v xml:space="preserve">          4198 - NON-TAXABLE SALES-GRAD RENTALS</v>
      </c>
      <c r="C95" s="11"/>
      <c r="D95" s="2">
        <f>-98.64</f>
        <v>-98.64</v>
      </c>
      <c r="E95" s="2"/>
      <c r="F95" s="19">
        <f t="shared" si="67"/>
        <v>-2.3080432875109681E-2</v>
      </c>
      <c r="G95" s="2"/>
      <c r="H95" s="2">
        <f>--132723.55</f>
        <v>132723.54999999999</v>
      </c>
      <c r="I95" s="2"/>
      <c r="J95" s="19">
        <f t="shared" si="68"/>
        <v>1.6083895533578538</v>
      </c>
      <c r="K95" s="2"/>
      <c r="L95" s="2">
        <f t="shared" si="69"/>
        <v>-132822.19</v>
      </c>
      <c r="M95" s="2"/>
      <c r="N95" s="19">
        <f t="shared" si="70"/>
        <v>-1.0007431989273947</v>
      </c>
      <c r="O95" s="11"/>
      <c r="P95" s="2">
        <f>--3633.46</f>
        <v>3633.46</v>
      </c>
      <c r="Q95" s="2"/>
      <c r="R95" s="19">
        <f t="shared" si="71"/>
        <v>7.3875761092897542E-3</v>
      </c>
      <c r="S95" s="2"/>
      <c r="T95" s="2">
        <f>--384565.85</f>
        <v>384565.85</v>
      </c>
      <c r="U95" s="2"/>
      <c r="V95" s="19">
        <f t="shared" si="72"/>
        <v>0.56929213635156417</v>
      </c>
      <c r="W95" s="2"/>
      <c r="X95" s="2">
        <f t="shared" si="73"/>
        <v>-380932.38999999996</v>
      </c>
      <c r="Y95" s="2"/>
      <c r="Z95" s="19">
        <f t="shared" si="74"/>
        <v>-0.99055178716466885</v>
      </c>
    </row>
    <row r="96" spans="1:26" s="24" customFormat="1" hidden="1" outlineLevel="1" x14ac:dyDescent="0.25">
      <c r="A96" s="44"/>
      <c r="B96" s="11" t="str">
        <f>CONCATENATE("          ", "9150", " - ", "MISC. INCOME")</f>
        <v xml:space="preserve">          9150 - MISC. INCOME</v>
      </c>
      <c r="C96" s="11"/>
      <c r="D96" s="2">
        <f>--13269</f>
        <v>13269</v>
      </c>
      <c r="E96" s="2"/>
      <c r="F96" s="19">
        <f t="shared" si="67"/>
        <v>3.1047674758701373</v>
      </c>
      <c r="G96" s="2"/>
      <c r="H96" s="2">
        <f>--12793.74</f>
        <v>12793.74</v>
      </c>
      <c r="I96" s="2"/>
      <c r="J96" s="19">
        <f t="shared" si="68"/>
        <v>0.15503893441952471</v>
      </c>
      <c r="K96" s="2"/>
      <c r="L96" s="2">
        <f t="shared" si="69"/>
        <v>475.26000000000022</v>
      </c>
      <c r="M96" s="2"/>
      <c r="N96" s="19">
        <f t="shared" si="70"/>
        <v>3.7147855122896062E-2</v>
      </c>
      <c r="O96" s="11"/>
      <c r="P96" s="2">
        <f>--131363.1</f>
        <v>131363.1</v>
      </c>
      <c r="Q96" s="2"/>
      <c r="R96" s="19">
        <f t="shared" si="71"/>
        <v>0.2670883673419388</v>
      </c>
      <c r="S96" s="2"/>
      <c r="T96" s="2">
        <f>--127224.62</f>
        <v>127224.62</v>
      </c>
      <c r="U96" s="2"/>
      <c r="V96" s="19">
        <f t="shared" si="72"/>
        <v>0.18833699278372207</v>
      </c>
      <c r="W96" s="2"/>
      <c r="X96" s="2">
        <f t="shared" si="73"/>
        <v>4138.4800000000105</v>
      </c>
      <c r="Y96" s="2"/>
      <c r="Z96" s="19">
        <f t="shared" si="74"/>
        <v>3.2528924040016866E-2</v>
      </c>
    </row>
    <row r="97" spans="1:26" s="24" customFormat="1" hidden="1" outlineLevel="1" x14ac:dyDescent="0.25">
      <c r="A97" s="44"/>
      <c r="B97" s="11" t="str">
        <f>CONCATENATE("          ", "9160", " - ", "MISC. INCOME")</f>
        <v xml:space="preserve">          9160 - MISC. INCOME</v>
      </c>
      <c r="C97" s="11"/>
      <c r="D97" s="2">
        <f>0</f>
        <v>0</v>
      </c>
      <c r="E97" s="2"/>
      <c r="F97" s="19">
        <f t="shared" si="67"/>
        <v>0</v>
      </c>
      <c r="G97" s="2"/>
      <c r="H97" s="2">
        <f>0</f>
        <v>0</v>
      </c>
      <c r="I97" s="2"/>
      <c r="J97" s="19">
        <f t="shared" si="68"/>
        <v>0</v>
      </c>
      <c r="K97" s="2"/>
      <c r="L97" s="2">
        <f t="shared" si="69"/>
        <v>0</v>
      </c>
      <c r="M97" s="2"/>
      <c r="N97" s="19">
        <f t="shared" si="70"/>
        <v>0</v>
      </c>
      <c r="O97" s="11"/>
      <c r="P97" s="2">
        <f>--22475</f>
        <v>22475</v>
      </c>
      <c r="Q97" s="2"/>
      <c r="R97" s="19">
        <f t="shared" si="71"/>
        <v>4.569632610687533E-2</v>
      </c>
      <c r="S97" s="2"/>
      <c r="T97" s="2">
        <f>--40870</f>
        <v>40870</v>
      </c>
      <c r="U97" s="2"/>
      <c r="V97" s="19">
        <f t="shared" si="72"/>
        <v>6.0501913034369616E-2</v>
      </c>
      <c r="W97" s="2"/>
      <c r="X97" s="2">
        <f t="shared" si="73"/>
        <v>-18395</v>
      </c>
      <c r="Y97" s="2"/>
      <c r="Z97" s="19">
        <f t="shared" si="74"/>
        <v>-0.45008563738683632</v>
      </c>
    </row>
    <row r="98" spans="1:26" s="24" customFormat="1" hidden="1" outlineLevel="1" x14ac:dyDescent="0.25">
      <c r="A98" s="44"/>
      <c r="B98" s="11" t="str">
        <f>CONCATENATE("          ", "9163", " - ", "MISC. INCOME")</f>
        <v xml:space="preserve">          9163 - MISC. INCOME</v>
      </c>
      <c r="C98" s="11"/>
      <c r="D98" s="2">
        <f>--345960.62</f>
        <v>345960.62</v>
      </c>
      <c r="E98" s="2"/>
      <c r="F98" s="19">
        <f t="shared" si="67"/>
        <v>80.950130447499262</v>
      </c>
      <c r="G98" s="2"/>
      <c r="H98" s="2">
        <f>-15000</f>
        <v>-15000</v>
      </c>
      <c r="I98" s="2"/>
      <c r="J98" s="19">
        <f t="shared" si="68"/>
        <v>-0.18177515068251118</v>
      </c>
      <c r="K98" s="2"/>
      <c r="L98" s="2">
        <f t="shared" si="69"/>
        <v>360960.62</v>
      </c>
      <c r="M98" s="2"/>
      <c r="N98" s="19">
        <f t="shared" si="70"/>
        <v>-24.064041333333332</v>
      </c>
      <c r="O98" s="11"/>
      <c r="P98" s="2">
        <f>--430400.5</f>
        <v>430400.5</v>
      </c>
      <c r="Q98" s="2"/>
      <c r="R98" s="19">
        <f t="shared" si="71"/>
        <v>0.8750932860761822</v>
      </c>
      <c r="S98" s="2"/>
      <c r="T98" s="2">
        <f>--68330.75</f>
        <v>68330.75</v>
      </c>
      <c r="U98" s="2"/>
      <c r="V98" s="19">
        <f t="shared" si="72"/>
        <v>0.1011534400311537</v>
      </c>
      <c r="W98" s="2"/>
      <c r="X98" s="2">
        <f t="shared" si="73"/>
        <v>362069.75</v>
      </c>
      <c r="Y98" s="2"/>
      <c r="Z98" s="19">
        <f t="shared" si="74"/>
        <v>5.2987820271254158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1">
        <f>+D42-D44+D92</f>
        <v>328073.18</v>
      </c>
      <c r="E100" s="14"/>
      <c r="F100" s="20">
        <f>IF(D$12=0,0,D100/D$12)</f>
        <v>76.764710149166419</v>
      </c>
      <c r="G100" s="14"/>
      <c r="H100" s="21">
        <f>+H42-H44+H92</f>
        <v>138683.72999999998</v>
      </c>
      <c r="I100" s="14"/>
      <c r="J100" s="20">
        <f>IF(H$12=0,0,H100/H$12)</f>
        <v>1.6806170611975131</v>
      </c>
      <c r="K100" s="15"/>
      <c r="L100" s="21">
        <f>+D100-H100</f>
        <v>189389.45</v>
      </c>
      <c r="M100" s="15"/>
      <c r="N100" s="20">
        <f>IF(H100=0,0,L100/H100)</f>
        <v>1.3656212592493728</v>
      </c>
      <c r="O100" s="29"/>
      <c r="P100" s="21">
        <f>+P42-P44+P92</f>
        <v>617298.50999999989</v>
      </c>
      <c r="Q100" s="14"/>
      <c r="R100" s="20">
        <f>IF(P$12=0,0,P100/P$12)</f>
        <v>1.255095618164549</v>
      </c>
      <c r="S100" s="14"/>
      <c r="T100" s="21">
        <f>+T42-T44+T92</f>
        <v>773134.86999999988</v>
      </c>
      <c r="U100" s="14"/>
      <c r="V100" s="20">
        <f>IF(T$12=0,0,T100/T$12)</f>
        <v>1.1445103662485601</v>
      </c>
      <c r="W100" s="15"/>
      <c r="X100" s="21">
        <f>+P100-T100</f>
        <v>-155836.35999999999</v>
      </c>
      <c r="Y100" s="15"/>
      <c r="Z100" s="20">
        <f>IF(T100=0,0,X100/T100)</f>
        <v>-0.20156426264928395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3600.97</v>
      </c>
      <c r="E102" s="4"/>
      <c r="F102" s="12">
        <f>IF(D$12=0,0,D102/D$12)</f>
        <v>0.84257853173442521</v>
      </c>
      <c r="G102" s="4"/>
      <c r="H102" s="4">
        <v>9163.3700000000008</v>
      </c>
      <c r="I102" s="4"/>
      <c r="J102" s="12">
        <f>IF(H$12=0,0,H102/H$12)</f>
        <v>0.11104486416730686</v>
      </c>
      <c r="K102" s="4"/>
      <c r="L102" s="4">
        <f>+D102-H102</f>
        <v>-5562.4000000000015</v>
      </c>
      <c r="M102" s="4"/>
      <c r="N102" s="12">
        <f>IF(H102=0,0,L102/H102)</f>
        <v>-0.60702558119992978</v>
      </c>
      <c r="O102" s="10"/>
      <c r="P102" s="4">
        <v>55844.22</v>
      </c>
      <c r="Q102" s="4"/>
      <c r="R102" s="12">
        <f>IF(P$12=0,0,P102/P$12)</f>
        <v>0.11354285598683378</v>
      </c>
      <c r="S102" s="4"/>
      <c r="T102" s="4">
        <v>70225.64</v>
      </c>
      <c r="U102" s="4"/>
      <c r="V102" s="12">
        <f>IF(T$12=0,0,T102/T$12)</f>
        <v>0.10395854083833982</v>
      </c>
      <c r="W102" s="4"/>
      <c r="X102" s="4">
        <f>+P102-T102</f>
        <v>-14381.419999999998</v>
      </c>
      <c r="Y102" s="4"/>
      <c r="Z102" s="12">
        <f>IF(T102=0,0,X102/T102)</f>
        <v>-0.20478873528244099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0">
        <f>+D100-D102</f>
        <v>324472.21000000002</v>
      </c>
      <c r="E104" s="14"/>
      <c r="F104" s="36">
        <f>IF(D$12=0,0,D104/D$12)</f>
        <v>75.922131617432001</v>
      </c>
      <c r="G104" s="14"/>
      <c r="H104" s="30">
        <f>+H100-H102</f>
        <v>129520.35999999999</v>
      </c>
      <c r="I104" s="14"/>
      <c r="J104" s="36">
        <f>IF(H$12=0,0,H104/H$12)</f>
        <v>1.5695721970302061</v>
      </c>
      <c r="K104" s="15"/>
      <c r="L104" s="30">
        <f>D104-H104</f>
        <v>194951.85000000003</v>
      </c>
      <c r="M104" s="15"/>
      <c r="N104" s="36">
        <f>IF(H104=0,0,L104/H104)</f>
        <v>1.5051830461249494</v>
      </c>
      <c r="O104" s="29"/>
      <c r="P104" s="30">
        <f>+P100-P102</f>
        <v>561454.28999999992</v>
      </c>
      <c r="Q104" s="14"/>
      <c r="R104" s="36">
        <f>IF(P$12=0,0,P104/P$12)</f>
        <v>1.1415527621777151</v>
      </c>
      <c r="S104" s="14"/>
      <c r="T104" s="30">
        <f>+T100-T102</f>
        <v>702909.22999999986</v>
      </c>
      <c r="U104" s="14"/>
      <c r="V104" s="36">
        <f>IF(T$12=0,0,T104/T$12)</f>
        <v>1.0405518254102202</v>
      </c>
      <c r="W104" s="15"/>
      <c r="X104" s="30">
        <f>P104-T104</f>
        <v>-141454.93999999994</v>
      </c>
      <c r="Y104" s="15"/>
      <c r="Z104" s="36">
        <f>IF(T104=0,0,X104/T104)</f>
        <v>-0.20124211486026436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1">
        <f>SUM(D104:D106)</f>
        <v>324472.21000000002</v>
      </c>
      <c r="E107" s="14"/>
      <c r="F107" s="32">
        <f>IF(D$12=0,0,D107/D$12)</f>
        <v>75.922131617432001</v>
      </c>
      <c r="G107" s="14"/>
      <c r="H107" s="31">
        <f>SUM(H104:H106)</f>
        <v>129520.35999999999</v>
      </c>
      <c r="I107" s="14"/>
      <c r="J107" s="32">
        <f>IF(H$12=0,0,H107/H$12)</f>
        <v>1.5695721970302061</v>
      </c>
      <c r="K107" s="15"/>
      <c r="L107" s="31">
        <f>+D107-H107</f>
        <v>194951.85000000003</v>
      </c>
      <c r="M107" s="15"/>
      <c r="N107" s="32">
        <f>IF(H107=0,0,L107/H107)</f>
        <v>1.5051830461249494</v>
      </c>
      <c r="O107" s="29"/>
      <c r="P107" s="31">
        <f>SUM(P104:P106)</f>
        <v>561454.28999999992</v>
      </c>
      <c r="Q107" s="14"/>
      <c r="R107" s="32">
        <f>IF(P$12=0,0,P107/P$12)</f>
        <v>1.1415527621777151</v>
      </c>
      <c r="S107" s="14"/>
      <c r="T107" s="31">
        <f>SUM(T104:T106)</f>
        <v>702909.22999999986</v>
      </c>
      <c r="U107" s="14"/>
      <c r="V107" s="32">
        <f>IF(T$12=0,0,T107/T$12)</f>
        <v>1.0405518254102202</v>
      </c>
      <c r="W107" s="15"/>
      <c r="X107" s="31">
        <f>+P107-T107</f>
        <v>-141454.93999999994</v>
      </c>
      <c r="Y107" s="15"/>
      <c r="Z107" s="32">
        <f>IF(T107=0,0,X107/T107)</f>
        <v>-0.20124211486026436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4">
        <v>43965.470537499998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9" t="s">
        <v>313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61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","316", " - ", "Campus Copy Center")</f>
        <v>Department 316 - Campus Copy Center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1059.5999999999999</v>
      </c>
      <c r="E12" s="4"/>
      <c r="F12" s="12"/>
      <c r="G12" s="4"/>
      <c r="H12" s="4">
        <f>SUM(OSRRefH13x_0)</f>
        <v>44120.959999999999</v>
      </c>
      <c r="I12" s="4"/>
      <c r="J12" s="12"/>
      <c r="K12" s="4"/>
      <c r="L12" s="4">
        <f t="shared" ref="L12:L27" si="0">+D12-H12</f>
        <v>-43061.36</v>
      </c>
      <c r="M12" s="4"/>
      <c r="N12" s="12">
        <f t="shared" ref="N12:N27" si="1">IF(H12=0,0,L12/H12)</f>
        <v>-0.97598420342621739</v>
      </c>
      <c r="O12" s="10"/>
      <c r="P12" s="4">
        <f>SUM(OSRRefP13x_0)</f>
        <v>470201.87</v>
      </c>
      <c r="Q12" s="4"/>
      <c r="R12" s="12"/>
      <c r="S12" s="4"/>
      <c r="T12" s="4">
        <f>SUM(OSRRefT13x_0)</f>
        <v>553574.50999999989</v>
      </c>
      <c r="U12" s="4"/>
      <c r="V12" s="12"/>
      <c r="W12" s="4"/>
      <c r="X12" s="4">
        <f t="shared" ref="X12:X27" si="2">+P12-T12</f>
        <v>-83372.639999999898</v>
      </c>
      <c r="Y12" s="4"/>
      <c r="Z12" s="12">
        <f t="shared" ref="Z12:Z27" si="3">IF(T12=0,0,X12/T12)</f>
        <v>-0.15060780164895943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--24.7</f>
        <v>24.7</v>
      </c>
      <c r="E13" s="2"/>
      <c r="F13" s="19"/>
      <c r="G13" s="2"/>
      <c r="H13" s="2">
        <f>--161.5</f>
        <v>161.5</v>
      </c>
      <c r="I13" s="2"/>
      <c r="J13" s="19"/>
      <c r="K13" s="2"/>
      <c r="L13" s="2">
        <f t="shared" si="0"/>
        <v>-136.80000000000001</v>
      </c>
      <c r="M13" s="2"/>
      <c r="N13" s="19">
        <f t="shared" si="1"/>
        <v>-0.84705882352941186</v>
      </c>
      <c r="O13" s="11"/>
      <c r="P13" s="2">
        <f>--174207.25</f>
        <v>174207.25</v>
      </c>
      <c r="Q13" s="2"/>
      <c r="R13" s="19"/>
      <c r="S13" s="2"/>
      <c r="T13" s="2">
        <f>--193342.7</f>
        <v>193342.7</v>
      </c>
      <c r="U13" s="2"/>
      <c r="V13" s="19"/>
      <c r="W13" s="2"/>
      <c r="X13" s="2">
        <f t="shared" si="2"/>
        <v>-19135.450000000012</v>
      </c>
      <c r="Y13" s="2"/>
      <c r="Z13" s="19">
        <f t="shared" si="3"/>
        <v>-9.8971670510446016E-2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--262.2</f>
        <v>262.2</v>
      </c>
      <c r="E14" s="2"/>
      <c r="F14" s="19"/>
      <c r="G14" s="2"/>
      <c r="H14" s="2">
        <f>--13141.97</f>
        <v>13141.97</v>
      </c>
      <c r="I14" s="2"/>
      <c r="J14" s="19"/>
      <c r="K14" s="2"/>
      <c r="L14" s="2">
        <f t="shared" si="0"/>
        <v>-12879.769999999999</v>
      </c>
      <c r="M14" s="2"/>
      <c r="N14" s="19">
        <f t="shared" si="1"/>
        <v>-0.98004865328409663</v>
      </c>
      <c r="O14" s="11"/>
      <c r="P14" s="2">
        <f>--74446.61</f>
        <v>74446.61</v>
      </c>
      <c r="Q14" s="2"/>
      <c r="R14" s="19"/>
      <c r="S14" s="2"/>
      <c r="T14" s="2">
        <f>--79977.31</f>
        <v>79977.31</v>
      </c>
      <c r="U14" s="2"/>
      <c r="V14" s="19"/>
      <c r="W14" s="2"/>
      <c r="X14" s="2">
        <f t="shared" si="2"/>
        <v>-5530.6999999999971</v>
      </c>
      <c r="Y14" s="2"/>
      <c r="Z14" s="19">
        <f t="shared" si="3"/>
        <v>-6.9153363622757466E-2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--651</f>
        <v>651</v>
      </c>
      <c r="E15" s="2"/>
      <c r="F15" s="19"/>
      <c r="G15" s="2"/>
      <c r="H15" s="2">
        <f>--172.64</f>
        <v>172.64</v>
      </c>
      <c r="I15" s="2"/>
      <c r="J15" s="19"/>
      <c r="K15" s="2"/>
      <c r="L15" s="2">
        <f t="shared" si="0"/>
        <v>478.36</v>
      </c>
      <c r="M15" s="2"/>
      <c r="N15" s="19">
        <f t="shared" si="1"/>
        <v>2.7708526413345695</v>
      </c>
      <c r="O15" s="11"/>
      <c r="P15" s="2">
        <f>--921.72</f>
        <v>921.72</v>
      </c>
      <c r="Q15" s="2"/>
      <c r="R15" s="19"/>
      <c r="S15" s="2"/>
      <c r="T15" s="2">
        <f>--830.22</f>
        <v>830.22</v>
      </c>
      <c r="U15" s="2"/>
      <c r="V15" s="19"/>
      <c r="W15" s="2"/>
      <c r="X15" s="2">
        <f t="shared" si="2"/>
        <v>91.5</v>
      </c>
      <c r="Y15" s="2"/>
      <c r="Z15" s="19">
        <f t="shared" si="3"/>
        <v>0.11021175110211751</v>
      </c>
    </row>
    <row r="16" spans="1:26" s="24" customFormat="1" hidden="1" outlineLevel="1" x14ac:dyDescent="0.2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 t="shared" ref="D16:D19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--676</f>
        <v>676</v>
      </c>
      <c r="I17" s="2"/>
      <c r="J17" s="19"/>
      <c r="K17" s="2"/>
      <c r="L17" s="2">
        <f t="shared" si="0"/>
        <v>-676</v>
      </c>
      <c r="M17" s="2"/>
      <c r="N17" s="19">
        <f t="shared" si="1"/>
        <v>-1</v>
      </c>
      <c r="O17" s="11"/>
      <c r="P17" s="2">
        <f>--2676.14</f>
        <v>2676.14</v>
      </c>
      <c r="Q17" s="2"/>
      <c r="R17" s="19"/>
      <c r="S17" s="2"/>
      <c r="T17" s="2">
        <f>--4608.66</f>
        <v>4608.66</v>
      </c>
      <c r="U17" s="2"/>
      <c r="V17" s="19"/>
      <c r="W17" s="2"/>
      <c r="X17" s="2">
        <f t="shared" si="2"/>
        <v>-1932.52</v>
      </c>
      <c r="Y17" s="2"/>
      <c r="Z17" s="19">
        <f t="shared" si="3"/>
        <v>-0.41932362118272992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--864.6</f>
        <v>864.6</v>
      </c>
      <c r="Q18" s="2"/>
      <c r="R18" s="19"/>
      <c r="S18" s="2"/>
      <c r="T18" s="2">
        <f>--1926.3</f>
        <v>1926.3</v>
      </c>
      <c r="U18" s="2"/>
      <c r="V18" s="19"/>
      <c r="W18" s="2"/>
      <c r="X18" s="2">
        <f t="shared" si="2"/>
        <v>-1061.6999999999998</v>
      </c>
      <c r="Y18" s="2"/>
      <c r="Z18" s="19">
        <f t="shared" si="3"/>
        <v>-0.55116025541192948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4"/>
        <v>0</v>
      </c>
      <c r="E19" s="2"/>
      <c r="F19" s="19"/>
      <c r="G19" s="2"/>
      <c r="H19" s="2">
        <f>--1603</f>
        <v>1603</v>
      </c>
      <c r="I19" s="2"/>
      <c r="J19" s="19"/>
      <c r="K19" s="2"/>
      <c r="L19" s="2">
        <f t="shared" si="0"/>
        <v>-1603</v>
      </c>
      <c r="M19" s="2"/>
      <c r="N19" s="19">
        <f t="shared" si="1"/>
        <v>-1</v>
      </c>
      <c r="O19" s="11"/>
      <c r="P19" s="2">
        <f>--8924.02</f>
        <v>8924.02</v>
      </c>
      <c r="Q19" s="2"/>
      <c r="R19" s="19"/>
      <c r="S19" s="2"/>
      <c r="T19" s="2">
        <f>--12668</f>
        <v>12668</v>
      </c>
      <c r="U19" s="2"/>
      <c r="V19" s="19"/>
      <c r="W19" s="2"/>
      <c r="X19" s="2">
        <f t="shared" si="2"/>
        <v>-3743.9799999999996</v>
      </c>
      <c r="Y19" s="2"/>
      <c r="Z19" s="19">
        <f t="shared" si="3"/>
        <v>-0.29554625828860115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--121.7</f>
        <v>121.7</v>
      </c>
      <c r="E20" s="2"/>
      <c r="F20" s="19"/>
      <c r="G20" s="2"/>
      <c r="H20" s="2">
        <f>--28198.35</f>
        <v>28198.35</v>
      </c>
      <c r="I20" s="2"/>
      <c r="J20" s="19"/>
      <c r="K20" s="2"/>
      <c r="L20" s="2">
        <f t="shared" si="0"/>
        <v>-28076.649999999998</v>
      </c>
      <c r="M20" s="2"/>
      <c r="N20" s="19">
        <f t="shared" si="1"/>
        <v>-0.99568414463966859</v>
      </c>
      <c r="O20" s="11"/>
      <c r="P20" s="2">
        <f>--205908.65</f>
        <v>205908.65</v>
      </c>
      <c r="Q20" s="2"/>
      <c r="R20" s="19"/>
      <c r="S20" s="2"/>
      <c r="T20" s="2">
        <f>--260558.54</f>
        <v>260558.54</v>
      </c>
      <c r="U20" s="2"/>
      <c r="V20" s="19"/>
      <c r="W20" s="2"/>
      <c r="X20" s="2">
        <f t="shared" si="2"/>
        <v>-54649.890000000014</v>
      </c>
      <c r="Y20" s="2"/>
      <c r="Z20" s="19">
        <f t="shared" si="3"/>
        <v>-0.20974131187563461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 t="shared" ref="D21:D27" si="5">0</f>
        <v>0</v>
      </c>
      <c r="E21" s="2"/>
      <c r="F21" s="19"/>
      <c r="G21" s="2"/>
      <c r="H21" s="2">
        <f>--167.5</f>
        <v>167.5</v>
      </c>
      <c r="I21" s="2"/>
      <c r="J21" s="19"/>
      <c r="K21" s="2"/>
      <c r="L21" s="2">
        <f t="shared" si="0"/>
        <v>-167.5</v>
      </c>
      <c r="M21" s="2"/>
      <c r="N21" s="19">
        <f t="shared" si="1"/>
        <v>-1</v>
      </c>
      <c r="O21" s="11"/>
      <c r="P21" s="2">
        <f>--3436.37</f>
        <v>3436.37</v>
      </c>
      <c r="Q21" s="2"/>
      <c r="R21" s="19"/>
      <c r="S21" s="2"/>
      <c r="T21" s="2">
        <f>--898.23</f>
        <v>898.23</v>
      </c>
      <c r="U21" s="2"/>
      <c r="V21" s="19"/>
      <c r="W21" s="2"/>
      <c r="X21" s="2">
        <f t="shared" si="2"/>
        <v>2538.14</v>
      </c>
      <c r="Y21" s="2"/>
      <c r="Z21" s="19">
        <f t="shared" si="3"/>
        <v>2.8257127907106194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 t="shared" si="5"/>
        <v>0</v>
      </c>
      <c r="E22" s="2"/>
      <c r="F22" s="19"/>
      <c r="G22" s="2"/>
      <c r="H22" s="2">
        <f t="shared" ref="H22:H27" si="6"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-1059.4</f>
        <v>-1059.4000000000001</v>
      </c>
      <c r="Q22" s="2"/>
      <c r="R22" s="19"/>
      <c r="S22" s="2"/>
      <c r="T22" s="2">
        <f>-1119.05</f>
        <v>-1119.05</v>
      </c>
      <c r="U22" s="2"/>
      <c r="V22" s="19"/>
      <c r="W22" s="2"/>
      <c r="X22" s="2">
        <f t="shared" si="2"/>
        <v>59.649999999999864</v>
      </c>
      <c r="Y22" s="2"/>
      <c r="Z22" s="19">
        <f t="shared" si="3"/>
        <v>-5.3304141906080932E-2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 t="shared" si="5"/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-227.7</f>
        <v>-227.7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-227.7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5"/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-116.4</f>
        <v>-116.4</v>
      </c>
      <c r="U24" s="2"/>
      <c r="V24" s="19"/>
      <c r="W24" s="2"/>
      <c r="X24" s="2">
        <f t="shared" si="2"/>
        <v>116.4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"4342", " - ", "SALES RETURN NON TAXABLE-EVERY")</f>
        <v xml:space="preserve">          4342 - SALES RETURN NON TAXABLE-EVERY</v>
      </c>
      <c r="C25" s="11"/>
      <c r="D25" s="2">
        <f t="shared" si="5"/>
        <v>0</v>
      </c>
      <c r="E25" s="2"/>
      <c r="F25" s="19"/>
      <c r="G25" s="2"/>
      <c r="H25" s="2">
        <f t="shared" si="6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-39.42</f>
        <v>-39.42</v>
      </c>
      <c r="Q25" s="2"/>
      <c r="R25" s="19"/>
      <c r="S25" s="2"/>
      <c r="T25" s="2">
        <f t="shared" ref="T25:T27" si="7">0</f>
        <v>0</v>
      </c>
      <c r="U25" s="2"/>
      <c r="V25" s="19"/>
      <c r="W25" s="2"/>
      <c r="X25" s="2">
        <f t="shared" si="2"/>
        <v>-39.42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"4346", " - ", "SALES RETURN NON TAXABLE-COIN-")</f>
        <v xml:space="preserve">          4346 - SALES RETURN NON TAXABLE-COIN-</v>
      </c>
      <c r="C26" s="11"/>
      <c r="D26" s="2">
        <f t="shared" si="5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-8.15</f>
        <v>-8.15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-8.15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"4347", " - ", "SALES RETURN NON TAXABLE-MISC")</f>
        <v xml:space="preserve">          4347 - SALES RETURN NON TAXABLE-MISC</v>
      </c>
      <c r="C27" s="11"/>
      <c r="D27" s="2">
        <f t="shared" si="5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-84</f>
        <v>-84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-84</v>
      </c>
      <c r="Y27" s="2"/>
      <c r="Z27" s="19">
        <f t="shared" si="3"/>
        <v>0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8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6</v>
      </c>
      <c r="C31" s="28"/>
      <c r="D31" s="21">
        <f>D12-D29</f>
        <v>1059.5999999999999</v>
      </c>
      <c r="E31" s="14"/>
      <c r="F31" s="20">
        <f>IF(D$12=0,0,D31/D$12)</f>
        <v>1</v>
      </c>
      <c r="G31" s="14"/>
      <c r="H31" s="21">
        <f>H12-H29</f>
        <v>44120.959999999999</v>
      </c>
      <c r="I31" s="14"/>
      <c r="J31" s="20">
        <f>IF(H$12=0,0,H31/H$12)</f>
        <v>1</v>
      </c>
      <c r="K31" s="15"/>
      <c r="L31" s="21">
        <f>+D31-H31</f>
        <v>-43061.36</v>
      </c>
      <c r="M31" s="15"/>
      <c r="N31" s="20">
        <f>IF(H31=0,0,L31/H31)</f>
        <v>-0.97598420342621739</v>
      </c>
      <c r="O31" s="29"/>
      <c r="P31" s="21">
        <f>P12-P29</f>
        <v>470201.87</v>
      </c>
      <c r="Q31" s="14"/>
      <c r="R31" s="20">
        <f>IF(P$12=0,0,P31/P$12)</f>
        <v>1</v>
      </c>
      <c r="S31" s="14"/>
      <c r="T31" s="21">
        <f>T12-T29</f>
        <v>553574.50999999989</v>
      </c>
      <c r="U31" s="14"/>
      <c r="V31" s="20">
        <f>IF(T$12=0,0,T31/T$12)</f>
        <v>1</v>
      </c>
      <c r="W31" s="15"/>
      <c r="X31" s="21">
        <f>+P31-T31</f>
        <v>-83372.639999999898</v>
      </c>
      <c r="Y31" s="15"/>
      <c r="Z31" s="20">
        <f>IF(T31=0,0,X31/T31)</f>
        <v>-0.15060780164895943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9" t="s">
        <v>9</v>
      </c>
      <c r="C33" s="10"/>
      <c r="D33" s="22">
        <f>SUM(OSRRefD22x_0)</f>
        <v>32595.82</v>
      </c>
      <c r="E33" s="22"/>
      <c r="F33" s="35">
        <f t="shared" ref="F33:F42" si="8">IF(D$12=0,0,D33/D$12)</f>
        <v>30.762382030955081</v>
      </c>
      <c r="G33" s="22"/>
      <c r="H33" s="22">
        <f>SUM(OSRRefH22x_0)</f>
        <v>56492.57</v>
      </c>
      <c r="I33" s="22"/>
      <c r="J33" s="35">
        <f t="shared" ref="J33:J42" si="9">IF(H$12=0,0,H33/H$12)</f>
        <v>1.2804021036713618</v>
      </c>
      <c r="K33" s="4"/>
      <c r="L33" s="22">
        <f t="shared" ref="L33:L42" si="10">+D33-H33</f>
        <v>-23896.75</v>
      </c>
      <c r="M33" s="4"/>
      <c r="N33" s="35">
        <f t="shared" ref="N33:N42" si="11">IF(H33=0,0,L33/H33)</f>
        <v>-0.4230069547198862</v>
      </c>
      <c r="O33" s="10"/>
      <c r="P33" s="22">
        <f>SUM(OSRRefP22x_0)</f>
        <v>454140.19999999995</v>
      </c>
      <c r="Q33" s="22"/>
      <c r="R33" s="35">
        <f t="shared" ref="R33:R42" si="12">IF(P$12=0,0,P33/P$12)</f>
        <v>0.96584090573693371</v>
      </c>
      <c r="S33" s="22"/>
      <c r="T33" s="22">
        <f>SUM(OSRRefT22x_0)</f>
        <v>476759.58999999985</v>
      </c>
      <c r="U33" s="22"/>
      <c r="V33" s="35">
        <f t="shared" ref="V33:V42" si="13">IF(T$12=0,0,T33/T$12)</f>
        <v>0.86123833628105451</v>
      </c>
      <c r="W33" s="4"/>
      <c r="X33" s="22">
        <f t="shared" ref="X33:X42" si="14">+P33-T33</f>
        <v>-22619.389999999898</v>
      </c>
      <c r="Y33" s="4"/>
      <c r="Z33" s="35">
        <f t="shared" ref="Z33:Z42" si="15">IF(T33=0,0,X33/T33)</f>
        <v>-4.7444016805199253E-2</v>
      </c>
    </row>
    <row r="34" spans="1:26" s="25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7793.3899999999994</v>
      </c>
      <c r="E34" s="1"/>
      <c r="F34" s="5">
        <f t="shared" si="8"/>
        <v>7.3550302000755003</v>
      </c>
      <c r="G34" s="1"/>
      <c r="H34" s="1">
        <f>SUM(OSRRefH22_0x_0)</f>
        <v>6447.3099999999995</v>
      </c>
      <c r="I34" s="1"/>
      <c r="J34" s="5">
        <f t="shared" si="9"/>
        <v>0.14612805342404153</v>
      </c>
      <c r="K34" s="1"/>
      <c r="L34" s="1">
        <f t="shared" si="10"/>
        <v>1346.08</v>
      </c>
      <c r="M34" s="1"/>
      <c r="N34" s="5">
        <f t="shared" si="11"/>
        <v>0.20878164691941289</v>
      </c>
      <c r="O34" s="13"/>
      <c r="P34" s="1">
        <f>SUM(OSRRefP22_0x_0)</f>
        <v>82230.61</v>
      </c>
      <c r="Q34" s="1"/>
      <c r="R34" s="5">
        <f t="shared" si="12"/>
        <v>0.17488363030117257</v>
      </c>
      <c r="S34" s="1"/>
      <c r="T34" s="1">
        <f>SUM(OSRRefT22_0x_0)</f>
        <v>69182.78</v>
      </c>
      <c r="U34" s="1"/>
      <c r="V34" s="5">
        <f t="shared" si="13"/>
        <v>0.12497464885079339</v>
      </c>
      <c r="W34" s="1"/>
      <c r="X34" s="1">
        <f t="shared" si="14"/>
        <v>13047.830000000002</v>
      </c>
      <c r="Y34" s="1"/>
      <c r="Z34" s="5">
        <f t="shared" si="15"/>
        <v>0.18859938846053892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6">
        <v>1307.3499999999999</v>
      </c>
      <c r="E35" s="2"/>
      <c r="F35" s="7">
        <f t="shared" si="8"/>
        <v>1.2338146470366176</v>
      </c>
      <c r="G35" s="2"/>
      <c r="H35" s="6">
        <v>968.87</v>
      </c>
      <c r="I35" s="2"/>
      <c r="J35" s="7">
        <f t="shared" si="9"/>
        <v>2.1959404328464296E-2</v>
      </c>
      <c r="K35" s="2"/>
      <c r="L35" s="6">
        <f t="shared" si="10"/>
        <v>338.4799999999999</v>
      </c>
      <c r="M35" s="2"/>
      <c r="N35" s="7">
        <f t="shared" si="11"/>
        <v>0.34935543468163932</v>
      </c>
      <c r="O35" s="11"/>
      <c r="P35" s="6">
        <v>12943.52</v>
      </c>
      <c r="Q35" s="2"/>
      <c r="R35" s="7">
        <f t="shared" si="12"/>
        <v>2.7527580866490389E-2</v>
      </c>
      <c r="S35" s="2"/>
      <c r="T35" s="6">
        <v>11581.79</v>
      </c>
      <c r="U35" s="2"/>
      <c r="V35" s="7">
        <f t="shared" si="13"/>
        <v>2.0921826765470115E-2</v>
      </c>
      <c r="W35" s="2"/>
      <c r="X35" s="6">
        <f t="shared" si="14"/>
        <v>1361.7299999999996</v>
      </c>
      <c r="Y35" s="2"/>
      <c r="Z35" s="7">
        <f t="shared" si="15"/>
        <v>0.11757508986089366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216.57</v>
      </c>
      <c r="E36" s="2"/>
      <c r="F36" s="7">
        <f t="shared" si="8"/>
        <v>0.2043884484711212</v>
      </c>
      <c r="G36" s="2"/>
      <c r="H36" s="6">
        <v>129.99</v>
      </c>
      <c r="I36" s="2"/>
      <c r="J36" s="7">
        <f t="shared" si="9"/>
        <v>2.946218758612687E-3</v>
      </c>
      <c r="K36" s="2"/>
      <c r="L36" s="6">
        <f t="shared" si="10"/>
        <v>86.579999999999984</v>
      </c>
      <c r="M36" s="2"/>
      <c r="N36" s="7">
        <f t="shared" si="11"/>
        <v>0.66605123471036221</v>
      </c>
      <c r="O36" s="11"/>
      <c r="P36" s="6">
        <v>2094.4299999999998</v>
      </c>
      <c r="Q36" s="2"/>
      <c r="R36" s="7">
        <f t="shared" si="12"/>
        <v>4.4543208643555579E-3</v>
      </c>
      <c r="S36" s="2"/>
      <c r="T36" s="6">
        <v>1667.37</v>
      </c>
      <c r="U36" s="2"/>
      <c r="V36" s="7">
        <f t="shared" si="13"/>
        <v>3.0120064596182369E-3</v>
      </c>
      <c r="W36" s="2"/>
      <c r="X36" s="6">
        <f t="shared" si="14"/>
        <v>427.05999999999995</v>
      </c>
      <c r="Y36" s="2"/>
      <c r="Z36" s="7">
        <f t="shared" si="15"/>
        <v>0.2561279140202834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6">
        <v>2724.48</v>
      </c>
      <c r="E37" s="2"/>
      <c r="F37" s="7">
        <f t="shared" si="8"/>
        <v>2.5712344280860706</v>
      </c>
      <c r="G37" s="2"/>
      <c r="H37" s="6">
        <v>2589.16</v>
      </c>
      <c r="I37" s="2"/>
      <c r="J37" s="7">
        <f t="shared" si="9"/>
        <v>5.8683219948070034E-2</v>
      </c>
      <c r="K37" s="2"/>
      <c r="L37" s="6">
        <f t="shared" si="10"/>
        <v>135.32000000000016</v>
      </c>
      <c r="M37" s="2"/>
      <c r="N37" s="7">
        <f t="shared" si="11"/>
        <v>5.2264054751347995E-2</v>
      </c>
      <c r="O37" s="11"/>
      <c r="P37" s="6">
        <v>29762.01</v>
      </c>
      <c r="Q37" s="2"/>
      <c r="R37" s="7">
        <f t="shared" si="12"/>
        <v>6.3296239123846951E-2</v>
      </c>
      <c r="S37" s="2"/>
      <c r="T37" s="6">
        <v>24740.82</v>
      </c>
      <c r="U37" s="2"/>
      <c r="V37" s="7">
        <f t="shared" si="13"/>
        <v>4.4692845412986959E-2</v>
      </c>
      <c r="W37" s="2"/>
      <c r="X37" s="6">
        <f t="shared" si="14"/>
        <v>5021.1899999999987</v>
      </c>
      <c r="Y37" s="2"/>
      <c r="Z37" s="7">
        <f t="shared" si="15"/>
        <v>0.20295164024474527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29.64</v>
      </c>
      <c r="E38" s="2"/>
      <c r="F38" s="7">
        <f t="shared" si="8"/>
        <v>2.7972819932049833E-2</v>
      </c>
      <c r="G38" s="2"/>
      <c r="H38" s="6">
        <v>40.950000000000003</v>
      </c>
      <c r="I38" s="2"/>
      <c r="J38" s="7">
        <f t="shared" si="9"/>
        <v>9.28130303601735E-4</v>
      </c>
      <c r="K38" s="2"/>
      <c r="L38" s="6">
        <f t="shared" si="10"/>
        <v>-11.310000000000002</v>
      </c>
      <c r="M38" s="2"/>
      <c r="N38" s="7">
        <f t="shared" si="11"/>
        <v>-0.27619047619047621</v>
      </c>
      <c r="O38" s="11"/>
      <c r="P38" s="6">
        <v>479.08</v>
      </c>
      <c r="Q38" s="2"/>
      <c r="R38" s="7">
        <f t="shared" si="12"/>
        <v>1.0188815284805227E-3</v>
      </c>
      <c r="S38" s="2"/>
      <c r="T38" s="6">
        <v>467.5</v>
      </c>
      <c r="U38" s="2"/>
      <c r="V38" s="7">
        <f t="shared" si="13"/>
        <v>8.4451142810025711E-4</v>
      </c>
      <c r="W38" s="2"/>
      <c r="X38" s="6">
        <f t="shared" si="14"/>
        <v>11.579999999999984</v>
      </c>
      <c r="Y38" s="2"/>
      <c r="Z38" s="7">
        <f t="shared" si="15"/>
        <v>2.4770053475935794E-2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6">
        <v>1166.77</v>
      </c>
      <c r="E39" s="2"/>
      <c r="F39" s="7">
        <f t="shared" si="8"/>
        <v>1.101141940354851</v>
      </c>
      <c r="G39" s="2"/>
      <c r="H39" s="6">
        <v>984.68</v>
      </c>
      <c r="I39" s="2"/>
      <c r="J39" s="7">
        <f t="shared" si="9"/>
        <v>2.2317737420038005E-2</v>
      </c>
      <c r="K39" s="2"/>
      <c r="L39" s="6">
        <f t="shared" si="10"/>
        <v>182.09000000000003</v>
      </c>
      <c r="M39" s="2"/>
      <c r="N39" s="7">
        <f t="shared" si="11"/>
        <v>0.18492302067676814</v>
      </c>
      <c r="O39" s="11"/>
      <c r="P39" s="6">
        <v>13085.76</v>
      </c>
      <c r="Q39" s="2"/>
      <c r="R39" s="7">
        <f t="shared" si="12"/>
        <v>2.7830089233800794E-2</v>
      </c>
      <c r="S39" s="2"/>
      <c r="T39" s="6">
        <v>11952.16</v>
      </c>
      <c r="U39" s="2"/>
      <c r="V39" s="7">
        <f t="shared" si="13"/>
        <v>2.1590878525096835E-2</v>
      </c>
      <c r="W39" s="2"/>
      <c r="X39" s="6">
        <f t="shared" si="14"/>
        <v>1133.6000000000004</v>
      </c>
      <c r="Y39" s="2"/>
      <c r="Z39" s="7">
        <f t="shared" si="15"/>
        <v>9.4844781194361558E-2</v>
      </c>
    </row>
    <row r="40" spans="1:26" s="24" customFormat="1" hidden="1" outlineLevel="2" x14ac:dyDescent="0.25">
      <c r="A40" s="27"/>
      <c r="B40" s="11" t="str">
        <f>CONCATENATE("          ", "6118", " - ", "VACATION")</f>
        <v xml:space="preserve">          6118 - VACATION</v>
      </c>
      <c r="C40" s="11"/>
      <c r="D40" s="6">
        <v>1558.77</v>
      </c>
      <c r="E40" s="2"/>
      <c r="F40" s="7">
        <f t="shared" si="8"/>
        <v>1.4710928652321631</v>
      </c>
      <c r="G40" s="2"/>
      <c r="H40" s="6">
        <v>951.42</v>
      </c>
      <c r="I40" s="2"/>
      <c r="J40" s="7">
        <f t="shared" si="9"/>
        <v>2.1563900694817156E-2</v>
      </c>
      <c r="K40" s="2"/>
      <c r="L40" s="6">
        <f t="shared" si="10"/>
        <v>607.35</v>
      </c>
      <c r="M40" s="2"/>
      <c r="N40" s="7">
        <f t="shared" si="11"/>
        <v>0.63836160686132315</v>
      </c>
      <c r="O40" s="11"/>
      <c r="P40" s="6">
        <v>13343.1</v>
      </c>
      <c r="Q40" s="2"/>
      <c r="R40" s="7">
        <f t="shared" si="12"/>
        <v>2.8377386078877145E-2</v>
      </c>
      <c r="S40" s="2"/>
      <c r="T40" s="6">
        <v>9989.91</v>
      </c>
      <c r="U40" s="2"/>
      <c r="V40" s="7">
        <f t="shared" si="13"/>
        <v>1.8046188579022546E-2</v>
      </c>
      <c r="W40" s="2"/>
      <c r="X40" s="6">
        <f t="shared" si="14"/>
        <v>3353.1900000000005</v>
      </c>
      <c r="Y40" s="2"/>
      <c r="Z40" s="7">
        <f t="shared" si="15"/>
        <v>0.33565767859770512</v>
      </c>
    </row>
    <row r="41" spans="1:26" s="24" customFormat="1" hidden="1" outlineLevel="2" x14ac:dyDescent="0.25">
      <c r="A41" s="27"/>
      <c r="B41" s="11" t="str">
        <f>CONCATENATE("          ", "6119", " - ", "SICK LEAVE")</f>
        <v xml:space="preserve">          6119 - SICK LEAVE</v>
      </c>
      <c r="C41" s="11"/>
      <c r="D41" s="6">
        <v>789.81</v>
      </c>
      <c r="E41" s="2"/>
      <c r="F41" s="7">
        <f t="shared" si="8"/>
        <v>0.74538505096262742</v>
      </c>
      <c r="G41" s="2"/>
      <c r="H41" s="6">
        <v>482.72</v>
      </c>
      <c r="I41" s="2"/>
      <c r="J41" s="7">
        <f t="shared" si="9"/>
        <v>1.0940831749807802E-2</v>
      </c>
      <c r="K41" s="2"/>
      <c r="L41" s="6">
        <f t="shared" si="10"/>
        <v>307.08999999999992</v>
      </c>
      <c r="M41" s="2"/>
      <c r="N41" s="7">
        <f t="shared" si="11"/>
        <v>0.63616589327146156</v>
      </c>
      <c r="O41" s="11"/>
      <c r="P41" s="6">
        <v>8080.2</v>
      </c>
      <c r="Q41" s="2"/>
      <c r="R41" s="7">
        <f t="shared" si="12"/>
        <v>1.7184533953469815E-2</v>
      </c>
      <c r="S41" s="2"/>
      <c r="T41" s="6">
        <v>6172.59</v>
      </c>
      <c r="U41" s="2"/>
      <c r="V41" s="7">
        <f t="shared" si="13"/>
        <v>1.1150423092999715E-2</v>
      </c>
      <c r="W41" s="2"/>
      <c r="X41" s="6">
        <f t="shared" si="14"/>
        <v>1907.6099999999997</v>
      </c>
      <c r="Y41" s="2"/>
      <c r="Z41" s="7">
        <f t="shared" si="15"/>
        <v>0.30904531161149529</v>
      </c>
    </row>
    <row r="42" spans="1:26" s="24" customFormat="1" hidden="1" outlineLevel="2" x14ac:dyDescent="0.25">
      <c r="A42" s="27"/>
      <c r="B42" s="11" t="str">
        <f>CONCATENATE("          ", "6156", " - ", "EMPLOYEE MEALS")</f>
        <v xml:space="preserve">          6156 - EMPLOYEE MEALS</v>
      </c>
      <c r="C42" s="11"/>
      <c r="D42" s="6"/>
      <c r="E42" s="2"/>
      <c r="F42" s="7">
        <f t="shared" si="8"/>
        <v>0</v>
      </c>
      <c r="G42" s="2"/>
      <c r="H42" s="6">
        <v>299.52</v>
      </c>
      <c r="I42" s="2"/>
      <c r="J42" s="7">
        <f t="shared" si="9"/>
        <v>6.7886102206298317E-3</v>
      </c>
      <c r="K42" s="2"/>
      <c r="L42" s="6">
        <f t="shared" si="10"/>
        <v>-299.52</v>
      </c>
      <c r="M42" s="2"/>
      <c r="N42" s="7">
        <f t="shared" si="11"/>
        <v>-1</v>
      </c>
      <c r="O42" s="11"/>
      <c r="P42" s="6">
        <v>2442.5100000000002</v>
      </c>
      <c r="Q42" s="2"/>
      <c r="R42" s="7">
        <f t="shared" si="12"/>
        <v>5.1945986518513853E-3</v>
      </c>
      <c r="S42" s="2"/>
      <c r="T42" s="6">
        <v>2610.64</v>
      </c>
      <c r="U42" s="2"/>
      <c r="V42" s="7">
        <f t="shared" si="13"/>
        <v>4.7159685874987277E-3</v>
      </c>
      <c r="W42" s="2"/>
      <c r="X42" s="6">
        <f t="shared" si="14"/>
        <v>-168.12999999999965</v>
      </c>
      <c r="Y42" s="2"/>
      <c r="Z42" s="7">
        <f t="shared" si="15"/>
        <v>-6.4401832500842582E-2</v>
      </c>
    </row>
    <row r="43" spans="1:26" s="25" customFormat="1" outlineLevel="1" collapsed="1" x14ac:dyDescent="0.25">
      <c r="A43" s="26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10574.62</v>
      </c>
      <c r="E43" s="1"/>
      <c r="F43" s="5">
        <f t="shared" ref="F43:F47" si="16">IF(D$12=0,0,D43/D$12)</f>
        <v>9.9798225745564384</v>
      </c>
      <c r="G43" s="1"/>
      <c r="H43" s="1">
        <f>SUM(OSRRefH22_1x_0)</f>
        <v>11939.24</v>
      </c>
      <c r="I43" s="1"/>
      <c r="J43" s="5">
        <f t="shared" ref="J43:J47" si="17">IF(H$12=0,0,H43/H$12)</f>
        <v>0.27060245289313739</v>
      </c>
      <c r="K43" s="1"/>
      <c r="L43" s="1">
        <f t="shared" ref="L43:L47" si="18">+D43-H43</f>
        <v>-1364.619999999999</v>
      </c>
      <c r="M43" s="1"/>
      <c r="N43" s="5">
        <f t="shared" ref="N43:N47" si="19">IF(H43=0,0,L43/H43)</f>
        <v>-0.11429705743414145</v>
      </c>
      <c r="O43" s="13"/>
      <c r="P43" s="1">
        <f>SUM(OSRRefP22_1x_0)</f>
        <v>163885.78</v>
      </c>
      <c r="Q43" s="1"/>
      <c r="R43" s="5">
        <f t="shared" ref="R43:R47" si="20">IF(P$12=0,0,P43/P$12)</f>
        <v>0.34854344581828228</v>
      </c>
      <c r="S43" s="1"/>
      <c r="T43" s="1">
        <f>SUM(OSRRefT22_1x_0)</f>
        <v>158028.20000000001</v>
      </c>
      <c r="U43" s="1"/>
      <c r="V43" s="5">
        <f t="shared" ref="V43:V47" si="21">IF(T$12=0,0,T43/T$12)</f>
        <v>0.28546870772644506</v>
      </c>
      <c r="W43" s="1"/>
      <c r="X43" s="1">
        <f t="shared" ref="X43:X47" si="22">+P43-T43</f>
        <v>5857.5799999999872</v>
      </c>
      <c r="Y43" s="1"/>
      <c r="Z43" s="5">
        <f t="shared" ref="Z43:Z47" si="23">IF(T43=0,0,X43/T43)</f>
        <v>3.7066675441471755E-2</v>
      </c>
    </row>
    <row r="44" spans="1:26" s="24" customFormat="1" hidden="1" outlineLevel="2" x14ac:dyDescent="0.25">
      <c r="A44" s="27"/>
      <c r="B44" s="11" t="str">
        <f>CONCATENATE("          ", "6002", " - ", "STAFF SALARIES")</f>
        <v xml:space="preserve">          6002 - STAFF SALARIES</v>
      </c>
      <c r="C44" s="11"/>
      <c r="D44" s="6">
        <v>10574.62</v>
      </c>
      <c r="E44" s="2"/>
      <c r="F44" s="7">
        <f t="shared" si="16"/>
        <v>9.9798225745564384</v>
      </c>
      <c r="G44" s="2"/>
      <c r="H44" s="6">
        <v>6491.49</v>
      </c>
      <c r="I44" s="2"/>
      <c r="J44" s="7">
        <f t="shared" si="17"/>
        <v>0.14712939156355617</v>
      </c>
      <c r="K44" s="2"/>
      <c r="L44" s="6">
        <f t="shared" si="18"/>
        <v>4083.130000000001</v>
      </c>
      <c r="M44" s="2"/>
      <c r="N44" s="7">
        <f t="shared" si="19"/>
        <v>0.62899734883670788</v>
      </c>
      <c r="O44" s="11"/>
      <c r="P44" s="6">
        <v>111455.62</v>
      </c>
      <c r="Q44" s="2"/>
      <c r="R44" s="7">
        <f t="shared" si="20"/>
        <v>0.23703780676159369</v>
      </c>
      <c r="S44" s="2"/>
      <c r="T44" s="6">
        <v>100757.25</v>
      </c>
      <c r="U44" s="2"/>
      <c r="V44" s="7">
        <f t="shared" si="21"/>
        <v>0.18201208361273719</v>
      </c>
      <c r="W44" s="2"/>
      <c r="X44" s="6">
        <f t="shared" si="22"/>
        <v>10698.369999999995</v>
      </c>
      <c r="Y44" s="2"/>
      <c r="Z44" s="7">
        <f t="shared" si="23"/>
        <v>0.10617965456580043</v>
      </c>
    </row>
    <row r="45" spans="1:26" s="24" customFormat="1" hidden="1" outlineLevel="2" x14ac:dyDescent="0.25">
      <c r="A45" s="27"/>
      <c r="B45" s="11" t="str">
        <f>CONCATENATE("          ", "6005", " - ", "TEMPORARY WAGES-HOURLY")</f>
        <v xml:space="preserve">          6005 - TEMPORARY WAGES-HOURLY</v>
      </c>
      <c r="C45" s="11"/>
      <c r="D45" s="6"/>
      <c r="E45" s="2"/>
      <c r="F45" s="7">
        <f t="shared" si="16"/>
        <v>0</v>
      </c>
      <c r="G45" s="2"/>
      <c r="H45" s="6">
        <v>1323</v>
      </c>
      <c r="I45" s="2"/>
      <c r="J45" s="7">
        <f t="shared" si="17"/>
        <v>2.9985748270209896E-2</v>
      </c>
      <c r="K45" s="2"/>
      <c r="L45" s="6">
        <f t="shared" si="18"/>
        <v>-1323</v>
      </c>
      <c r="M45" s="2"/>
      <c r="N45" s="7">
        <f t="shared" si="19"/>
        <v>-1</v>
      </c>
      <c r="O45" s="11"/>
      <c r="P45" s="6">
        <v>18111.36</v>
      </c>
      <c r="Q45" s="2"/>
      <c r="R45" s="7">
        <f t="shared" si="20"/>
        <v>3.851826450626409E-2</v>
      </c>
      <c r="S45" s="2"/>
      <c r="T45" s="6">
        <v>15192.550000000001</v>
      </c>
      <c r="U45" s="2"/>
      <c r="V45" s="7">
        <f t="shared" si="21"/>
        <v>2.7444453683389439E-2</v>
      </c>
      <c r="W45" s="2"/>
      <c r="X45" s="6">
        <f t="shared" si="22"/>
        <v>2918.8099999999995</v>
      </c>
      <c r="Y45" s="2"/>
      <c r="Z45" s="7">
        <f t="shared" si="23"/>
        <v>0.19212113832108496</v>
      </c>
    </row>
    <row r="46" spans="1:26" s="24" customFormat="1" hidden="1" outlineLevel="2" x14ac:dyDescent="0.25">
      <c r="A46" s="27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16"/>
        <v>0</v>
      </c>
      <c r="G46" s="2"/>
      <c r="H46" s="6">
        <v>804</v>
      </c>
      <c r="I46" s="2"/>
      <c r="J46" s="7">
        <f t="shared" si="17"/>
        <v>1.8222631601850912E-2</v>
      </c>
      <c r="K46" s="2"/>
      <c r="L46" s="6">
        <f t="shared" si="18"/>
        <v>-804</v>
      </c>
      <c r="M46" s="2"/>
      <c r="N46" s="7">
        <f t="shared" si="19"/>
        <v>-1</v>
      </c>
      <c r="O46" s="11"/>
      <c r="P46" s="6">
        <v>2451.21</v>
      </c>
      <c r="Q46" s="2"/>
      <c r="R46" s="7">
        <f t="shared" si="20"/>
        <v>5.2131013430465516E-3</v>
      </c>
      <c r="S46" s="2"/>
      <c r="T46" s="6">
        <v>8599.65</v>
      </c>
      <c r="U46" s="2"/>
      <c r="V46" s="7">
        <f t="shared" si="21"/>
        <v>1.5534765139384761E-2</v>
      </c>
      <c r="W46" s="2"/>
      <c r="X46" s="6">
        <f t="shared" si="22"/>
        <v>-6148.44</v>
      </c>
      <c r="Y46" s="2"/>
      <c r="Z46" s="7">
        <f t="shared" si="23"/>
        <v>-0.71496398109225379</v>
      </c>
    </row>
    <row r="47" spans="1:26" s="24" customFormat="1" hidden="1" outlineLevel="2" x14ac:dyDescent="0.25">
      <c r="A47" s="27"/>
      <c r="B47" s="11" t="str">
        <f>CONCATENATE("          ", "6007", " - ", "STUDENT HOURLY")</f>
        <v xml:space="preserve">          6007 - STUDENT HOURLY</v>
      </c>
      <c r="C47" s="11"/>
      <c r="D47" s="6"/>
      <c r="E47" s="2"/>
      <c r="F47" s="7">
        <f t="shared" si="16"/>
        <v>0</v>
      </c>
      <c r="G47" s="2"/>
      <c r="H47" s="6">
        <v>3320.75</v>
      </c>
      <c r="I47" s="2"/>
      <c r="J47" s="7">
        <f t="shared" si="17"/>
        <v>7.5264681457520424E-2</v>
      </c>
      <c r="K47" s="2"/>
      <c r="L47" s="6">
        <f t="shared" si="18"/>
        <v>-3320.75</v>
      </c>
      <c r="M47" s="2"/>
      <c r="N47" s="7">
        <f t="shared" si="19"/>
        <v>-1</v>
      </c>
      <c r="O47" s="11"/>
      <c r="P47" s="6">
        <v>31867.59</v>
      </c>
      <c r="Q47" s="2"/>
      <c r="R47" s="7">
        <f t="shared" si="20"/>
        <v>6.777427320737793E-2</v>
      </c>
      <c r="S47" s="2"/>
      <c r="T47" s="6">
        <v>33478.75</v>
      </c>
      <c r="U47" s="2"/>
      <c r="V47" s="7">
        <f t="shared" si="21"/>
        <v>6.0477405290933657E-2</v>
      </c>
      <c r="W47" s="2"/>
      <c r="X47" s="6">
        <f t="shared" si="22"/>
        <v>-1611.1599999999999</v>
      </c>
      <c r="Y47" s="2"/>
      <c r="Z47" s="7">
        <f t="shared" si="23"/>
        <v>-4.8124855318672291E-2</v>
      </c>
    </row>
    <row r="48" spans="1:26" s="25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2" si="24">IF(D$12=0,0,D48/D$12)</f>
        <v>0</v>
      </c>
      <c r="G48" s="1"/>
      <c r="H48" s="1">
        <f>SUM(OSRRefH22_2x_0)</f>
        <v>449</v>
      </c>
      <c r="I48" s="1"/>
      <c r="J48" s="5">
        <f t="shared" ref="J48:J62" si="25">IF(H$12=0,0,H48/H$12)</f>
        <v>1.0176569140834651E-2</v>
      </c>
      <c r="K48" s="1"/>
      <c r="L48" s="1">
        <f t="shared" ref="L48:L62" si="26">+D48-H48</f>
        <v>-449</v>
      </c>
      <c r="M48" s="1"/>
      <c r="N48" s="5">
        <f t="shared" ref="N48:N62" si="27">IF(H48=0,0,L48/H48)</f>
        <v>-1</v>
      </c>
      <c r="O48" s="13"/>
      <c r="P48" s="1">
        <f>SUM(OSRRefP22_2x_0)</f>
        <v>751</v>
      </c>
      <c r="Q48" s="1"/>
      <c r="R48" s="5">
        <f t="shared" ref="R48:R62" si="28">IF(P$12=0,0,P48/P$12)</f>
        <v>1.5971863319046349E-3</v>
      </c>
      <c r="S48" s="1"/>
      <c r="T48" s="1">
        <f>SUM(OSRRefT22_2x_0)</f>
        <v>1083.07</v>
      </c>
      <c r="U48" s="1"/>
      <c r="V48" s="5">
        <f t="shared" ref="V48:V62" si="29">IF(T$12=0,0,T48/T$12)</f>
        <v>1.9565026576097229E-3</v>
      </c>
      <c r="W48" s="1"/>
      <c r="X48" s="1">
        <f t="shared" ref="X48:X62" si="30">+P48-T48</f>
        <v>-332.06999999999994</v>
      </c>
      <c r="Y48" s="1"/>
      <c r="Z48" s="5">
        <f t="shared" ref="Z48:Z62" si="31">IF(T48=0,0,X48/T48)</f>
        <v>-0.30660068139640095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4"/>
        <v>0</v>
      </c>
      <c r="G49" s="2"/>
      <c r="H49" s="6">
        <v>449</v>
      </c>
      <c r="I49" s="2"/>
      <c r="J49" s="7">
        <f t="shared" si="25"/>
        <v>1.0176569140834651E-2</v>
      </c>
      <c r="K49" s="2"/>
      <c r="L49" s="6">
        <f t="shared" si="26"/>
        <v>-449</v>
      </c>
      <c r="M49" s="2"/>
      <c r="N49" s="7">
        <f t="shared" si="27"/>
        <v>-1</v>
      </c>
      <c r="O49" s="11"/>
      <c r="P49" s="6">
        <v>751</v>
      </c>
      <c r="Q49" s="2"/>
      <c r="R49" s="7">
        <f t="shared" si="28"/>
        <v>1.5971863319046349E-3</v>
      </c>
      <c r="S49" s="2"/>
      <c r="T49" s="6">
        <v>1083.07</v>
      </c>
      <c r="U49" s="2"/>
      <c r="V49" s="7">
        <f t="shared" si="29"/>
        <v>1.9565026576097229E-3</v>
      </c>
      <c r="W49" s="2"/>
      <c r="X49" s="6">
        <f t="shared" si="30"/>
        <v>-332.06999999999994</v>
      </c>
      <c r="Y49" s="2"/>
      <c r="Z49" s="7">
        <f t="shared" si="31"/>
        <v>-0.30660068139640095</v>
      </c>
    </row>
    <row r="50" spans="1:26" s="25" customFormat="1" outlineLevel="1" collapsed="1" x14ac:dyDescent="0.25">
      <c r="A50" s="26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SUM(OSRRefD22_3x_0)</f>
        <v>169.88</v>
      </c>
      <c r="E50" s="1"/>
      <c r="F50" s="5">
        <f t="shared" si="24"/>
        <v>0.16032465081162703</v>
      </c>
      <c r="G50" s="1"/>
      <c r="H50" s="1">
        <f>SUM(OSRRefH22_3x_0)</f>
        <v>0</v>
      </c>
      <c r="I50" s="1"/>
      <c r="J50" s="5">
        <f t="shared" si="25"/>
        <v>0</v>
      </c>
      <c r="K50" s="1"/>
      <c r="L50" s="1">
        <f t="shared" si="26"/>
        <v>169.88</v>
      </c>
      <c r="M50" s="1"/>
      <c r="N50" s="5">
        <f t="shared" si="27"/>
        <v>0</v>
      </c>
      <c r="O50" s="13"/>
      <c r="P50" s="1">
        <f>SUM(OSRRefP22_3x_0)</f>
        <v>849.4</v>
      </c>
      <c r="Q50" s="1"/>
      <c r="R50" s="5">
        <f t="shared" si="28"/>
        <v>1.8064581495603155E-3</v>
      </c>
      <c r="S50" s="1"/>
      <c r="T50" s="1">
        <f>SUM(OSRRefT22_3x_0)</f>
        <v>0</v>
      </c>
      <c r="U50" s="1"/>
      <c r="V50" s="5">
        <f t="shared" si="29"/>
        <v>0</v>
      </c>
      <c r="W50" s="1"/>
      <c r="X50" s="1">
        <f t="shared" si="30"/>
        <v>849.4</v>
      </c>
      <c r="Y50" s="1"/>
      <c r="Z50" s="5">
        <f t="shared" si="31"/>
        <v>0</v>
      </c>
    </row>
    <row r="51" spans="1:26" s="24" customFormat="1" hidden="1" outlineLevel="2" x14ac:dyDescent="0.25">
      <c r="A51" s="27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169.88</v>
      </c>
      <c r="E51" s="2"/>
      <c r="F51" s="7">
        <f t="shared" si="24"/>
        <v>0.16032465081162703</v>
      </c>
      <c r="G51" s="2"/>
      <c r="H51" s="6"/>
      <c r="I51" s="2"/>
      <c r="J51" s="7">
        <f t="shared" si="25"/>
        <v>0</v>
      </c>
      <c r="K51" s="2"/>
      <c r="L51" s="6">
        <f t="shared" si="26"/>
        <v>169.88</v>
      </c>
      <c r="M51" s="2"/>
      <c r="N51" s="7">
        <f t="shared" si="27"/>
        <v>0</v>
      </c>
      <c r="O51" s="11"/>
      <c r="P51" s="6">
        <v>849.4</v>
      </c>
      <c r="Q51" s="2"/>
      <c r="R51" s="7">
        <f t="shared" si="28"/>
        <v>1.8064581495603155E-3</v>
      </c>
      <c r="S51" s="2"/>
      <c r="T51" s="6"/>
      <c r="U51" s="2"/>
      <c r="V51" s="7">
        <f t="shared" si="29"/>
        <v>0</v>
      </c>
      <c r="W51" s="2"/>
      <c r="X51" s="6">
        <f t="shared" si="30"/>
        <v>849.4</v>
      </c>
      <c r="Y51" s="2"/>
      <c r="Z51" s="7">
        <f t="shared" si="31"/>
        <v>0</v>
      </c>
    </row>
    <row r="52" spans="1:26" s="25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SUM(OSRRefD22_4x_0)</f>
        <v>0</v>
      </c>
      <c r="E52" s="1"/>
      <c r="F52" s="5">
        <f t="shared" si="24"/>
        <v>0</v>
      </c>
      <c r="G52" s="1"/>
      <c r="H52" s="1">
        <f>SUM(OSRRefH22_4x_0)</f>
        <v>194.85</v>
      </c>
      <c r="I52" s="1"/>
      <c r="J52" s="5">
        <f t="shared" si="25"/>
        <v>4.4162683676873754E-3</v>
      </c>
      <c r="K52" s="1"/>
      <c r="L52" s="1">
        <f t="shared" si="26"/>
        <v>-194.85</v>
      </c>
      <c r="M52" s="1"/>
      <c r="N52" s="5">
        <f t="shared" si="27"/>
        <v>-1</v>
      </c>
      <c r="O52" s="13"/>
      <c r="P52" s="1">
        <f>SUM(OSRRefP22_4x_0)</f>
        <v>726.07</v>
      </c>
      <c r="Q52" s="1"/>
      <c r="R52" s="5">
        <f t="shared" si="28"/>
        <v>1.5441665512729672E-3</v>
      </c>
      <c r="S52" s="1"/>
      <c r="T52" s="1">
        <f>SUM(OSRRefT22_4x_0)</f>
        <v>1271.58</v>
      </c>
      <c r="U52" s="1"/>
      <c r="V52" s="5">
        <f t="shared" si="29"/>
        <v>2.2970349556015509E-3</v>
      </c>
      <c r="W52" s="1"/>
      <c r="X52" s="1">
        <f t="shared" si="30"/>
        <v>-545.50999999999988</v>
      </c>
      <c r="Y52" s="1"/>
      <c r="Z52" s="5">
        <f t="shared" si="31"/>
        <v>-0.42900171440255425</v>
      </c>
    </row>
    <row r="53" spans="1:26" s="24" customFormat="1" hidden="1" outlineLevel="2" x14ac:dyDescent="0.25">
      <c r="A53" s="27"/>
      <c r="B53" s="11" t="str">
        <f>CONCATENATE("          ", "6382", " - ", "DISCOUNTS/MARK DOWNS")</f>
        <v xml:space="preserve">          6382 - DISCOUNTS/MARK DOWNS</v>
      </c>
      <c r="C53" s="11"/>
      <c r="D53" s="6"/>
      <c r="E53" s="2"/>
      <c r="F53" s="7">
        <f t="shared" si="24"/>
        <v>0</v>
      </c>
      <c r="G53" s="2"/>
      <c r="H53" s="6">
        <v>194.85</v>
      </c>
      <c r="I53" s="2"/>
      <c r="J53" s="7">
        <f t="shared" si="25"/>
        <v>4.4162683676873754E-3</v>
      </c>
      <c r="K53" s="2"/>
      <c r="L53" s="6">
        <f t="shared" si="26"/>
        <v>-194.85</v>
      </c>
      <c r="M53" s="2"/>
      <c r="N53" s="7">
        <f t="shared" si="27"/>
        <v>-1</v>
      </c>
      <c r="O53" s="11"/>
      <c r="P53" s="6">
        <v>726.07</v>
      </c>
      <c r="Q53" s="2"/>
      <c r="R53" s="7">
        <f t="shared" si="28"/>
        <v>1.5441665512729672E-3</v>
      </c>
      <c r="S53" s="2"/>
      <c r="T53" s="6">
        <v>1271.58</v>
      </c>
      <c r="U53" s="2"/>
      <c r="V53" s="7">
        <f t="shared" si="29"/>
        <v>2.2970349556015509E-3</v>
      </c>
      <c r="W53" s="2"/>
      <c r="X53" s="6">
        <f t="shared" si="30"/>
        <v>-545.50999999999988</v>
      </c>
      <c r="Y53" s="2"/>
      <c r="Z53" s="7">
        <f t="shared" si="31"/>
        <v>-0.42900171440255425</v>
      </c>
    </row>
    <row r="54" spans="1:26" s="25" customFormat="1" outlineLevel="1" collapsed="1" x14ac:dyDescent="0.25">
      <c r="A54" s="26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SUM(OSRRefD22_5x_0)</f>
        <v>1326.99</v>
      </c>
      <c r="E54" s="1"/>
      <c r="F54" s="5">
        <f t="shared" si="24"/>
        <v>1.2523499433748586</v>
      </c>
      <c r="G54" s="1"/>
      <c r="H54" s="1">
        <f>SUM(OSRRefH22_5x_0)</f>
        <v>3340.22</v>
      </c>
      <c r="I54" s="1"/>
      <c r="J54" s="5">
        <f t="shared" si="25"/>
        <v>7.5705968319818961E-2</v>
      </c>
      <c r="K54" s="1"/>
      <c r="L54" s="1">
        <f t="shared" si="26"/>
        <v>-2013.2299999999998</v>
      </c>
      <c r="M54" s="1"/>
      <c r="N54" s="5">
        <f t="shared" si="27"/>
        <v>-0.60272377268563149</v>
      </c>
      <c r="O54" s="13"/>
      <c r="P54" s="1">
        <f>SUM(OSRRefP22_5x_0)</f>
        <v>14876.070000000002</v>
      </c>
      <c r="Q54" s="1"/>
      <c r="R54" s="5">
        <f t="shared" si="28"/>
        <v>3.1637624069848984E-2</v>
      </c>
      <c r="S54" s="1"/>
      <c r="T54" s="1">
        <f>SUM(OSRRefT22_5x_0)</f>
        <v>32211.31</v>
      </c>
      <c r="U54" s="1"/>
      <c r="V54" s="5">
        <f t="shared" si="29"/>
        <v>5.8187849003379886E-2</v>
      </c>
      <c r="W54" s="1"/>
      <c r="X54" s="1">
        <f t="shared" si="30"/>
        <v>-17335.239999999998</v>
      </c>
      <c r="Y54" s="1"/>
      <c r="Z54" s="5">
        <f t="shared" si="31"/>
        <v>-0.5381724617843856</v>
      </c>
    </row>
    <row r="55" spans="1:26" s="24" customFormat="1" hidden="1" outlineLevel="2" x14ac:dyDescent="0.25">
      <c r="A55" s="27"/>
      <c r="B55" s="11" t="str">
        <f>CONCATENATE("          ", "6351", " - ", "EQUIPMENT RENTAL")</f>
        <v xml:space="preserve">          6351 - EQUIPMENT RENTAL</v>
      </c>
      <c r="C55" s="11"/>
      <c r="D55" s="6">
        <v>1326.99</v>
      </c>
      <c r="E55" s="2"/>
      <c r="F55" s="7">
        <f t="shared" si="24"/>
        <v>1.2523499433748586</v>
      </c>
      <c r="G55" s="2"/>
      <c r="H55" s="6">
        <v>3340.22</v>
      </c>
      <c r="I55" s="2"/>
      <c r="J55" s="7">
        <f t="shared" si="25"/>
        <v>7.5705968319818961E-2</v>
      </c>
      <c r="K55" s="2"/>
      <c r="L55" s="6">
        <f t="shared" si="26"/>
        <v>-2013.2299999999998</v>
      </c>
      <c r="M55" s="2"/>
      <c r="N55" s="7">
        <f t="shared" si="27"/>
        <v>-0.60272377268563149</v>
      </c>
      <c r="O55" s="11"/>
      <c r="P55" s="6">
        <v>14876.070000000002</v>
      </c>
      <c r="Q55" s="2"/>
      <c r="R55" s="7">
        <f t="shared" si="28"/>
        <v>3.1637624069848984E-2</v>
      </c>
      <c r="S55" s="2"/>
      <c r="T55" s="6">
        <v>32211.31</v>
      </c>
      <c r="U55" s="2"/>
      <c r="V55" s="7">
        <f t="shared" si="29"/>
        <v>5.8187849003379886E-2</v>
      </c>
      <c r="W55" s="2"/>
      <c r="X55" s="6">
        <f t="shared" si="30"/>
        <v>-17335.239999999998</v>
      </c>
      <c r="Y55" s="2"/>
      <c r="Z55" s="7">
        <f t="shared" si="31"/>
        <v>-0.5381724617843856</v>
      </c>
    </row>
    <row r="56" spans="1:26" s="25" customFormat="1" outlineLevel="1" collapsed="1" x14ac:dyDescent="0.25">
      <c r="A56" s="26"/>
      <c r="B56" s="13" t="str">
        <f>CONCATENATE("     ","Freight out/Postage                               ")</f>
        <v xml:space="preserve">     Freight out/Postage                               </v>
      </c>
      <c r="C56" s="13"/>
      <c r="D56" s="1">
        <f>SUM(OSRRefD22_6x_0)</f>
        <v>0</v>
      </c>
      <c r="E56" s="1"/>
      <c r="F56" s="5">
        <f t="shared" si="24"/>
        <v>0</v>
      </c>
      <c r="G56" s="1"/>
      <c r="H56" s="1">
        <f>SUM(OSRRefH22_6x_0)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SUM(OSRRefP22_6x_0)</f>
        <v>15.02</v>
      </c>
      <c r="Q56" s="1"/>
      <c r="R56" s="5">
        <f t="shared" si="28"/>
        <v>3.1943726638092696E-5</v>
      </c>
      <c r="S56" s="1"/>
      <c r="T56" s="1">
        <f>SUM(OSRRefT22_6x_0)</f>
        <v>0</v>
      </c>
      <c r="U56" s="1"/>
      <c r="V56" s="5">
        <f t="shared" si="29"/>
        <v>0</v>
      </c>
      <c r="W56" s="1"/>
      <c r="X56" s="1">
        <f t="shared" si="30"/>
        <v>15.02</v>
      </c>
      <c r="Y56" s="1"/>
      <c r="Z56" s="5">
        <f t="shared" si="31"/>
        <v>0</v>
      </c>
    </row>
    <row r="57" spans="1:26" s="24" customFormat="1" hidden="1" outlineLevel="2" x14ac:dyDescent="0.25">
      <c r="A57" s="27"/>
      <c r="B57" s="11" t="str">
        <f>CONCATENATE("          ", "6305", " - ", "FREIGHT OUT")</f>
        <v xml:space="preserve">          6305 - FREIGHT OUT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>
        <v>15.02</v>
      </c>
      <c r="Q57" s="2"/>
      <c r="R57" s="7">
        <f t="shared" si="28"/>
        <v>3.1943726638092696E-5</v>
      </c>
      <c r="S57" s="2"/>
      <c r="T57" s="6"/>
      <c r="U57" s="2"/>
      <c r="V57" s="7">
        <f t="shared" si="29"/>
        <v>0</v>
      </c>
      <c r="W57" s="2"/>
      <c r="X57" s="6">
        <f t="shared" si="30"/>
        <v>15.02</v>
      </c>
      <c r="Y57" s="2"/>
      <c r="Z57" s="7">
        <f t="shared" si="31"/>
        <v>0</v>
      </c>
    </row>
    <row r="58" spans="1:26" s="25" customFormat="1" outlineLevel="1" collapsed="1" x14ac:dyDescent="0.25">
      <c r="A58" s="26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SUM(OSRRefD22_7x_0)</f>
        <v>0</v>
      </c>
      <c r="E58" s="1"/>
      <c r="F58" s="5">
        <f t="shared" si="24"/>
        <v>0</v>
      </c>
      <c r="G58" s="1"/>
      <c r="H58" s="1">
        <f>SUM(OSRRefH22_7x_0)</f>
        <v>22.65</v>
      </c>
      <c r="I58" s="1"/>
      <c r="J58" s="5">
        <f t="shared" si="25"/>
        <v>5.1336144997751634E-4</v>
      </c>
      <c r="K58" s="1"/>
      <c r="L58" s="1">
        <f t="shared" si="26"/>
        <v>-22.65</v>
      </c>
      <c r="M58" s="1"/>
      <c r="N58" s="5">
        <f t="shared" si="27"/>
        <v>-1</v>
      </c>
      <c r="O58" s="13"/>
      <c r="P58" s="1">
        <f>SUM(OSRRefP22_7x_0)</f>
        <v>75</v>
      </c>
      <c r="Q58" s="1"/>
      <c r="R58" s="5">
        <f t="shared" si="28"/>
        <v>1.595059585790248E-4</v>
      </c>
      <c r="S58" s="1"/>
      <c r="T58" s="1">
        <f>SUM(OSRRefT22_7x_0)</f>
        <v>207.86</v>
      </c>
      <c r="U58" s="1"/>
      <c r="V58" s="5">
        <f t="shared" si="29"/>
        <v>3.7548694212816998E-4</v>
      </c>
      <c r="W58" s="1"/>
      <c r="X58" s="1">
        <f t="shared" si="30"/>
        <v>-132.86000000000001</v>
      </c>
      <c r="Y58" s="1"/>
      <c r="Z58" s="5">
        <f t="shared" si="31"/>
        <v>-0.63918021745405562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24"/>
        <v>0</v>
      </c>
      <c r="G59" s="2"/>
      <c r="H59" s="6">
        <v>22.65</v>
      </c>
      <c r="I59" s="2"/>
      <c r="J59" s="7">
        <f t="shared" si="25"/>
        <v>5.1336144997751634E-4</v>
      </c>
      <c r="K59" s="2"/>
      <c r="L59" s="6">
        <f t="shared" si="26"/>
        <v>-22.65</v>
      </c>
      <c r="M59" s="2"/>
      <c r="N59" s="7">
        <f t="shared" si="27"/>
        <v>-1</v>
      </c>
      <c r="O59" s="11"/>
      <c r="P59" s="6">
        <v>75</v>
      </c>
      <c r="Q59" s="2"/>
      <c r="R59" s="7">
        <f t="shared" si="28"/>
        <v>1.595059585790248E-4</v>
      </c>
      <c r="S59" s="2"/>
      <c r="T59" s="6">
        <v>207.86</v>
      </c>
      <c r="U59" s="2"/>
      <c r="V59" s="7">
        <f t="shared" si="29"/>
        <v>3.7548694212816998E-4</v>
      </c>
      <c r="W59" s="2"/>
      <c r="X59" s="6">
        <f t="shared" si="30"/>
        <v>-132.86000000000001</v>
      </c>
      <c r="Y59" s="2"/>
      <c r="Z59" s="7">
        <f t="shared" si="31"/>
        <v>-0.63918021745405562</v>
      </c>
    </row>
    <row r="60" spans="1:26" s="25" customFormat="1" outlineLevel="1" collapsed="1" x14ac:dyDescent="0.25">
      <c r="A60" s="26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SUM(OSRRefD22_8x_0)</f>
        <v>5143.9799999999996</v>
      </c>
      <c r="E60" s="1"/>
      <c r="F60" s="5">
        <f t="shared" si="24"/>
        <v>4.8546432616081541</v>
      </c>
      <c r="G60" s="1"/>
      <c r="H60" s="1">
        <f>SUM(OSRRefH22_8x_0)</f>
        <v>5298.96</v>
      </c>
      <c r="I60" s="1"/>
      <c r="J60" s="5">
        <f t="shared" si="25"/>
        <v>0.12010074123500486</v>
      </c>
      <c r="K60" s="1"/>
      <c r="L60" s="1">
        <f t="shared" si="26"/>
        <v>-154.98000000000047</v>
      </c>
      <c r="M60" s="1"/>
      <c r="N60" s="5">
        <f t="shared" si="27"/>
        <v>-2.9247248516690156E-2</v>
      </c>
      <c r="O60" s="13"/>
      <c r="P60" s="1">
        <f>SUM(OSRRefP22_8x_0)</f>
        <v>65914.31</v>
      </c>
      <c r="Q60" s="1"/>
      <c r="R60" s="5">
        <f t="shared" si="28"/>
        <v>0.140183002675</v>
      </c>
      <c r="S60" s="1"/>
      <c r="T60" s="1">
        <f>SUM(OSRRefT22_8x_0)</f>
        <v>65214.79</v>
      </c>
      <c r="U60" s="1"/>
      <c r="V60" s="5">
        <f t="shared" si="29"/>
        <v>0.11780670681531202</v>
      </c>
      <c r="W60" s="1"/>
      <c r="X60" s="1">
        <f t="shared" si="30"/>
        <v>699.5199999999968</v>
      </c>
      <c r="Y60" s="1"/>
      <c r="Z60" s="5">
        <f t="shared" si="31"/>
        <v>1.0726401173721433E-2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4665.28</v>
      </c>
      <c r="E61" s="2"/>
      <c r="F61" s="7">
        <f t="shared" si="24"/>
        <v>4.4028690071725185</v>
      </c>
      <c r="G61" s="2"/>
      <c r="H61" s="6">
        <v>5298.96</v>
      </c>
      <c r="I61" s="2"/>
      <c r="J61" s="7">
        <f t="shared" si="25"/>
        <v>0.12010074123500486</v>
      </c>
      <c r="K61" s="2"/>
      <c r="L61" s="6">
        <f t="shared" si="26"/>
        <v>-633.68000000000029</v>
      </c>
      <c r="M61" s="2"/>
      <c r="N61" s="7">
        <f t="shared" si="27"/>
        <v>-0.11958573003004369</v>
      </c>
      <c r="O61" s="11"/>
      <c r="P61" s="6">
        <v>64512.55</v>
      </c>
      <c r="Q61" s="2"/>
      <c r="R61" s="7">
        <f t="shared" si="28"/>
        <v>0.13720181504169687</v>
      </c>
      <c r="S61" s="2"/>
      <c r="T61" s="6">
        <v>65066.25</v>
      </c>
      <c r="U61" s="2"/>
      <c r="V61" s="7">
        <f t="shared" si="29"/>
        <v>0.11753837798637082</v>
      </c>
      <c r="W61" s="2"/>
      <c r="X61" s="6">
        <f t="shared" si="30"/>
        <v>-553.69999999999709</v>
      </c>
      <c r="Y61" s="2"/>
      <c r="Z61" s="7">
        <f t="shared" si="31"/>
        <v>-8.5097881005897387E-3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478.7</v>
      </c>
      <c r="E62" s="2"/>
      <c r="F62" s="7">
        <f t="shared" si="24"/>
        <v>0.45177425443563612</v>
      </c>
      <c r="G62" s="2"/>
      <c r="H62" s="6"/>
      <c r="I62" s="2"/>
      <c r="J62" s="7">
        <f t="shared" si="25"/>
        <v>0</v>
      </c>
      <c r="K62" s="2"/>
      <c r="L62" s="6">
        <f t="shared" si="26"/>
        <v>478.7</v>
      </c>
      <c r="M62" s="2"/>
      <c r="N62" s="7">
        <f t="shared" si="27"/>
        <v>0</v>
      </c>
      <c r="O62" s="11"/>
      <c r="P62" s="6">
        <v>1401.76</v>
      </c>
      <c r="Q62" s="2"/>
      <c r="R62" s="7">
        <f t="shared" si="28"/>
        <v>2.9811876333031171E-3</v>
      </c>
      <c r="S62" s="2"/>
      <c r="T62" s="6">
        <v>148.54</v>
      </c>
      <c r="U62" s="2"/>
      <c r="V62" s="7">
        <f t="shared" si="29"/>
        <v>2.6832882894120254E-4</v>
      </c>
      <c r="W62" s="2"/>
      <c r="X62" s="6">
        <f t="shared" si="30"/>
        <v>1253.22</v>
      </c>
      <c r="Y62" s="2"/>
      <c r="Z62" s="7">
        <f t="shared" si="31"/>
        <v>8.4369193483236842</v>
      </c>
    </row>
    <row r="63" spans="1:26" s="25" customFormat="1" outlineLevel="1" collapsed="1" x14ac:dyDescent="0.25">
      <c r="A63" s="26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SUM(OSRRefD22_9x_0)</f>
        <v>5781.94</v>
      </c>
      <c r="E63" s="1"/>
      <c r="F63" s="5">
        <f t="shared" ref="F63:F70" si="32">IF(D$12=0,0,D63/D$12)</f>
        <v>5.4567195167987919</v>
      </c>
      <c r="G63" s="1"/>
      <c r="H63" s="1">
        <f>SUM(OSRRefH22_9x_0)</f>
        <v>23557.96</v>
      </c>
      <c r="I63" s="1"/>
      <c r="J63" s="5">
        <f t="shared" ref="J63:J70" si="33">IF(H$12=0,0,H63/H$12)</f>
        <v>0.53394033130738772</v>
      </c>
      <c r="K63" s="1"/>
      <c r="L63" s="1">
        <f t="shared" ref="L63:L70" si="34">+D63-H63</f>
        <v>-17776.02</v>
      </c>
      <c r="M63" s="1"/>
      <c r="N63" s="5">
        <f t="shared" ref="N63:N70" si="35">IF(H63=0,0,L63/H63)</f>
        <v>-0.75456533587797925</v>
      </c>
      <c r="O63" s="13"/>
      <c r="P63" s="1">
        <f>SUM(OSRRefP22_9x_0)</f>
        <v>82607.740000000005</v>
      </c>
      <c r="Q63" s="1"/>
      <c r="R63" s="5">
        <f t="shared" ref="R63:R70" si="36">IF(P$12=0,0,P63/P$12)</f>
        <v>0.17568569006329135</v>
      </c>
      <c r="S63" s="1"/>
      <c r="T63" s="1">
        <f>SUM(OSRRefT22_9x_0)</f>
        <v>102838.90999999999</v>
      </c>
      <c r="U63" s="1"/>
      <c r="V63" s="5">
        <f t="shared" ref="V63:V70" si="37">IF(T$12=0,0,T63/T$12)</f>
        <v>0.18577248074518463</v>
      </c>
      <c r="W63" s="1"/>
      <c r="X63" s="1">
        <f t="shared" ref="X63:X70" si="38">+P63-T63</f>
        <v>-20231.169999999984</v>
      </c>
      <c r="Y63" s="1"/>
      <c r="Z63" s="5">
        <f t="shared" ref="Z63:Z70" si="39">IF(T63=0,0,X63/T63)</f>
        <v>-0.19672680311372404</v>
      </c>
    </row>
    <row r="64" spans="1:26" s="24" customFormat="1" hidden="1" outlineLevel="2" x14ac:dyDescent="0.25">
      <c r="A64" s="27"/>
      <c r="B64" s="11" t="str">
        <f>CONCATENATE("          ", "6259", " - ", "ROYALTY &amp; COMMISSIONS")</f>
        <v xml:space="preserve">          6259 - ROYALTY &amp; COMMISSIONS</v>
      </c>
      <c r="C64" s="11"/>
      <c r="D64" s="6">
        <v>5781.94</v>
      </c>
      <c r="E64" s="2"/>
      <c r="F64" s="7">
        <f t="shared" si="32"/>
        <v>5.4567195167987919</v>
      </c>
      <c r="G64" s="2"/>
      <c r="H64" s="6">
        <v>23557.96</v>
      </c>
      <c r="I64" s="2"/>
      <c r="J64" s="7">
        <f t="shared" si="33"/>
        <v>0.53394033130738772</v>
      </c>
      <c r="K64" s="2"/>
      <c r="L64" s="6">
        <f t="shared" si="34"/>
        <v>-17776.02</v>
      </c>
      <c r="M64" s="2"/>
      <c r="N64" s="7">
        <f t="shared" si="35"/>
        <v>-0.75456533587797925</v>
      </c>
      <c r="O64" s="11"/>
      <c r="P64" s="6">
        <v>82607.740000000005</v>
      </c>
      <c r="Q64" s="2"/>
      <c r="R64" s="7">
        <f t="shared" si="36"/>
        <v>0.17568569006329135</v>
      </c>
      <c r="S64" s="2"/>
      <c r="T64" s="6">
        <v>102838.90999999999</v>
      </c>
      <c r="U64" s="2"/>
      <c r="V64" s="7">
        <f t="shared" si="37"/>
        <v>0.18577248074518463</v>
      </c>
      <c r="W64" s="2"/>
      <c r="X64" s="6">
        <f t="shared" si="38"/>
        <v>-20231.169999999984</v>
      </c>
      <c r="Y64" s="2"/>
      <c r="Z64" s="7">
        <f t="shared" si="39"/>
        <v>-0.19672680311372404</v>
      </c>
    </row>
    <row r="65" spans="1:26" s="25" customFormat="1" outlineLevel="1" collapsed="1" x14ac:dyDescent="0.25">
      <c r="A65" s="26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SUM(OSRRefD22_10x_0)</f>
        <v>1635.92</v>
      </c>
      <c r="E65" s="1"/>
      <c r="F65" s="5">
        <f t="shared" si="32"/>
        <v>1.5439033597583995</v>
      </c>
      <c r="G65" s="1"/>
      <c r="H65" s="1">
        <f>SUM(OSRRefH22_10x_0)</f>
        <v>4865.93</v>
      </c>
      <c r="I65" s="1"/>
      <c r="J65" s="5">
        <f t="shared" si="33"/>
        <v>0.11028613158009255</v>
      </c>
      <c r="K65" s="1"/>
      <c r="L65" s="1">
        <f t="shared" si="34"/>
        <v>-3230.01</v>
      </c>
      <c r="M65" s="1"/>
      <c r="N65" s="5">
        <f t="shared" si="35"/>
        <v>-0.66380116442283388</v>
      </c>
      <c r="O65" s="13"/>
      <c r="P65" s="1">
        <f>SUM(OSRRefP22_10x_0)</f>
        <v>40663.39</v>
      </c>
      <c r="Q65" s="1"/>
      <c r="R65" s="5">
        <f t="shared" si="36"/>
        <v>8.6480706680303082E-2</v>
      </c>
      <c r="S65" s="1"/>
      <c r="T65" s="1">
        <f>SUM(OSRRefT22_10x_0)</f>
        <v>45057.41</v>
      </c>
      <c r="U65" s="1"/>
      <c r="V65" s="5">
        <f t="shared" si="37"/>
        <v>8.1393577894329008E-2</v>
      </c>
      <c r="W65" s="1"/>
      <c r="X65" s="1">
        <f t="shared" si="38"/>
        <v>-4394.0200000000041</v>
      </c>
      <c r="Y65" s="1"/>
      <c r="Z65" s="5">
        <f t="shared" si="39"/>
        <v>-9.7520474434726806E-2</v>
      </c>
    </row>
    <row r="66" spans="1:26" s="24" customFormat="1" hidden="1" outlineLevel="2" x14ac:dyDescent="0.25">
      <c r="A66" s="27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0</v>
      </c>
      <c r="M66" s="2"/>
      <c r="N66" s="7">
        <f t="shared" si="35"/>
        <v>0</v>
      </c>
      <c r="O66" s="11"/>
      <c r="P66" s="6">
        <v>1017.27</v>
      </c>
      <c r="Q66" s="2"/>
      <c r="R66" s="7">
        <f t="shared" si="36"/>
        <v>2.1634750197824606E-3</v>
      </c>
      <c r="S66" s="2"/>
      <c r="T66" s="6">
        <v>856.68</v>
      </c>
      <c r="U66" s="2"/>
      <c r="V66" s="7">
        <f t="shared" si="37"/>
        <v>1.5475423534223065E-3</v>
      </c>
      <c r="W66" s="2"/>
      <c r="X66" s="6">
        <f t="shared" si="38"/>
        <v>160.59000000000003</v>
      </c>
      <c r="Y66" s="2"/>
      <c r="Z66" s="7">
        <f t="shared" si="39"/>
        <v>0.18745622636223566</v>
      </c>
    </row>
    <row r="67" spans="1:26" s="24" customFormat="1" hidden="1" outlineLevel="2" x14ac:dyDescent="0.25">
      <c r="A67" s="27"/>
      <c r="B67" s="11" t="str">
        <f>CONCATENATE("          ", "6241", " - ", "OFFICE EXPENSE")</f>
        <v xml:space="preserve">          6241 - OFFICE EXPENSE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1578.06</v>
      </c>
      <c r="Q67" s="2"/>
      <c r="R67" s="7">
        <f t="shared" si="36"/>
        <v>3.3561329732695448E-3</v>
      </c>
      <c r="S67" s="2"/>
      <c r="T67" s="6">
        <v>36.909999999999997</v>
      </c>
      <c r="U67" s="2"/>
      <c r="V67" s="7">
        <f t="shared" si="37"/>
        <v>6.6675757884878046E-5</v>
      </c>
      <c r="W67" s="2"/>
      <c r="X67" s="6">
        <f t="shared" si="38"/>
        <v>1541.1499999999999</v>
      </c>
      <c r="Y67" s="2"/>
      <c r="Z67" s="7">
        <f t="shared" si="39"/>
        <v>41.754267136277434</v>
      </c>
    </row>
    <row r="68" spans="1:26" s="24" customFormat="1" hidden="1" outlineLevel="2" x14ac:dyDescent="0.25">
      <c r="A68" s="27"/>
      <c r="B68" s="11" t="str">
        <f>CONCATENATE("          ", "6243", " - ", "PAPER SUPPLIES")</f>
        <v xml:space="preserve">          6243 - PAPER SUPPLIES</v>
      </c>
      <c r="C68" s="11"/>
      <c r="D68" s="6">
        <v>791.44</v>
      </c>
      <c r="E68" s="2"/>
      <c r="F68" s="7">
        <f t="shared" si="32"/>
        <v>0.74692336730841835</v>
      </c>
      <c r="G68" s="2"/>
      <c r="H68" s="6">
        <v>4596</v>
      </c>
      <c r="I68" s="2"/>
      <c r="J68" s="7">
        <f t="shared" si="33"/>
        <v>0.10416817766431193</v>
      </c>
      <c r="K68" s="2"/>
      <c r="L68" s="6">
        <f t="shared" si="34"/>
        <v>-3804.56</v>
      </c>
      <c r="M68" s="2"/>
      <c r="N68" s="7">
        <f t="shared" si="35"/>
        <v>-0.82779808529155785</v>
      </c>
      <c r="O68" s="11"/>
      <c r="P68" s="6">
        <v>17888.36</v>
      </c>
      <c r="Q68" s="2"/>
      <c r="R68" s="7">
        <f t="shared" si="36"/>
        <v>3.8044000122755786E-2</v>
      </c>
      <c r="S68" s="2"/>
      <c r="T68" s="6">
        <v>31085.74</v>
      </c>
      <c r="U68" s="2"/>
      <c r="V68" s="7">
        <f t="shared" si="37"/>
        <v>5.6154572579579232E-2</v>
      </c>
      <c r="W68" s="2"/>
      <c r="X68" s="6">
        <f t="shared" si="38"/>
        <v>-13197.380000000001</v>
      </c>
      <c r="Y68" s="2"/>
      <c r="Z68" s="7">
        <f t="shared" si="39"/>
        <v>-0.42454771866457097</v>
      </c>
    </row>
    <row r="69" spans="1:26" s="24" customFormat="1" hidden="1" outlineLevel="2" x14ac:dyDescent="0.25">
      <c r="A69" s="27"/>
      <c r="B69" s="11" t="str">
        <f>CONCATENATE("          ", "6245", " - ", "PRINTING")</f>
        <v xml:space="preserve">          6245 - PRINTING</v>
      </c>
      <c r="C69" s="11"/>
      <c r="D69" s="6">
        <v>264.60000000000002</v>
      </c>
      <c r="E69" s="2"/>
      <c r="F69" s="7">
        <f t="shared" si="32"/>
        <v>0.24971687429218578</v>
      </c>
      <c r="G69" s="2"/>
      <c r="H69" s="6">
        <v>22</v>
      </c>
      <c r="I69" s="2"/>
      <c r="J69" s="7">
        <f t="shared" si="33"/>
        <v>4.9862922293621896E-4</v>
      </c>
      <c r="K69" s="2"/>
      <c r="L69" s="6">
        <f t="shared" si="34"/>
        <v>242.60000000000002</v>
      </c>
      <c r="M69" s="2"/>
      <c r="N69" s="7">
        <f t="shared" si="35"/>
        <v>11.027272727272729</v>
      </c>
      <c r="O69" s="11"/>
      <c r="P69" s="6">
        <v>5828.02</v>
      </c>
      <c r="Q69" s="2"/>
      <c r="R69" s="7">
        <f t="shared" si="36"/>
        <v>1.2394718889569709E-2</v>
      </c>
      <c r="S69" s="2"/>
      <c r="T69" s="6">
        <v>8626.7999999999993</v>
      </c>
      <c r="U69" s="2"/>
      <c r="V69" s="7">
        <f t="shared" si="37"/>
        <v>1.5583810027669086E-2</v>
      </c>
      <c r="W69" s="2"/>
      <c r="X69" s="6">
        <f t="shared" si="38"/>
        <v>-2798.7799999999988</v>
      </c>
      <c r="Y69" s="2"/>
      <c r="Z69" s="7">
        <f t="shared" si="39"/>
        <v>-0.32442852506143632</v>
      </c>
    </row>
    <row r="70" spans="1:26" s="24" customFormat="1" hidden="1" outlineLevel="2" x14ac:dyDescent="0.25">
      <c r="A70" s="27"/>
      <c r="B70" s="11" t="str">
        <f>CONCATENATE("          ", "6247", " - ", "STORE SUPPLIES")</f>
        <v xml:space="preserve">          6247 - STORE SUPPLIES</v>
      </c>
      <c r="C70" s="11"/>
      <c r="D70" s="6">
        <v>579.88</v>
      </c>
      <c r="E70" s="2"/>
      <c r="F70" s="7">
        <f t="shared" si="32"/>
        <v>0.54726311815779549</v>
      </c>
      <c r="G70" s="2"/>
      <c r="H70" s="6">
        <v>247.93</v>
      </c>
      <c r="I70" s="2"/>
      <c r="J70" s="7">
        <f t="shared" si="33"/>
        <v>5.6193246928443992E-3</v>
      </c>
      <c r="K70" s="2"/>
      <c r="L70" s="6">
        <f t="shared" si="34"/>
        <v>331.95</v>
      </c>
      <c r="M70" s="2"/>
      <c r="N70" s="7">
        <f t="shared" si="35"/>
        <v>1.3388859758802887</v>
      </c>
      <c r="O70" s="11"/>
      <c r="P70" s="6">
        <v>14351.68</v>
      </c>
      <c r="Q70" s="2"/>
      <c r="R70" s="7">
        <f t="shared" si="36"/>
        <v>3.0522379674925583E-2</v>
      </c>
      <c r="S70" s="2"/>
      <c r="T70" s="6">
        <v>4451.28</v>
      </c>
      <c r="U70" s="2"/>
      <c r="V70" s="7">
        <f t="shared" si="37"/>
        <v>8.0409771757735029E-3</v>
      </c>
      <c r="W70" s="2"/>
      <c r="X70" s="6">
        <f t="shared" si="38"/>
        <v>9900.4000000000015</v>
      </c>
      <c r="Y70" s="2"/>
      <c r="Z70" s="7">
        <f t="shared" si="39"/>
        <v>2.2241692277277552</v>
      </c>
    </row>
    <row r="71" spans="1:26" s="25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SUM(OSRRefD22_11x_0)</f>
        <v>169.1</v>
      </c>
      <c r="E71" s="1"/>
      <c r="F71" s="5">
        <f t="shared" ref="F71:F74" si="40">IF(D$12=0,0,D71/D$12)</f>
        <v>0.15958852397130993</v>
      </c>
      <c r="G71" s="1"/>
      <c r="H71" s="1">
        <f>SUM(OSRRefH22_11x_0)</f>
        <v>376.45</v>
      </c>
      <c r="I71" s="1"/>
      <c r="J71" s="5">
        <f t="shared" ref="J71:J74" si="41">IF(H$12=0,0,H71/H$12)</f>
        <v>8.5322259533790745E-3</v>
      </c>
      <c r="K71" s="1"/>
      <c r="L71" s="1">
        <f t="shared" ref="L71:L74" si="42">+D71-H71</f>
        <v>-207.35</v>
      </c>
      <c r="M71" s="1"/>
      <c r="N71" s="5">
        <f t="shared" ref="N71:N74" si="43">IF(H71=0,0,L71/H71)</f>
        <v>-0.55080355956966398</v>
      </c>
      <c r="O71" s="13"/>
      <c r="P71" s="1">
        <f>SUM(OSRRefP22_11x_0)</f>
        <v>1448.1</v>
      </c>
      <c r="Q71" s="1"/>
      <c r="R71" s="5">
        <f t="shared" ref="R71:R74" si="44">IF(P$12=0,0,P71/P$12)</f>
        <v>3.0797410482438104E-3</v>
      </c>
      <c r="S71" s="1"/>
      <c r="T71" s="1">
        <f>SUM(OSRRefT22_11x_0)</f>
        <v>1663.68</v>
      </c>
      <c r="U71" s="1"/>
      <c r="V71" s="5">
        <f t="shared" ref="V71:V74" si="45">IF(T$12=0,0,T71/T$12)</f>
        <v>3.0053406902713067E-3</v>
      </c>
      <c r="W71" s="1"/>
      <c r="X71" s="1">
        <f t="shared" ref="X71:X74" si="46">+P71-T71</f>
        <v>-215.58000000000015</v>
      </c>
      <c r="Y71" s="1"/>
      <c r="Z71" s="5">
        <f t="shared" ref="Z71:Z74" si="47">IF(T71=0,0,X71/T71)</f>
        <v>-0.12958020773225629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6">
        <v>169.1</v>
      </c>
      <c r="E72" s="2"/>
      <c r="F72" s="7">
        <f t="shared" si="40"/>
        <v>0.15958852397130993</v>
      </c>
      <c r="G72" s="2"/>
      <c r="H72" s="6">
        <v>376.45</v>
      </c>
      <c r="I72" s="2"/>
      <c r="J72" s="7">
        <f t="shared" si="41"/>
        <v>8.5322259533790745E-3</v>
      </c>
      <c r="K72" s="2"/>
      <c r="L72" s="6">
        <f t="shared" si="42"/>
        <v>-207.35</v>
      </c>
      <c r="M72" s="2"/>
      <c r="N72" s="7">
        <f t="shared" si="43"/>
        <v>-0.55080355956966398</v>
      </c>
      <c r="O72" s="11"/>
      <c r="P72" s="6">
        <v>1448.1</v>
      </c>
      <c r="Q72" s="2"/>
      <c r="R72" s="7">
        <f t="shared" si="44"/>
        <v>3.0797410482438104E-3</v>
      </c>
      <c r="S72" s="2"/>
      <c r="T72" s="6">
        <v>1663.68</v>
      </c>
      <c r="U72" s="2"/>
      <c r="V72" s="7">
        <f t="shared" si="45"/>
        <v>3.0053406902713067E-3</v>
      </c>
      <c r="W72" s="2"/>
      <c r="X72" s="6">
        <f t="shared" si="46"/>
        <v>-215.58000000000015</v>
      </c>
      <c r="Y72" s="2"/>
      <c r="Z72" s="7">
        <f t="shared" si="47"/>
        <v>-0.12958020773225629</v>
      </c>
    </row>
    <row r="73" spans="1:26" s="25" customFormat="1" outlineLevel="1" collapsed="1" x14ac:dyDescent="0.25">
      <c r="A73" s="26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SUM(OSRRefD22_12x_0)</f>
        <v>0</v>
      </c>
      <c r="E73" s="1"/>
      <c r="F73" s="5">
        <f t="shared" si="40"/>
        <v>0</v>
      </c>
      <c r="G73" s="1"/>
      <c r="H73" s="1">
        <f>SUM(OSRRefH22_12x_0)</f>
        <v>0</v>
      </c>
      <c r="I73" s="1"/>
      <c r="J73" s="5">
        <f t="shared" si="41"/>
        <v>0</v>
      </c>
      <c r="K73" s="1"/>
      <c r="L73" s="1">
        <f t="shared" si="42"/>
        <v>0</v>
      </c>
      <c r="M73" s="1"/>
      <c r="N73" s="5">
        <f t="shared" si="43"/>
        <v>0</v>
      </c>
      <c r="O73" s="13"/>
      <c r="P73" s="1">
        <f>SUM(OSRRefP22_12x_0)</f>
        <v>97.71</v>
      </c>
      <c r="Q73" s="1"/>
      <c r="R73" s="5">
        <f t="shared" si="44"/>
        <v>2.078043628367535E-4</v>
      </c>
      <c r="S73" s="1"/>
      <c r="T73" s="1">
        <f>SUM(OSRRefT22_12x_0)</f>
        <v>0</v>
      </c>
      <c r="U73" s="1"/>
      <c r="V73" s="5">
        <f t="shared" si="45"/>
        <v>0</v>
      </c>
      <c r="W73" s="1"/>
      <c r="X73" s="1">
        <f t="shared" si="46"/>
        <v>97.71</v>
      </c>
      <c r="Y73" s="1"/>
      <c r="Z73" s="5">
        <f t="shared" si="47"/>
        <v>0</v>
      </c>
    </row>
    <row r="74" spans="1:26" s="24" customFormat="1" hidden="1" outlineLevel="2" x14ac:dyDescent="0.25">
      <c r="A74" s="27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40"/>
        <v>0</v>
      </c>
      <c r="G74" s="2"/>
      <c r="H74" s="6"/>
      <c r="I74" s="2"/>
      <c r="J74" s="7">
        <f t="shared" si="41"/>
        <v>0</v>
      </c>
      <c r="K74" s="2"/>
      <c r="L74" s="6">
        <f t="shared" si="42"/>
        <v>0</v>
      </c>
      <c r="M74" s="2"/>
      <c r="N74" s="7">
        <f t="shared" si="43"/>
        <v>0</v>
      </c>
      <c r="O74" s="11"/>
      <c r="P74" s="6">
        <v>97.71</v>
      </c>
      <c r="Q74" s="2"/>
      <c r="R74" s="7">
        <f t="shared" si="44"/>
        <v>2.078043628367535E-4</v>
      </c>
      <c r="S74" s="2"/>
      <c r="T74" s="6"/>
      <c r="U74" s="2"/>
      <c r="V74" s="7">
        <f t="shared" si="45"/>
        <v>0</v>
      </c>
      <c r="W74" s="2"/>
      <c r="X74" s="6">
        <f t="shared" si="46"/>
        <v>97.71</v>
      </c>
      <c r="Y74" s="2"/>
      <c r="Z74" s="7">
        <f t="shared" si="47"/>
        <v>0</v>
      </c>
    </row>
    <row r="75" spans="1:26" s="53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9" t="s">
        <v>0</v>
      </c>
      <c r="C76" s="10"/>
      <c r="D76" s="4">
        <f>SUM(OSRRefD25x_0)</f>
        <v>13269</v>
      </c>
      <c r="E76" s="4"/>
      <c r="F76" s="12">
        <f t="shared" ref="F76:F77" si="48">IF(D$12=0,0,D76/D$12)</f>
        <v>12.522650056625142</v>
      </c>
      <c r="G76" s="4"/>
      <c r="H76" s="4">
        <f>SUM(OSRRefH25x_0)</f>
        <v>12793.74</v>
      </c>
      <c r="I76" s="4"/>
      <c r="J76" s="12">
        <f t="shared" ref="J76:J77" si="49">IF(H$12=0,0,H76/H$12)</f>
        <v>0.28996966521127371</v>
      </c>
      <c r="K76" s="4"/>
      <c r="L76" s="4">
        <f t="shared" ref="L76:L77" si="50">+D76-H76</f>
        <v>475.26000000000022</v>
      </c>
      <c r="M76" s="4"/>
      <c r="N76" s="12">
        <f t="shared" ref="N76:N77" si="51">IF(H76=0,0,L76/H76)</f>
        <v>3.7147855122896062E-2</v>
      </c>
      <c r="O76" s="10"/>
      <c r="P76" s="4">
        <f>SUM(OSRRefP25x_0)</f>
        <v>131363.1</v>
      </c>
      <c r="Q76" s="4"/>
      <c r="R76" s="12">
        <f t="shared" ref="R76:R77" si="52">IF(P$12=0,0,P76/P$12)</f>
        <v>0.27937596249883057</v>
      </c>
      <c r="S76" s="4"/>
      <c r="T76" s="4">
        <f>SUM(OSRRefT25x_0)</f>
        <v>127224.62</v>
      </c>
      <c r="U76" s="4"/>
      <c r="V76" s="12">
        <f t="shared" ref="V76:V77" si="53">IF(T$12=0,0,T76/T$12)</f>
        <v>0.2298238406967113</v>
      </c>
      <c r="W76" s="4"/>
      <c r="X76" s="4">
        <f t="shared" ref="X76:X77" si="54">+P76-T76</f>
        <v>4138.4800000000105</v>
      </c>
      <c r="Y76" s="4"/>
      <c r="Z76" s="12">
        <f t="shared" ref="Z76:Z77" si="55">IF(T76=0,0,X76/T76)</f>
        <v>3.2528924040016866E-2</v>
      </c>
    </row>
    <row r="77" spans="1:26" s="24" customFormat="1" hidden="1" outlineLevel="1" x14ac:dyDescent="0.25">
      <c r="A77" s="44"/>
      <c r="B77" s="11" t="str">
        <f>CONCATENATE("          ", "9150", " - ", "MISC. INCOME")</f>
        <v xml:space="preserve">          9150 - MISC. INCOME</v>
      </c>
      <c r="C77" s="11"/>
      <c r="D77" s="2">
        <f>--13269</f>
        <v>13269</v>
      </c>
      <c r="E77" s="2"/>
      <c r="F77" s="19">
        <f t="shared" si="48"/>
        <v>12.522650056625142</v>
      </c>
      <c r="G77" s="2"/>
      <c r="H77" s="2">
        <f>--12793.74</f>
        <v>12793.74</v>
      </c>
      <c r="I77" s="2"/>
      <c r="J77" s="19">
        <f t="shared" si="49"/>
        <v>0.28996966521127371</v>
      </c>
      <c r="K77" s="2"/>
      <c r="L77" s="2">
        <f t="shared" si="50"/>
        <v>475.26000000000022</v>
      </c>
      <c r="M77" s="2"/>
      <c r="N77" s="19">
        <f t="shared" si="51"/>
        <v>3.7147855122896062E-2</v>
      </c>
      <c r="O77" s="11"/>
      <c r="P77" s="2">
        <f>--131363.1</f>
        <v>131363.1</v>
      </c>
      <c r="Q77" s="2"/>
      <c r="R77" s="19">
        <f t="shared" si="52"/>
        <v>0.27937596249883057</v>
      </c>
      <c r="S77" s="2"/>
      <c r="T77" s="2">
        <f>--127224.62</f>
        <v>127224.62</v>
      </c>
      <c r="U77" s="2"/>
      <c r="V77" s="19">
        <f t="shared" si="53"/>
        <v>0.2298238406967113</v>
      </c>
      <c r="W77" s="2"/>
      <c r="X77" s="2">
        <f t="shared" si="54"/>
        <v>4138.4800000000105</v>
      </c>
      <c r="Y77" s="2"/>
      <c r="Z77" s="19">
        <f t="shared" si="55"/>
        <v>3.2528924040016866E-2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3</v>
      </c>
      <c r="C79" s="28"/>
      <c r="D79" s="21">
        <f>+D31-D33+D76</f>
        <v>-18267.22</v>
      </c>
      <c r="E79" s="14"/>
      <c r="F79" s="20">
        <f>IF(D$12=0,0,D79/D$12)</f>
        <v>-17.239731974329938</v>
      </c>
      <c r="G79" s="14"/>
      <c r="H79" s="21">
        <f>+H31-H33+H76</f>
        <v>422.1299999999992</v>
      </c>
      <c r="I79" s="14"/>
      <c r="J79" s="20">
        <f>IF(H$12=0,0,H79/H$12)</f>
        <v>9.5675615399120791E-3</v>
      </c>
      <c r="K79" s="15"/>
      <c r="L79" s="21">
        <f>+D79-H79</f>
        <v>-18689.349999999999</v>
      </c>
      <c r="M79" s="15"/>
      <c r="N79" s="20">
        <f>IF(H79=0,0,L79/H79)</f>
        <v>-44.273920356288428</v>
      </c>
      <c r="O79" s="29"/>
      <c r="P79" s="21">
        <f>+P31-P33+P76</f>
        <v>147424.77000000005</v>
      </c>
      <c r="Q79" s="14"/>
      <c r="R79" s="20">
        <f>IF(P$12=0,0,P79/P$12)</f>
        <v>0.31353505676189686</v>
      </c>
      <c r="S79" s="14"/>
      <c r="T79" s="21">
        <f>+T31-T33+T76</f>
        <v>204039.54000000004</v>
      </c>
      <c r="U79" s="14"/>
      <c r="V79" s="20">
        <f>IF(T$12=0,0,T79/T$12)</f>
        <v>0.36858550441565685</v>
      </c>
      <c r="W79" s="15"/>
      <c r="X79" s="21">
        <f>+P79-T79</f>
        <v>-56614.76999999999</v>
      </c>
      <c r="Y79" s="15"/>
      <c r="Z79" s="20">
        <f>IF(T79=0,0,X79/T79)</f>
        <v>-0.27746960221533523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13</v>
      </c>
      <c r="C81" s="10"/>
      <c r="D81" s="4">
        <v>3118.33</v>
      </c>
      <c r="E81" s="4"/>
      <c r="F81" s="12">
        <f>IF(D$12=0,0,D81/D$12)</f>
        <v>2.9429312948282371</v>
      </c>
      <c r="G81" s="4"/>
      <c r="H81" s="4">
        <v>5089.13</v>
      </c>
      <c r="I81" s="4"/>
      <c r="J81" s="12">
        <f>IF(H$12=0,0,H81/H$12)</f>
        <v>0.11534495169642728</v>
      </c>
      <c r="K81" s="4"/>
      <c r="L81" s="4">
        <f>+D81-H81</f>
        <v>-1970.8000000000002</v>
      </c>
      <c r="M81" s="4"/>
      <c r="N81" s="12">
        <f>IF(H81=0,0,L81/H81)</f>
        <v>-0.38725676097879208</v>
      </c>
      <c r="O81" s="10"/>
      <c r="P81" s="4">
        <v>53388.060000000005</v>
      </c>
      <c r="Q81" s="4"/>
      <c r="R81" s="12">
        <f>IF(P$12=0,0,P81/P$12)</f>
        <v>0.11354284915965988</v>
      </c>
      <c r="S81" s="4"/>
      <c r="T81" s="4">
        <v>57548.800000000003</v>
      </c>
      <c r="U81" s="4"/>
      <c r="V81" s="12">
        <f>IF(T$12=0,0,T81/T$12)</f>
        <v>0.10395854390044082</v>
      </c>
      <c r="W81" s="4"/>
      <c r="X81" s="4">
        <f>+P81-T81</f>
        <v>-4160.739999999998</v>
      </c>
      <c r="Y81" s="4"/>
      <c r="Z81" s="12">
        <f>IF(T81=0,0,X81/T81)</f>
        <v>-7.2299335520462596E-2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4</v>
      </c>
      <c r="C83" s="28"/>
      <c r="D83" s="30">
        <f>+D79-D81</f>
        <v>-21385.550000000003</v>
      </c>
      <c r="E83" s="14"/>
      <c r="F83" s="36">
        <f>IF(D$12=0,0,D83/D$12)</f>
        <v>-20.182663269158176</v>
      </c>
      <c r="G83" s="14"/>
      <c r="H83" s="30">
        <f>+H79-H81</f>
        <v>-4667.0000000000009</v>
      </c>
      <c r="I83" s="14"/>
      <c r="J83" s="36">
        <f>IF(H$12=0,0,H83/H$12)</f>
        <v>-0.1057773901565152</v>
      </c>
      <c r="K83" s="15"/>
      <c r="L83" s="30">
        <f>D83-H83</f>
        <v>-16718.550000000003</v>
      </c>
      <c r="M83" s="15"/>
      <c r="N83" s="36">
        <f>IF(H83=0,0,L83/H83)</f>
        <v>3.5822905506749518</v>
      </c>
      <c r="O83" s="29"/>
      <c r="P83" s="30">
        <f>+P79-P81</f>
        <v>94036.71000000005</v>
      </c>
      <c r="Q83" s="14"/>
      <c r="R83" s="36">
        <f>IF(P$12=0,0,P83/P$12)</f>
        <v>0.19999220760223699</v>
      </c>
      <c r="S83" s="14"/>
      <c r="T83" s="30">
        <f>+T79-T81</f>
        <v>146490.74000000005</v>
      </c>
      <c r="U83" s="14"/>
      <c r="V83" s="36">
        <f>IF(T$12=0,0,T83/T$12)</f>
        <v>0.26462696051521606</v>
      </c>
      <c r="W83" s="15"/>
      <c r="X83" s="30">
        <f>P83-T83</f>
        <v>-52454.03</v>
      </c>
      <c r="Y83" s="15"/>
      <c r="Z83" s="36">
        <f>IF(T83=0,0,X83/T83)</f>
        <v>-0.35807061934426698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5</v>
      </c>
      <c r="C86" s="28"/>
      <c r="D86" s="31">
        <f>SUM(D83:D85)</f>
        <v>-21385.550000000003</v>
      </c>
      <c r="E86" s="14"/>
      <c r="F86" s="32">
        <f>IF(D$12=0,0,D86/D$12)</f>
        <v>-20.182663269158176</v>
      </c>
      <c r="G86" s="14"/>
      <c r="H86" s="31">
        <f>SUM(H83:H85)</f>
        <v>-4667.0000000000009</v>
      </c>
      <c r="I86" s="14"/>
      <c r="J86" s="32">
        <f>IF(H$12=0,0,H86/H$12)</f>
        <v>-0.1057773901565152</v>
      </c>
      <c r="K86" s="15"/>
      <c r="L86" s="31">
        <f>+D86-H86</f>
        <v>-16718.550000000003</v>
      </c>
      <c r="M86" s="15"/>
      <c r="N86" s="32">
        <f>IF(H86=0,0,L86/H86)</f>
        <v>3.5822905506749518</v>
      </c>
      <c r="O86" s="29"/>
      <c r="P86" s="31">
        <f>SUM(P83:P85)</f>
        <v>94036.71000000005</v>
      </c>
      <c r="Q86" s="14"/>
      <c r="R86" s="32">
        <f>IF(P$12=0,0,P86/P$12)</f>
        <v>0.19999220760223699</v>
      </c>
      <c r="S86" s="14"/>
      <c r="T86" s="31">
        <f>SUM(T83:T85)</f>
        <v>146490.74000000005</v>
      </c>
      <c r="U86" s="14"/>
      <c r="V86" s="32">
        <f>IF(T$12=0,0,T86/T$12)</f>
        <v>0.26462696051521606</v>
      </c>
      <c r="W86" s="15"/>
      <c r="X86" s="31">
        <f>+P86-T86</f>
        <v>-52454.03</v>
      </c>
      <c r="Y86" s="15"/>
      <c r="Z86" s="32">
        <f>IF(T86=0,0,X86/T86)</f>
        <v>-0.35807061934426698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4">
        <v>43965.471030636574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9" t="s">
        <v>313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1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","320", " - ", "Customer Service (old)")</f>
        <v>Department 320 - Customer Service (old)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3214.15</v>
      </c>
      <c r="E12" s="4"/>
      <c r="F12" s="12"/>
      <c r="G12" s="4"/>
      <c r="H12" s="4">
        <f>SUM(OSRRefH13x_0)</f>
        <v>38398.57</v>
      </c>
      <c r="I12" s="4"/>
      <c r="J12" s="12"/>
      <c r="K12" s="4"/>
      <c r="L12" s="4">
        <f t="shared" ref="L12:L18" si="0">+D12-H12</f>
        <v>-35184.42</v>
      </c>
      <c r="M12" s="4"/>
      <c r="N12" s="12">
        <f t="shared" ref="N12:N18" si="1">IF(H12=0,0,L12/H12)</f>
        <v>-0.91629505994624272</v>
      </c>
      <c r="O12" s="10"/>
      <c r="P12" s="4">
        <f>SUM(OSRRefP13x_0)</f>
        <v>21631.98</v>
      </c>
      <c r="Q12" s="4"/>
      <c r="R12" s="12"/>
      <c r="S12" s="4"/>
      <c r="T12" s="4">
        <f>SUM(OSRRefT13x_0)</f>
        <v>121941.32</v>
      </c>
      <c r="U12" s="4"/>
      <c r="V12" s="12"/>
      <c r="W12" s="4"/>
      <c r="X12" s="4">
        <f t="shared" ref="X12:X18" si="2">+P12-T12</f>
        <v>-100309.34000000001</v>
      </c>
      <c r="Y12" s="4"/>
      <c r="Z12" s="12">
        <f t="shared" ref="Z12:Z18" si="3">IF(T12=0,0,X12/T12)</f>
        <v>-0.82260336365064779</v>
      </c>
    </row>
    <row r="13" spans="1:26" s="24" customFormat="1" hidden="1" outlineLevel="1" x14ac:dyDescent="0.25">
      <c r="A13" s="44"/>
      <c r="B13" s="11" t="str">
        <f>CONCATENATE("          ", "4091", " - ", "TAXABLE SALES-GRAD ANNOUNCEMEN")</f>
        <v xml:space="preserve">          4091 - TAXABLE SALES-GRAD ANNOUNCEMEN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--471.6</f>
        <v>471.6</v>
      </c>
      <c r="U13" s="2"/>
      <c r="V13" s="19"/>
      <c r="W13" s="2"/>
      <c r="X13" s="2">
        <f t="shared" si="2"/>
        <v>-471.6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>--3214.15</f>
        <v>3214.15</v>
      </c>
      <c r="E14" s="2"/>
      <c r="F14" s="19"/>
      <c r="G14" s="2"/>
      <c r="H14" s="2">
        <f>--39254.68</f>
        <v>39254.68</v>
      </c>
      <c r="I14" s="2"/>
      <c r="J14" s="19"/>
      <c r="K14" s="2"/>
      <c r="L14" s="2">
        <f t="shared" si="0"/>
        <v>-36040.53</v>
      </c>
      <c r="M14" s="2"/>
      <c r="N14" s="19">
        <f t="shared" si="1"/>
        <v>-0.91812059097157328</v>
      </c>
      <c r="O14" s="11"/>
      <c r="P14" s="2">
        <f>--21866.37</f>
        <v>21866.37</v>
      </c>
      <c r="Q14" s="2"/>
      <c r="R14" s="19"/>
      <c r="S14" s="2"/>
      <c r="T14" s="2">
        <f>--123018.99</f>
        <v>123018.99</v>
      </c>
      <c r="U14" s="2"/>
      <c r="V14" s="19"/>
      <c r="W14" s="2"/>
      <c r="X14" s="2">
        <f t="shared" si="2"/>
        <v>-101152.62000000001</v>
      </c>
      <c r="Y14" s="2"/>
      <c r="Z14" s="19">
        <f t="shared" si="3"/>
        <v>-0.8222520766915743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 t="shared" ref="D15:D18" si="4">0</f>
        <v>0</v>
      </c>
      <c r="E15" s="2"/>
      <c r="F15" s="19"/>
      <c r="G15" s="2"/>
      <c r="H15" s="2">
        <f>--113.85</f>
        <v>113.85</v>
      </c>
      <c r="I15" s="2"/>
      <c r="J15" s="19"/>
      <c r="K15" s="2"/>
      <c r="L15" s="2">
        <f t="shared" si="0"/>
        <v>-113.85</v>
      </c>
      <c r="M15" s="2"/>
      <c r="N15" s="19">
        <f t="shared" si="1"/>
        <v>-1</v>
      </c>
      <c r="O15" s="11"/>
      <c r="P15" s="2">
        <f>--279.56</f>
        <v>279.56</v>
      </c>
      <c r="Q15" s="2"/>
      <c r="R15" s="19"/>
      <c r="S15" s="2"/>
      <c r="T15" s="2">
        <f>--2008.41</f>
        <v>2008.41</v>
      </c>
      <c r="U15" s="2"/>
      <c r="V15" s="19"/>
      <c r="W15" s="2"/>
      <c r="X15" s="2">
        <f t="shared" si="2"/>
        <v>-1728.8500000000001</v>
      </c>
      <c r="Y15" s="2"/>
      <c r="Z15" s="19">
        <f t="shared" si="3"/>
        <v>-0.86080531365607627</v>
      </c>
    </row>
    <row r="16" spans="1:26" s="24" customFormat="1" hidden="1" outlineLevel="1" x14ac:dyDescent="0.25">
      <c r="A16" s="44"/>
      <c r="B16" s="11" t="str">
        <f>CONCATENATE("          ", "4192", " - ", "NON-TAXABLE SALES-GRAD MERCH")</f>
        <v xml:space="preserve">          4192 - NON-TAXABLE SALES-GRAD MERCH</v>
      </c>
      <c r="C16" s="11"/>
      <c r="D16" s="2">
        <f t="shared" si="4"/>
        <v>0</v>
      </c>
      <c r="E16" s="2"/>
      <c r="F16" s="19"/>
      <c r="G16" s="2"/>
      <c r="H16" s="2">
        <f>--313.5</f>
        <v>313.5</v>
      </c>
      <c r="I16" s="2"/>
      <c r="J16" s="19"/>
      <c r="K16" s="2"/>
      <c r="L16" s="2">
        <f t="shared" si="0"/>
        <v>-313.5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--532</f>
        <v>532</v>
      </c>
      <c r="U16" s="2"/>
      <c r="V16" s="19"/>
      <c r="W16" s="2"/>
      <c r="X16" s="2">
        <f t="shared" si="2"/>
        <v>-532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"4292", " - ", "SALES RETURN TAXABLE-GRAD MERC")</f>
        <v xml:space="preserve">          4292 - SALES RETURN TAXABLE-GRAD MERC</v>
      </c>
      <c r="C17" s="11"/>
      <c r="D17" s="2">
        <f t="shared" si="4"/>
        <v>0</v>
      </c>
      <c r="E17" s="2"/>
      <c r="F17" s="19"/>
      <c r="G17" s="2"/>
      <c r="H17" s="2">
        <f>-1283.46</f>
        <v>-1283.46</v>
      </c>
      <c r="I17" s="2"/>
      <c r="J17" s="19"/>
      <c r="K17" s="2"/>
      <c r="L17" s="2">
        <f t="shared" si="0"/>
        <v>1283.46</v>
      </c>
      <c r="M17" s="2"/>
      <c r="N17" s="19">
        <f t="shared" si="1"/>
        <v>-1</v>
      </c>
      <c r="O17" s="11"/>
      <c r="P17" s="2">
        <f>-513.95</f>
        <v>-513.95000000000005</v>
      </c>
      <c r="Q17" s="2"/>
      <c r="R17" s="19"/>
      <c r="S17" s="2"/>
      <c r="T17" s="2">
        <f>-3962.96</f>
        <v>-3962.96</v>
      </c>
      <c r="U17" s="2"/>
      <c r="V17" s="19"/>
      <c r="W17" s="2"/>
      <c r="X17" s="2">
        <f t="shared" si="2"/>
        <v>3449.01</v>
      </c>
      <c r="Y17" s="2"/>
      <c r="Z17" s="19">
        <f t="shared" si="3"/>
        <v>-0.87031158527968999</v>
      </c>
    </row>
    <row r="18" spans="1:26" s="24" customFormat="1" hidden="1" outlineLevel="1" x14ac:dyDescent="0.25">
      <c r="A18" s="44"/>
      <c r="B18" s="11" t="str">
        <f>CONCATENATE("          ", "4295", " - ", "SALES RETURN TAXABLE-CUSTOMER")</f>
        <v xml:space="preserve">          4295 - SALES RETURN TAXABLE-CUSTOMER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-126.72</f>
        <v>-126.72</v>
      </c>
      <c r="U18" s="2"/>
      <c r="V18" s="19"/>
      <c r="W18" s="2"/>
      <c r="X18" s="2">
        <f t="shared" si="2"/>
        <v>126.72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1050.3500000000004</v>
      </c>
      <c r="E20" s="4"/>
      <c r="F20" s="12">
        <f t="shared" ref="F20:F25" si="5">IF(D$12=0,0,D20/D$12)</f>
        <v>0.32678935332825176</v>
      </c>
      <c r="G20" s="4"/>
      <c r="H20" s="4">
        <f>SUM(OSRRefH16x_0)</f>
        <v>14334.61</v>
      </c>
      <c r="I20" s="4"/>
      <c r="J20" s="12">
        <f t="shared" ref="J20:J25" si="6">IF(H$12=0,0,H20/H$12)</f>
        <v>0.37331103736415189</v>
      </c>
      <c r="K20" s="4"/>
      <c r="L20" s="4">
        <f t="shared" ref="L20:L25" si="7">+D20-H20</f>
        <v>-13284.26</v>
      </c>
      <c r="M20" s="4"/>
      <c r="N20" s="12">
        <f t="shared" ref="N20:N25" si="8">IF(H20=0,0,L20/H20)</f>
        <v>-0.92672629391382111</v>
      </c>
      <c r="O20" s="10"/>
      <c r="P20" s="4">
        <f>SUM(OSRRefP16x_0)</f>
        <v>9471.41</v>
      </c>
      <c r="Q20" s="4"/>
      <c r="R20" s="12">
        <f t="shared" ref="R20:R25" si="9">IF(P$12=0,0,P20/P$12)</f>
        <v>0.43784295288734548</v>
      </c>
      <c r="S20" s="4"/>
      <c r="T20" s="4">
        <f>SUM(OSRRefT16x_0)</f>
        <v>46237.789999999994</v>
      </c>
      <c r="U20" s="4"/>
      <c r="V20" s="12">
        <f t="shared" ref="V20:V25" si="10">IF(T$12=0,0,T20/T$12)</f>
        <v>0.37918065836912368</v>
      </c>
      <c r="W20" s="4"/>
      <c r="X20" s="4">
        <f t="shared" ref="X20:X25" si="11">+P20-T20</f>
        <v>-36766.37999999999</v>
      </c>
      <c r="Y20" s="4"/>
      <c r="Z20" s="12">
        <f t="shared" ref="Z20:Z25" si="12">IF(T20=0,0,X20/T20)</f>
        <v>-0.79515867864791967</v>
      </c>
    </row>
    <row r="21" spans="1:26" s="24" customFormat="1" hidden="1" outlineLevel="1" x14ac:dyDescent="0.25">
      <c r="A21" s="44"/>
      <c r="B21" s="11" t="str">
        <f>CONCATENATE("          ", "5092", " - ", "PURCHASES @ COST-GRAD MERCH")</f>
        <v xml:space="preserve">          5092 - PURCHASES @ COST-GRAD MERCH</v>
      </c>
      <c r="C21" s="11"/>
      <c r="D21" s="2">
        <v>5539.35</v>
      </c>
      <c r="E21" s="2"/>
      <c r="F21" s="19">
        <f t="shared" si="5"/>
        <v>1.7234261002131201</v>
      </c>
      <c r="G21" s="2"/>
      <c r="H21" s="2">
        <v>27387.5</v>
      </c>
      <c r="I21" s="2"/>
      <c r="J21" s="19">
        <f t="shared" si="6"/>
        <v>0.71324270669454615</v>
      </c>
      <c r="K21" s="2"/>
      <c r="L21" s="2">
        <f t="shared" si="7"/>
        <v>-21848.15</v>
      </c>
      <c r="M21" s="2"/>
      <c r="N21" s="19">
        <f t="shared" si="8"/>
        <v>-0.79774167047010502</v>
      </c>
      <c r="O21" s="11"/>
      <c r="P21" s="2">
        <v>8545.83</v>
      </c>
      <c r="Q21" s="2"/>
      <c r="R21" s="19">
        <f t="shared" si="9"/>
        <v>0.39505537634557725</v>
      </c>
      <c r="S21" s="2"/>
      <c r="T21" s="2">
        <v>35607.46</v>
      </c>
      <c r="U21" s="2"/>
      <c r="V21" s="19">
        <f t="shared" si="10"/>
        <v>0.29200487578779694</v>
      </c>
      <c r="W21" s="2"/>
      <c r="X21" s="2">
        <f t="shared" si="11"/>
        <v>-27061.629999999997</v>
      </c>
      <c r="Y21" s="2"/>
      <c r="Z21" s="19">
        <f t="shared" si="12"/>
        <v>-0.75999888787349612</v>
      </c>
    </row>
    <row r="22" spans="1:26" s="24" customFormat="1" hidden="1" outlineLevel="1" x14ac:dyDescent="0.25">
      <c r="A22" s="44"/>
      <c r="B22" s="11" t="str">
        <f>CONCATENATE("          ", "5095", " - ", "PURCHASES @ COST-CUSTOMER SERV")</f>
        <v xml:space="preserve">          5095 - PURCHASES @ COST-CUSTOMER SERV</v>
      </c>
      <c r="C22" s="11"/>
      <c r="D22" s="2"/>
      <c r="E22" s="2"/>
      <c r="F22" s="19">
        <f t="shared" si="5"/>
        <v>0</v>
      </c>
      <c r="G22" s="2"/>
      <c r="H22" s="2">
        <v>-4.32</v>
      </c>
      <c r="I22" s="2"/>
      <c r="J22" s="19">
        <f t="shared" si="6"/>
        <v>-1.1250418960914431E-4</v>
      </c>
      <c r="K22" s="2"/>
      <c r="L22" s="2">
        <f t="shared" si="7"/>
        <v>4.32</v>
      </c>
      <c r="M22" s="2"/>
      <c r="N22" s="19">
        <f t="shared" si="8"/>
        <v>-1</v>
      </c>
      <c r="O22" s="11"/>
      <c r="P22" s="2">
        <v>11.85</v>
      </c>
      <c r="Q22" s="2"/>
      <c r="R22" s="19">
        <f t="shared" si="9"/>
        <v>5.4780006268496917E-4</v>
      </c>
      <c r="S22" s="2"/>
      <c r="T22" s="2">
        <v>-73.44</v>
      </c>
      <c r="U22" s="2"/>
      <c r="V22" s="19">
        <f t="shared" si="10"/>
        <v>-6.0225688880520556E-4</v>
      </c>
      <c r="W22" s="2"/>
      <c r="X22" s="2">
        <f t="shared" si="11"/>
        <v>85.289999999999992</v>
      </c>
      <c r="Y22" s="2"/>
      <c r="Z22" s="19">
        <f t="shared" si="12"/>
        <v>-1.1613562091503267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-5539</v>
      </c>
      <c r="E23" s="2"/>
      <c r="F23" s="19">
        <f t="shared" si="5"/>
        <v>-1.7233172067265061</v>
      </c>
      <c r="G23" s="2"/>
      <c r="H23" s="2">
        <v>-28650</v>
      </c>
      <c r="I23" s="2"/>
      <c r="J23" s="19">
        <f t="shared" si="6"/>
        <v>-0.74612153525508895</v>
      </c>
      <c r="K23" s="2"/>
      <c r="L23" s="2">
        <f t="shared" si="7"/>
        <v>23111</v>
      </c>
      <c r="M23" s="2"/>
      <c r="N23" s="19">
        <f t="shared" si="8"/>
        <v>-0.80666666666666664</v>
      </c>
      <c r="O23" s="11"/>
      <c r="P23" s="2">
        <v>-8677</v>
      </c>
      <c r="Q23" s="2"/>
      <c r="R23" s="19">
        <f t="shared" si="9"/>
        <v>-0.40111908387489265</v>
      </c>
      <c r="S23" s="2"/>
      <c r="T23" s="2">
        <v>-37114</v>
      </c>
      <c r="U23" s="2"/>
      <c r="V23" s="19">
        <f t="shared" si="10"/>
        <v>-0.30435950668731482</v>
      </c>
      <c r="W23" s="2"/>
      <c r="X23" s="2">
        <f t="shared" si="11"/>
        <v>28437</v>
      </c>
      <c r="Y23" s="2"/>
      <c r="Z23" s="19">
        <f t="shared" si="12"/>
        <v>-0.76620682222341974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>
        <v>1050</v>
      </c>
      <c r="E24" s="2"/>
      <c r="F24" s="19">
        <f t="shared" si="5"/>
        <v>0.32668045984163774</v>
      </c>
      <c r="G24" s="2"/>
      <c r="H24" s="2">
        <v>14335</v>
      </c>
      <c r="I24" s="2"/>
      <c r="J24" s="19">
        <f t="shared" si="6"/>
        <v>0.37332119399238045</v>
      </c>
      <c r="K24" s="2"/>
      <c r="L24" s="2">
        <f t="shared" si="7"/>
        <v>-13285</v>
      </c>
      <c r="M24" s="2"/>
      <c r="N24" s="19">
        <f t="shared" si="8"/>
        <v>-0.92675270317404956</v>
      </c>
      <c r="O24" s="11"/>
      <c r="P24" s="2">
        <v>9472</v>
      </c>
      <c r="Q24" s="2"/>
      <c r="R24" s="19">
        <f t="shared" si="9"/>
        <v>0.43787022732084629</v>
      </c>
      <c r="S24" s="2"/>
      <c r="T24" s="2">
        <v>46237</v>
      </c>
      <c r="U24" s="2"/>
      <c r="V24" s="19">
        <f t="shared" si="10"/>
        <v>0.37917417984322294</v>
      </c>
      <c r="W24" s="2"/>
      <c r="X24" s="2">
        <f t="shared" si="11"/>
        <v>-36765</v>
      </c>
      <c r="Y24" s="2"/>
      <c r="Z24" s="19">
        <f t="shared" si="12"/>
        <v>-0.79514241840949884</v>
      </c>
    </row>
    <row r="25" spans="1:26" s="24" customFormat="1" hidden="1" outlineLevel="1" x14ac:dyDescent="0.25">
      <c r="A25" s="44"/>
      <c r="B25" s="11" t="str">
        <f>CONCATENATE("          ", "5592", " - ", "FREIGHT-IN-GRAD MERCH")</f>
        <v xml:space="preserve">          5592 - FREIGHT-IN-GRAD MERCH</v>
      </c>
      <c r="C25" s="11"/>
      <c r="D25" s="2"/>
      <c r="E25" s="2"/>
      <c r="F25" s="19">
        <f t="shared" si="5"/>
        <v>0</v>
      </c>
      <c r="G25" s="2"/>
      <c r="H25" s="2">
        <v>1266.43</v>
      </c>
      <c r="I25" s="2"/>
      <c r="J25" s="19">
        <f t="shared" si="6"/>
        <v>3.2981176121923292E-2</v>
      </c>
      <c r="K25" s="2"/>
      <c r="L25" s="2">
        <f t="shared" si="7"/>
        <v>-1266.43</v>
      </c>
      <c r="M25" s="2"/>
      <c r="N25" s="19">
        <f t="shared" si="8"/>
        <v>-1</v>
      </c>
      <c r="O25" s="11"/>
      <c r="P25" s="2">
        <v>118.73</v>
      </c>
      <c r="Q25" s="2"/>
      <c r="R25" s="19">
        <f t="shared" si="9"/>
        <v>5.4886330331296541E-3</v>
      </c>
      <c r="S25" s="2"/>
      <c r="T25" s="2">
        <v>1580.77</v>
      </c>
      <c r="U25" s="2"/>
      <c r="V25" s="19">
        <f t="shared" si="10"/>
        <v>1.2963366314223923E-2</v>
      </c>
      <c r="W25" s="2"/>
      <c r="X25" s="2">
        <f t="shared" si="11"/>
        <v>-1462.04</v>
      </c>
      <c r="Y25" s="2"/>
      <c r="Z25" s="19">
        <f t="shared" si="12"/>
        <v>-0.92489103411628504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6</v>
      </c>
      <c r="C27" s="28"/>
      <c r="D27" s="21">
        <f>D12-D20</f>
        <v>2163.7999999999997</v>
      </c>
      <c r="E27" s="14"/>
      <c r="F27" s="20">
        <f>IF(D$12=0,0,D27/D$12)</f>
        <v>0.67321064667174824</v>
      </c>
      <c r="G27" s="14"/>
      <c r="H27" s="21">
        <f>H12-H20</f>
        <v>24063.96</v>
      </c>
      <c r="I27" s="14"/>
      <c r="J27" s="20">
        <f>IF(H$12=0,0,H27/H$12)</f>
        <v>0.62668896263584817</v>
      </c>
      <c r="K27" s="15"/>
      <c r="L27" s="21">
        <f>+D27-H27</f>
        <v>-21900.16</v>
      </c>
      <c r="M27" s="15"/>
      <c r="N27" s="20">
        <f>IF(H27=0,0,L27/H27)</f>
        <v>-0.91008130000216092</v>
      </c>
      <c r="O27" s="29"/>
      <c r="P27" s="21">
        <f>P12-P20</f>
        <v>12160.57</v>
      </c>
      <c r="Q27" s="14"/>
      <c r="R27" s="20">
        <f>IF(P$12=0,0,P27/P$12)</f>
        <v>0.56215704711265446</v>
      </c>
      <c r="S27" s="14"/>
      <c r="T27" s="21">
        <f>T12-T20</f>
        <v>75703.530000000013</v>
      </c>
      <c r="U27" s="14"/>
      <c r="V27" s="20">
        <f>IF(T$12=0,0,T27/T$12)</f>
        <v>0.62081934163087626</v>
      </c>
      <c r="W27" s="15"/>
      <c r="X27" s="21">
        <f>+P27-T27</f>
        <v>-63542.960000000014</v>
      </c>
      <c r="Y27" s="15"/>
      <c r="Z27" s="20">
        <f>IF(T27=0,0,X27/T27)</f>
        <v>-0.83936587897552473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9</v>
      </c>
      <c r="C29" s="10"/>
      <c r="D29" s="22">
        <f>SUM(OSRRefD22x_0)</f>
        <v>1685.38</v>
      </c>
      <c r="E29" s="22"/>
      <c r="F29" s="35">
        <f t="shared" ref="F29:F38" si="13">IF(D$12=0,0,D29/D$12)</f>
        <v>0.52436258419799953</v>
      </c>
      <c r="G29" s="22"/>
      <c r="H29" s="22">
        <f>SUM(OSRRefH22x_0)</f>
        <v>4702.4100000000008</v>
      </c>
      <c r="I29" s="22"/>
      <c r="J29" s="35">
        <f t="shared" ref="J29:J38" si="14">IF(H$12=0,0,H29/H$12)</f>
        <v>0.12246315422683711</v>
      </c>
      <c r="K29" s="4"/>
      <c r="L29" s="22">
        <f t="shared" ref="L29:L38" si="15">+D29-H29</f>
        <v>-3017.0300000000007</v>
      </c>
      <c r="M29" s="4"/>
      <c r="N29" s="35">
        <f t="shared" ref="N29:N38" si="16">IF(H29=0,0,L29/H29)</f>
        <v>-0.6415922899109181</v>
      </c>
      <c r="O29" s="10"/>
      <c r="P29" s="22">
        <f>SUM(OSRRefP22x_0)</f>
        <v>924.64000000000158</v>
      </c>
      <c r="Q29" s="22"/>
      <c r="R29" s="35">
        <f t="shared" ref="R29:R38" si="17">IF(P$12=0,0,P29/P$12)</f>
        <v>4.2744122359580659E-2</v>
      </c>
      <c r="S29" s="22"/>
      <c r="T29" s="22">
        <f>SUM(OSRRefT22x_0)</f>
        <v>7783.7999999999993</v>
      </c>
      <c r="U29" s="22"/>
      <c r="V29" s="35">
        <f t="shared" ref="V29:V38" si="18">IF(T$12=0,0,T29/T$12)</f>
        <v>6.3832341654166111E-2</v>
      </c>
      <c r="W29" s="4"/>
      <c r="X29" s="22">
        <f t="shared" ref="X29:X38" si="19">+P29-T29</f>
        <v>-6859.159999999998</v>
      </c>
      <c r="Y29" s="4"/>
      <c r="Z29" s="35">
        <f t="shared" ref="Z29:Z38" si="20">IF(T29=0,0,X29/T29)</f>
        <v>-0.8812096919242528</v>
      </c>
    </row>
    <row r="30" spans="1:26" s="25" customFormat="1" outlineLevel="1" collapsed="1" x14ac:dyDescent="0.25">
      <c r="A30" s="26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3"/>
        <v>0</v>
      </c>
      <c r="G30" s="1"/>
      <c r="H30" s="1">
        <f>SUM(OSRRefH22_0x_0)</f>
        <v>405.33000000000004</v>
      </c>
      <c r="I30" s="1"/>
      <c r="J30" s="5">
        <f t="shared" si="14"/>
        <v>1.0555861845896866E-2</v>
      </c>
      <c r="K30" s="1"/>
      <c r="L30" s="1">
        <f t="shared" si="15"/>
        <v>-405.33000000000004</v>
      </c>
      <c r="M30" s="1"/>
      <c r="N30" s="5">
        <f t="shared" si="16"/>
        <v>-1</v>
      </c>
      <c r="O30" s="13"/>
      <c r="P30" s="1">
        <f>SUM(OSRRefP22_0x_0)</f>
        <v>874.44</v>
      </c>
      <c r="Q30" s="1"/>
      <c r="R30" s="5">
        <f t="shared" si="17"/>
        <v>4.0423484119345529E-2</v>
      </c>
      <c r="S30" s="1"/>
      <c r="T30" s="1">
        <f>SUM(OSRRefT22_0x_0)</f>
        <v>3141.7300000000005</v>
      </c>
      <c r="U30" s="1"/>
      <c r="V30" s="5">
        <f t="shared" si="18"/>
        <v>2.5764277440985552E-2</v>
      </c>
      <c r="W30" s="1"/>
      <c r="X30" s="1">
        <f t="shared" si="19"/>
        <v>-2267.2900000000004</v>
      </c>
      <c r="Y30" s="1"/>
      <c r="Z30" s="5">
        <f t="shared" si="20"/>
        <v>-0.72166927138869352</v>
      </c>
    </row>
    <row r="31" spans="1:26" s="24" customFormat="1" hidden="1" outlineLevel="2" x14ac:dyDescent="0.25">
      <c r="A31" s="27"/>
      <c r="B31" s="11" t="str">
        <f>CONCATENATE("          ", "6111", " - ", "F.I.C.A.")</f>
        <v xml:space="preserve">          6111 - F.I.C.A.</v>
      </c>
      <c r="C31" s="11"/>
      <c r="D31" s="6"/>
      <c r="E31" s="2"/>
      <c r="F31" s="7">
        <f t="shared" si="13"/>
        <v>0</v>
      </c>
      <c r="G31" s="2"/>
      <c r="H31" s="6">
        <v>73.44</v>
      </c>
      <c r="I31" s="2"/>
      <c r="J31" s="7">
        <f t="shared" si="14"/>
        <v>1.9125712233554531E-3</v>
      </c>
      <c r="K31" s="2"/>
      <c r="L31" s="6">
        <f t="shared" si="15"/>
        <v>-73.44</v>
      </c>
      <c r="M31" s="2"/>
      <c r="N31" s="7">
        <f t="shared" si="16"/>
        <v>-1</v>
      </c>
      <c r="O31" s="11"/>
      <c r="P31" s="6">
        <v>208.81</v>
      </c>
      <c r="Q31" s="2"/>
      <c r="R31" s="7">
        <f t="shared" si="17"/>
        <v>9.6528380666032424E-3</v>
      </c>
      <c r="S31" s="2"/>
      <c r="T31" s="6">
        <v>636.22</v>
      </c>
      <c r="U31" s="2"/>
      <c r="V31" s="7">
        <f t="shared" si="18"/>
        <v>5.2174275298971671E-3</v>
      </c>
      <c r="W31" s="2"/>
      <c r="X31" s="6">
        <f t="shared" si="19"/>
        <v>-427.41</v>
      </c>
      <c r="Y31" s="2"/>
      <c r="Z31" s="7">
        <f t="shared" si="20"/>
        <v>-0.67179591965043539</v>
      </c>
    </row>
    <row r="32" spans="1:26" s="24" customFormat="1" hidden="1" outlineLevel="2" x14ac:dyDescent="0.25">
      <c r="A32" s="27"/>
      <c r="B32" s="11" t="str">
        <f>CONCATENATE("          ", "6112", " - ", "COMPENSATION INSURANCE")</f>
        <v xml:space="preserve">          6112 - COMPENSATION INSURANCE</v>
      </c>
      <c r="C32" s="11"/>
      <c r="D32" s="6"/>
      <c r="E32" s="2"/>
      <c r="F32" s="7">
        <f t="shared" si="13"/>
        <v>0</v>
      </c>
      <c r="G32" s="2"/>
      <c r="H32" s="6">
        <v>11.47</v>
      </c>
      <c r="I32" s="2"/>
      <c r="J32" s="7">
        <f t="shared" si="14"/>
        <v>2.9870904046687158E-4</v>
      </c>
      <c r="K32" s="2"/>
      <c r="L32" s="6">
        <f t="shared" si="15"/>
        <v>-11.47</v>
      </c>
      <c r="M32" s="2"/>
      <c r="N32" s="7">
        <f t="shared" si="16"/>
        <v>-1</v>
      </c>
      <c r="O32" s="11"/>
      <c r="P32" s="6">
        <v>22.05</v>
      </c>
      <c r="Q32" s="2"/>
      <c r="R32" s="7">
        <f t="shared" si="17"/>
        <v>1.019324167274563E-3</v>
      </c>
      <c r="S32" s="2"/>
      <c r="T32" s="6">
        <v>172.18</v>
      </c>
      <c r="U32" s="2"/>
      <c r="V32" s="7">
        <f t="shared" si="18"/>
        <v>1.4119906197505487E-3</v>
      </c>
      <c r="W32" s="2"/>
      <c r="X32" s="6">
        <f t="shared" si="19"/>
        <v>-150.13</v>
      </c>
      <c r="Y32" s="2"/>
      <c r="Z32" s="7">
        <f t="shared" si="20"/>
        <v>-0.87193634568474843</v>
      </c>
    </row>
    <row r="33" spans="1:26" s="24" customFormat="1" hidden="1" outlineLevel="2" x14ac:dyDescent="0.25">
      <c r="A33" s="27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3"/>
        <v>0</v>
      </c>
      <c r="G33" s="2"/>
      <c r="H33" s="6">
        <v>152.63</v>
      </c>
      <c r="I33" s="2"/>
      <c r="J33" s="7">
        <f t="shared" si="14"/>
        <v>3.9748876064915955E-3</v>
      </c>
      <c r="K33" s="2"/>
      <c r="L33" s="6">
        <f t="shared" si="15"/>
        <v>-152.63</v>
      </c>
      <c r="M33" s="2"/>
      <c r="N33" s="7">
        <f t="shared" si="16"/>
        <v>-1</v>
      </c>
      <c r="O33" s="11"/>
      <c r="P33" s="6">
        <v>305.26</v>
      </c>
      <c r="Q33" s="2"/>
      <c r="R33" s="7">
        <f t="shared" si="17"/>
        <v>1.411151452617837E-2</v>
      </c>
      <c r="S33" s="2"/>
      <c r="T33" s="6">
        <v>941.84</v>
      </c>
      <c r="U33" s="2"/>
      <c r="V33" s="7">
        <f t="shared" si="18"/>
        <v>7.7237149802872399E-3</v>
      </c>
      <c r="W33" s="2"/>
      <c r="X33" s="6">
        <f t="shared" si="19"/>
        <v>-636.58000000000004</v>
      </c>
      <c r="Y33" s="2"/>
      <c r="Z33" s="7">
        <f t="shared" si="20"/>
        <v>-0.67588974772785193</v>
      </c>
    </row>
    <row r="34" spans="1:26" s="24" customFormat="1" hidden="1" outlineLevel="2" x14ac:dyDescent="0.2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6"/>
      <c r="E34" s="2"/>
      <c r="F34" s="7">
        <f t="shared" si="13"/>
        <v>0</v>
      </c>
      <c r="G34" s="2"/>
      <c r="H34" s="6">
        <v>2.5099999999999998</v>
      </c>
      <c r="I34" s="2"/>
      <c r="J34" s="7">
        <f t="shared" si="14"/>
        <v>6.5367017573831522E-5</v>
      </c>
      <c r="K34" s="2"/>
      <c r="L34" s="6">
        <f t="shared" si="15"/>
        <v>-2.5099999999999998</v>
      </c>
      <c r="M34" s="2"/>
      <c r="N34" s="7">
        <f t="shared" si="16"/>
        <v>-1</v>
      </c>
      <c r="O34" s="11"/>
      <c r="P34" s="6">
        <v>5</v>
      </c>
      <c r="Q34" s="2"/>
      <c r="R34" s="7">
        <f t="shared" si="17"/>
        <v>2.3113926695568322E-4</v>
      </c>
      <c r="S34" s="2"/>
      <c r="T34" s="6">
        <v>16.02</v>
      </c>
      <c r="U34" s="2"/>
      <c r="V34" s="7">
        <f t="shared" si="18"/>
        <v>1.3137466446976298E-4</v>
      </c>
      <c r="W34" s="2"/>
      <c r="X34" s="6">
        <f t="shared" si="19"/>
        <v>-11.02</v>
      </c>
      <c r="Y34" s="2"/>
      <c r="Z34" s="7">
        <f t="shared" si="20"/>
        <v>-0.68789013732833959</v>
      </c>
    </row>
    <row r="35" spans="1:26" s="24" customFormat="1" hidden="1" outlineLevel="2" x14ac:dyDescent="0.25">
      <c r="A35" s="27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3"/>
        <v>0</v>
      </c>
      <c r="G35" s="2"/>
      <c r="H35" s="6">
        <v>65.680000000000007</v>
      </c>
      <c r="I35" s="2"/>
      <c r="J35" s="7">
        <f t="shared" si="14"/>
        <v>1.7104803642427311E-3</v>
      </c>
      <c r="K35" s="2"/>
      <c r="L35" s="6">
        <f t="shared" si="15"/>
        <v>-65.680000000000007</v>
      </c>
      <c r="M35" s="2"/>
      <c r="N35" s="7">
        <f t="shared" si="16"/>
        <v>-1</v>
      </c>
      <c r="O35" s="11"/>
      <c r="P35" s="6">
        <v>134.12</v>
      </c>
      <c r="Q35" s="2"/>
      <c r="R35" s="7">
        <f t="shared" si="17"/>
        <v>6.2000796968192462E-3</v>
      </c>
      <c r="S35" s="2"/>
      <c r="T35" s="6">
        <v>419.25</v>
      </c>
      <c r="U35" s="2"/>
      <c r="V35" s="7">
        <f t="shared" si="18"/>
        <v>3.4381290935672991E-3</v>
      </c>
      <c r="W35" s="2"/>
      <c r="X35" s="6">
        <f t="shared" si="19"/>
        <v>-285.13</v>
      </c>
      <c r="Y35" s="2"/>
      <c r="Z35" s="7">
        <f t="shared" si="20"/>
        <v>-0.68009540846750149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6"/>
      <c r="E36" s="2"/>
      <c r="F36" s="7">
        <f t="shared" si="13"/>
        <v>0</v>
      </c>
      <c r="G36" s="2"/>
      <c r="H36" s="6">
        <v>55.32</v>
      </c>
      <c r="I36" s="2"/>
      <c r="J36" s="7">
        <f t="shared" si="14"/>
        <v>1.4406786502726534E-3</v>
      </c>
      <c r="K36" s="2"/>
      <c r="L36" s="6">
        <f t="shared" si="15"/>
        <v>-55.32</v>
      </c>
      <c r="M36" s="2"/>
      <c r="N36" s="7">
        <f t="shared" si="16"/>
        <v>-1</v>
      </c>
      <c r="O36" s="11"/>
      <c r="P36" s="6">
        <v>110.64</v>
      </c>
      <c r="Q36" s="2"/>
      <c r="R36" s="7">
        <f t="shared" si="17"/>
        <v>5.1146496991953585E-3</v>
      </c>
      <c r="S36" s="2"/>
      <c r="T36" s="6">
        <v>325.47000000000003</v>
      </c>
      <c r="U36" s="2"/>
      <c r="V36" s="7">
        <f t="shared" si="18"/>
        <v>2.6690706644802598E-3</v>
      </c>
      <c r="W36" s="2"/>
      <c r="X36" s="6">
        <f t="shared" si="19"/>
        <v>-214.83000000000004</v>
      </c>
      <c r="Y36" s="2"/>
      <c r="Z36" s="7">
        <f t="shared" si="20"/>
        <v>-0.66006083510000924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6"/>
      <c r="E37" s="2"/>
      <c r="F37" s="7">
        <f t="shared" si="13"/>
        <v>0</v>
      </c>
      <c r="G37" s="2"/>
      <c r="H37" s="6">
        <v>44.28</v>
      </c>
      <c r="I37" s="2"/>
      <c r="J37" s="7">
        <f t="shared" si="14"/>
        <v>1.1531679434937292E-3</v>
      </c>
      <c r="K37" s="2"/>
      <c r="L37" s="6">
        <f t="shared" si="15"/>
        <v>-44.28</v>
      </c>
      <c r="M37" s="2"/>
      <c r="N37" s="7">
        <f t="shared" si="16"/>
        <v>-1</v>
      </c>
      <c r="O37" s="11"/>
      <c r="P37" s="6">
        <v>88.56</v>
      </c>
      <c r="Q37" s="2"/>
      <c r="R37" s="7">
        <f t="shared" si="17"/>
        <v>4.0939386963190615E-3</v>
      </c>
      <c r="S37" s="2"/>
      <c r="T37" s="6">
        <v>338</v>
      </c>
      <c r="U37" s="2"/>
      <c r="V37" s="7">
        <f t="shared" si="18"/>
        <v>2.7718250056666597E-3</v>
      </c>
      <c r="W37" s="2"/>
      <c r="X37" s="6">
        <f t="shared" si="19"/>
        <v>-249.44</v>
      </c>
      <c r="Y37" s="2"/>
      <c r="Z37" s="7">
        <f t="shared" si="20"/>
        <v>-0.73798816568047332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6"/>
      <c r="E38" s="2"/>
      <c r="F38" s="7">
        <f t="shared" si="13"/>
        <v>0</v>
      </c>
      <c r="G38" s="2"/>
      <c r="H38" s="6"/>
      <c r="I38" s="2"/>
      <c r="J38" s="7">
        <f t="shared" si="14"/>
        <v>0</v>
      </c>
      <c r="K38" s="2"/>
      <c r="L38" s="6">
        <f t="shared" si="15"/>
        <v>0</v>
      </c>
      <c r="M38" s="2"/>
      <c r="N38" s="7">
        <f t="shared" si="16"/>
        <v>0</v>
      </c>
      <c r="O38" s="11"/>
      <c r="P38" s="6"/>
      <c r="Q38" s="2"/>
      <c r="R38" s="7">
        <f t="shared" si="17"/>
        <v>0</v>
      </c>
      <c r="S38" s="2"/>
      <c r="T38" s="6">
        <v>292.75</v>
      </c>
      <c r="U38" s="2"/>
      <c r="V38" s="7">
        <f t="shared" si="18"/>
        <v>2.4007448828666116E-3</v>
      </c>
      <c r="W38" s="2"/>
      <c r="X38" s="6">
        <f t="shared" si="19"/>
        <v>-292.75</v>
      </c>
      <c r="Y38" s="2"/>
      <c r="Z38" s="7">
        <f t="shared" si="20"/>
        <v>-1</v>
      </c>
    </row>
    <row r="39" spans="1:26" s="25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0</v>
      </c>
      <c r="E39" s="1"/>
      <c r="F39" s="5">
        <f t="shared" ref="F39:F45" si="21">IF(D$12=0,0,D39/D$12)</f>
        <v>0</v>
      </c>
      <c r="G39" s="1"/>
      <c r="H39" s="1">
        <f>SUM(OSRRefH22_1x_0)</f>
        <v>915</v>
      </c>
      <c r="I39" s="1"/>
      <c r="J39" s="5">
        <f t="shared" ref="J39:J45" si="22">IF(H$12=0,0,H39/H$12)</f>
        <v>2.3829012382492368E-2</v>
      </c>
      <c r="K39" s="1"/>
      <c r="L39" s="1">
        <f t="shared" ref="L39:L45" si="23">+D39-H39</f>
        <v>-915</v>
      </c>
      <c r="M39" s="1"/>
      <c r="N39" s="5">
        <f t="shared" ref="N39:N45" si="24">IF(H39=0,0,L39/H39)</f>
        <v>-1</v>
      </c>
      <c r="O39" s="13"/>
      <c r="P39" s="1">
        <f>SUM(OSRRefP22_1x_0)</f>
        <v>6103</v>
      </c>
      <c r="Q39" s="1"/>
      <c r="R39" s="5">
        <f t="shared" ref="R39:R45" si="25">IF(P$12=0,0,P39/P$12)</f>
        <v>0.28212858924610695</v>
      </c>
      <c r="S39" s="1"/>
      <c r="T39" s="1">
        <f>SUM(OSRRefT22_1x_0)</f>
        <v>14214.31</v>
      </c>
      <c r="U39" s="1"/>
      <c r="V39" s="5">
        <f t="shared" ref="V39:V45" si="26">IF(T$12=0,0,T39/T$12)</f>
        <v>0.11656680442691615</v>
      </c>
      <c r="W39" s="1"/>
      <c r="X39" s="1">
        <f t="shared" ref="X39:X45" si="27">+P39-T39</f>
        <v>-8111.3099999999995</v>
      </c>
      <c r="Y39" s="1"/>
      <c r="Z39" s="5">
        <f t="shared" ref="Z39:Z45" si="28">IF(T39=0,0,X39/T39)</f>
        <v>-0.57064394965355336</v>
      </c>
    </row>
    <row r="40" spans="1:26" s="24" customFormat="1" hidden="1" outlineLevel="2" x14ac:dyDescent="0.25">
      <c r="A40" s="27"/>
      <c r="B40" s="11" t="str">
        <f>CONCATENATE("          ", "6002", " - ", "STAFF SALARIES")</f>
        <v xml:space="preserve">          6002 - STAFF SALARIES</v>
      </c>
      <c r="C40" s="11"/>
      <c r="D40" s="6"/>
      <c r="E40" s="2"/>
      <c r="F40" s="7">
        <f t="shared" si="21"/>
        <v>0</v>
      </c>
      <c r="G40" s="2"/>
      <c r="H40" s="6">
        <v>672</v>
      </c>
      <c r="I40" s="2"/>
      <c r="J40" s="7">
        <f t="shared" si="22"/>
        <v>1.7500651716978004E-2</v>
      </c>
      <c r="K40" s="2"/>
      <c r="L40" s="6">
        <f t="shared" si="23"/>
        <v>-672</v>
      </c>
      <c r="M40" s="2"/>
      <c r="N40" s="7">
        <f t="shared" si="24"/>
        <v>-1</v>
      </c>
      <c r="O40" s="11"/>
      <c r="P40" s="6">
        <v>1872</v>
      </c>
      <c r="Q40" s="2"/>
      <c r="R40" s="7">
        <f t="shared" si="25"/>
        <v>8.6538541548207795E-2</v>
      </c>
      <c r="S40" s="2"/>
      <c r="T40" s="6">
        <v>10186.98</v>
      </c>
      <c r="U40" s="2"/>
      <c r="V40" s="7">
        <f t="shared" si="26"/>
        <v>8.3540017444456063E-2</v>
      </c>
      <c r="W40" s="2"/>
      <c r="X40" s="6">
        <f t="shared" si="27"/>
        <v>-8314.98</v>
      </c>
      <c r="Y40" s="2"/>
      <c r="Z40" s="7">
        <f t="shared" si="28"/>
        <v>-0.81623601891826625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/>
      <c r="E41" s="2"/>
      <c r="F41" s="7">
        <f t="shared" si="21"/>
        <v>0</v>
      </c>
      <c r="G41" s="2"/>
      <c r="H41" s="6"/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491.67</v>
      </c>
      <c r="Q41" s="2"/>
      <c r="R41" s="7">
        <f t="shared" si="25"/>
        <v>2.2728848676820155E-2</v>
      </c>
      <c r="S41" s="2"/>
      <c r="T41" s="6">
        <v>142.5</v>
      </c>
      <c r="U41" s="2"/>
      <c r="V41" s="7">
        <f t="shared" si="26"/>
        <v>1.1685948618565061E-3</v>
      </c>
      <c r="W41" s="2"/>
      <c r="X41" s="6">
        <f t="shared" si="27"/>
        <v>349.17</v>
      </c>
      <c r="Y41" s="2"/>
      <c r="Z41" s="7">
        <f t="shared" si="28"/>
        <v>2.4503157894736844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1"/>
        <v>0</v>
      </c>
      <c r="G42" s="2"/>
      <c r="H42" s="6"/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140.61000000000001</v>
      </c>
      <c r="Q42" s="2"/>
      <c r="R42" s="7">
        <f t="shared" si="25"/>
        <v>6.5000984653277236E-3</v>
      </c>
      <c r="S42" s="2"/>
      <c r="T42" s="6">
        <v>1513.8</v>
      </c>
      <c r="U42" s="2"/>
      <c r="V42" s="7">
        <f t="shared" si="26"/>
        <v>1.2414167732479851E-2</v>
      </c>
      <c r="W42" s="2"/>
      <c r="X42" s="6">
        <f t="shared" si="27"/>
        <v>-1373.19</v>
      </c>
      <c r="Y42" s="2"/>
      <c r="Z42" s="7">
        <f t="shared" si="28"/>
        <v>-0.90711454617518839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/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120.35</v>
      </c>
      <c r="Q43" s="2"/>
      <c r="R43" s="7">
        <f t="shared" si="25"/>
        <v>5.5635221556232942E-3</v>
      </c>
      <c r="S43" s="2"/>
      <c r="T43" s="6">
        <v>432.75</v>
      </c>
      <c r="U43" s="2"/>
      <c r="V43" s="7">
        <f t="shared" si="26"/>
        <v>3.548838080480021E-3</v>
      </c>
      <c r="W43" s="2"/>
      <c r="X43" s="6">
        <f t="shared" si="27"/>
        <v>-312.39999999999998</v>
      </c>
      <c r="Y43" s="2"/>
      <c r="Z43" s="7">
        <f t="shared" si="28"/>
        <v>-0.72189485846331591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1"/>
        <v>0</v>
      </c>
      <c r="G44" s="2"/>
      <c r="H44" s="6">
        <v>243</v>
      </c>
      <c r="I44" s="2"/>
      <c r="J44" s="7">
        <f t="shared" si="22"/>
        <v>6.3283606655143666E-3</v>
      </c>
      <c r="K44" s="2"/>
      <c r="L44" s="6">
        <f t="shared" si="23"/>
        <v>-243</v>
      </c>
      <c r="M44" s="2"/>
      <c r="N44" s="7">
        <f t="shared" si="24"/>
        <v>-1</v>
      </c>
      <c r="O44" s="11"/>
      <c r="P44" s="6">
        <v>3478.37</v>
      </c>
      <c r="Q44" s="2"/>
      <c r="R44" s="7">
        <f t="shared" si="25"/>
        <v>0.16079757840012796</v>
      </c>
      <c r="S44" s="2"/>
      <c r="T44" s="6">
        <v>1302.28</v>
      </c>
      <c r="U44" s="2"/>
      <c r="V44" s="7">
        <f t="shared" si="26"/>
        <v>1.0679562924199934E-2</v>
      </c>
      <c r="W44" s="2"/>
      <c r="X44" s="6">
        <f t="shared" si="27"/>
        <v>2176.09</v>
      </c>
      <c r="Y44" s="2"/>
      <c r="Z44" s="7">
        <f t="shared" si="28"/>
        <v>1.6709847344657065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/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636</v>
      </c>
      <c r="U45" s="2"/>
      <c r="V45" s="7">
        <f t="shared" si="26"/>
        <v>5.2156233834437741E-3</v>
      </c>
      <c r="W45" s="2"/>
      <c r="X45" s="6">
        <f t="shared" si="27"/>
        <v>-636</v>
      </c>
      <c r="Y45" s="2"/>
      <c r="Z45" s="7">
        <f t="shared" si="28"/>
        <v>-1</v>
      </c>
    </row>
    <row r="46" spans="1:26" s="25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2" si="29">IF(D$12=0,0,D46/D$12)</f>
        <v>0</v>
      </c>
      <c r="G46" s="1"/>
      <c r="H46" s="1">
        <f>SUM(OSRRefH22_2x_0)</f>
        <v>30</v>
      </c>
      <c r="I46" s="1"/>
      <c r="J46" s="5">
        <f t="shared" ref="J46:J52" si="30">IF(H$12=0,0,H46/H$12)</f>
        <v>7.8127909450794657E-4</v>
      </c>
      <c r="K46" s="1"/>
      <c r="L46" s="1">
        <f t="shared" ref="L46:L52" si="31">+D46-H46</f>
        <v>-30</v>
      </c>
      <c r="M46" s="1"/>
      <c r="N46" s="5">
        <f t="shared" ref="N46:N52" si="32">IF(H46=0,0,L46/H46)</f>
        <v>-1</v>
      </c>
      <c r="O46" s="13"/>
      <c r="P46" s="1">
        <f>SUM(OSRRefP22_2x_0)</f>
        <v>1164.77</v>
      </c>
      <c r="Q46" s="1"/>
      <c r="R46" s="5">
        <f t="shared" ref="R46:R52" si="33">IF(P$12=0,0,P46/P$12)</f>
        <v>5.3844816794394228E-2</v>
      </c>
      <c r="S46" s="1"/>
      <c r="T46" s="1">
        <f>SUM(OSRRefT22_2x_0)</f>
        <v>3552.69</v>
      </c>
      <c r="U46" s="1"/>
      <c r="V46" s="5">
        <f t="shared" ref="V46:V52" si="34">IF(T$12=0,0,T46/T$12)</f>
        <v>2.9134423015922738E-2</v>
      </c>
      <c r="W46" s="1"/>
      <c r="X46" s="1">
        <f t="shared" ref="X46:X52" si="35">+P46-T46</f>
        <v>-2387.92</v>
      </c>
      <c r="Y46" s="1"/>
      <c r="Z46" s="5">
        <f t="shared" ref="Z46:Z52" si="36">IF(T46=0,0,X46/T46)</f>
        <v>-0.67214420622120141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30</v>
      </c>
      <c r="I47" s="2"/>
      <c r="J47" s="7">
        <f t="shared" si="30"/>
        <v>7.8127909450794657E-4</v>
      </c>
      <c r="K47" s="2"/>
      <c r="L47" s="6">
        <f t="shared" si="31"/>
        <v>-30</v>
      </c>
      <c r="M47" s="2"/>
      <c r="N47" s="7">
        <f t="shared" si="32"/>
        <v>-1</v>
      </c>
      <c r="O47" s="11"/>
      <c r="P47" s="6">
        <v>1164.77</v>
      </c>
      <c r="Q47" s="2"/>
      <c r="R47" s="7">
        <f t="shared" si="33"/>
        <v>5.3844816794394228E-2</v>
      </c>
      <c r="S47" s="2"/>
      <c r="T47" s="6">
        <v>3552.69</v>
      </c>
      <c r="U47" s="2"/>
      <c r="V47" s="7">
        <f t="shared" si="34"/>
        <v>2.9134423015922738E-2</v>
      </c>
      <c r="W47" s="2"/>
      <c r="X47" s="6">
        <f t="shared" si="35"/>
        <v>-2387.92</v>
      </c>
      <c r="Y47" s="2"/>
      <c r="Z47" s="7">
        <f t="shared" si="36"/>
        <v>-0.67214420622120141</v>
      </c>
    </row>
    <row r="48" spans="1:26" s="25" customFormat="1" outlineLevel="1" collapsed="1" x14ac:dyDescent="0.25">
      <c r="A48" s="26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SUM(OSRRefD22_3x_0)</f>
        <v>154.86000000000001</v>
      </c>
      <c r="E48" s="1"/>
      <c r="F48" s="5">
        <f t="shared" si="29"/>
        <v>4.8180700962929549E-2</v>
      </c>
      <c r="G48" s="1"/>
      <c r="H48" s="1">
        <f>SUM(OSRRefH22_3x_0)</f>
        <v>1845.33</v>
      </c>
      <c r="I48" s="1"/>
      <c r="J48" s="5">
        <f t="shared" si="30"/>
        <v>4.8057258382278298E-2</v>
      </c>
      <c r="K48" s="1"/>
      <c r="L48" s="1">
        <f t="shared" si="31"/>
        <v>-1690.4699999999998</v>
      </c>
      <c r="M48" s="1"/>
      <c r="N48" s="5">
        <f t="shared" si="32"/>
        <v>-0.91608005072263488</v>
      </c>
      <c r="O48" s="13"/>
      <c r="P48" s="1">
        <f>SUM(OSRRefP22_3x_0)</f>
        <v>555.12</v>
      </c>
      <c r="Q48" s="1"/>
      <c r="R48" s="5">
        <f t="shared" si="33"/>
        <v>2.5662005974487773E-2</v>
      </c>
      <c r="S48" s="1"/>
      <c r="T48" s="1">
        <f>SUM(OSRRefT22_3x_0)</f>
        <v>5293.63</v>
      </c>
      <c r="U48" s="1"/>
      <c r="V48" s="5">
        <f t="shared" si="34"/>
        <v>4.3411289954873374E-2</v>
      </c>
      <c r="W48" s="1"/>
      <c r="X48" s="1">
        <f t="shared" si="35"/>
        <v>-4738.51</v>
      </c>
      <c r="Y48" s="1"/>
      <c r="Z48" s="5">
        <f t="shared" si="36"/>
        <v>-0.89513434070760522</v>
      </c>
    </row>
    <row r="49" spans="1:26" s="24" customFormat="1" hidden="1" outlineLevel="2" x14ac:dyDescent="0.25">
      <c r="A49" s="27"/>
      <c r="B49" s="11" t="str">
        <f>CONCATENATE("          ", "6382", " - ", "DISCOUNTS/MARK DOWNS")</f>
        <v xml:space="preserve">          6382 - DISCOUNTS/MARK DOWNS</v>
      </c>
      <c r="C49" s="11"/>
      <c r="D49" s="6">
        <v>154.86000000000001</v>
      </c>
      <c r="E49" s="2"/>
      <c r="F49" s="7">
        <f t="shared" si="29"/>
        <v>4.8180700962929549E-2</v>
      </c>
      <c r="G49" s="2"/>
      <c r="H49" s="6">
        <v>1845.33</v>
      </c>
      <c r="I49" s="2"/>
      <c r="J49" s="7">
        <f t="shared" si="30"/>
        <v>4.8057258382278298E-2</v>
      </c>
      <c r="K49" s="2"/>
      <c r="L49" s="6">
        <f t="shared" si="31"/>
        <v>-1690.4699999999998</v>
      </c>
      <c r="M49" s="2"/>
      <c r="N49" s="7">
        <f t="shared" si="32"/>
        <v>-0.91608005072263488</v>
      </c>
      <c r="O49" s="11"/>
      <c r="P49" s="6">
        <v>555.12</v>
      </c>
      <c r="Q49" s="2"/>
      <c r="R49" s="7">
        <f t="shared" si="33"/>
        <v>2.5662005974487773E-2</v>
      </c>
      <c r="S49" s="2"/>
      <c r="T49" s="6">
        <v>5293.63</v>
      </c>
      <c r="U49" s="2"/>
      <c r="V49" s="7">
        <f t="shared" si="34"/>
        <v>4.3411289954873374E-2</v>
      </c>
      <c r="W49" s="2"/>
      <c r="X49" s="6">
        <f t="shared" si="35"/>
        <v>-4738.51</v>
      </c>
      <c r="Y49" s="2"/>
      <c r="Z49" s="7">
        <f t="shared" si="36"/>
        <v>-0.89513434070760522</v>
      </c>
    </row>
    <row r="50" spans="1:26" s="25" customFormat="1" outlineLevel="1" collapsed="1" x14ac:dyDescent="0.25">
      <c r="A50" s="26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SUM(OSRRefD22_4x_0)</f>
        <v>1051.3899999999999</v>
      </c>
      <c r="E50" s="1"/>
      <c r="F50" s="5">
        <f t="shared" si="29"/>
        <v>0.32711292254561852</v>
      </c>
      <c r="G50" s="1"/>
      <c r="H50" s="1">
        <f>SUM(OSRRefH22_4x_0)</f>
        <v>608.61000000000013</v>
      </c>
      <c r="I50" s="1"/>
      <c r="J50" s="5">
        <f t="shared" si="30"/>
        <v>1.5849808990282713E-2</v>
      </c>
      <c r="K50" s="1"/>
      <c r="L50" s="1">
        <f t="shared" si="31"/>
        <v>442.77999999999975</v>
      </c>
      <c r="M50" s="1"/>
      <c r="N50" s="5">
        <f t="shared" si="32"/>
        <v>0.72752665910845971</v>
      </c>
      <c r="O50" s="13"/>
      <c r="P50" s="1">
        <f>SUM(OSRRefP22_4x_0)</f>
        <v>-17264.54</v>
      </c>
      <c r="Q50" s="1"/>
      <c r="R50" s="5">
        <f t="shared" si="33"/>
        <v>-0.79810262398541421</v>
      </c>
      <c r="S50" s="1"/>
      <c r="T50" s="1">
        <f>SUM(OSRRefT22_4x_0)</f>
        <v>-32698.75</v>
      </c>
      <c r="U50" s="1"/>
      <c r="V50" s="5">
        <f t="shared" si="34"/>
        <v>-0.26815151746758192</v>
      </c>
      <c r="W50" s="1"/>
      <c r="X50" s="1">
        <f t="shared" si="35"/>
        <v>15434.21</v>
      </c>
      <c r="Y50" s="1"/>
      <c r="Z50" s="5">
        <f t="shared" si="36"/>
        <v>-0.47201223288352001</v>
      </c>
    </row>
    <row r="51" spans="1:26" s="24" customFormat="1" hidden="1" outlineLevel="2" x14ac:dyDescent="0.25">
      <c r="A51" s="27"/>
      <c r="B51" s="11" t="str">
        <f>CONCATENATE("          ", "6305", " - ", "FREIGHT OUT")</f>
        <v xml:space="preserve">          6305 - FREIGHT OUT</v>
      </c>
      <c r="C51" s="11"/>
      <c r="D51" s="6">
        <v>3027.18</v>
      </c>
      <c r="E51" s="2"/>
      <c r="F51" s="7">
        <f t="shared" si="29"/>
        <v>0.94182909945086568</v>
      </c>
      <c r="G51" s="2"/>
      <c r="H51" s="6">
        <v>2700.53</v>
      </c>
      <c r="I51" s="2"/>
      <c r="J51" s="7">
        <f t="shared" si="30"/>
        <v>7.03289211030515E-2</v>
      </c>
      <c r="K51" s="2"/>
      <c r="L51" s="6">
        <f t="shared" si="31"/>
        <v>326.64999999999964</v>
      </c>
      <c r="M51" s="2"/>
      <c r="N51" s="7">
        <f t="shared" si="32"/>
        <v>0.12095773792551819</v>
      </c>
      <c r="O51" s="11"/>
      <c r="P51" s="6">
        <v>39411.699999999997</v>
      </c>
      <c r="Q51" s="2"/>
      <c r="R51" s="7">
        <f t="shared" si="33"/>
        <v>1.82191828949546</v>
      </c>
      <c r="S51" s="2"/>
      <c r="T51" s="6">
        <v>39114.47</v>
      </c>
      <c r="U51" s="2"/>
      <c r="V51" s="7">
        <f t="shared" si="34"/>
        <v>0.32076469239466981</v>
      </c>
      <c r="W51" s="2"/>
      <c r="X51" s="6">
        <f t="shared" si="35"/>
        <v>297.22999999999593</v>
      </c>
      <c r="Y51" s="2"/>
      <c r="Z51" s="7">
        <f t="shared" si="36"/>
        <v>7.5989780763997547E-3</v>
      </c>
    </row>
    <row r="52" spans="1:26" s="24" customFormat="1" hidden="1" outlineLevel="2" x14ac:dyDescent="0.25">
      <c r="A52" s="27"/>
      <c r="B52" s="11" t="str">
        <f>CONCATENATE("          ", "6307", " - ", "POSTAGE")</f>
        <v xml:space="preserve">          6307 - POSTAGE</v>
      </c>
      <c r="C52" s="11"/>
      <c r="D52" s="6">
        <v>-1975.79</v>
      </c>
      <c r="E52" s="2"/>
      <c r="F52" s="7">
        <f t="shared" si="29"/>
        <v>-0.61471617690524705</v>
      </c>
      <c r="G52" s="2"/>
      <c r="H52" s="6">
        <v>-2091.92</v>
      </c>
      <c r="I52" s="2"/>
      <c r="J52" s="7">
        <f t="shared" si="30"/>
        <v>-5.4479112112768784E-2</v>
      </c>
      <c r="K52" s="2"/>
      <c r="L52" s="6">
        <f t="shared" si="31"/>
        <v>116.13000000000011</v>
      </c>
      <c r="M52" s="2"/>
      <c r="N52" s="7">
        <f t="shared" si="32"/>
        <v>-5.5513595166163193E-2</v>
      </c>
      <c r="O52" s="11"/>
      <c r="P52" s="6">
        <v>-56676.24</v>
      </c>
      <c r="Q52" s="2"/>
      <c r="R52" s="7">
        <f t="shared" si="33"/>
        <v>-2.6200209134808743</v>
      </c>
      <c r="S52" s="2"/>
      <c r="T52" s="6">
        <v>-71813.22</v>
      </c>
      <c r="U52" s="2"/>
      <c r="V52" s="7">
        <f t="shared" si="34"/>
        <v>-0.58891620986225179</v>
      </c>
      <c r="W52" s="2"/>
      <c r="X52" s="6">
        <f t="shared" si="35"/>
        <v>15136.980000000003</v>
      </c>
      <c r="Y52" s="2"/>
      <c r="Z52" s="7">
        <f t="shared" si="36"/>
        <v>-0.21078263862837515</v>
      </c>
    </row>
    <row r="53" spans="1:26" s="25" customFormat="1" outlineLevel="1" collapsed="1" x14ac:dyDescent="0.25">
      <c r="A53" s="26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SUM(OSRRefD22_5x_0)</f>
        <v>0</v>
      </c>
      <c r="E53" s="1"/>
      <c r="F53" s="5">
        <f t="shared" ref="F53:F59" si="37">IF(D$12=0,0,D53/D$12)</f>
        <v>0</v>
      </c>
      <c r="G53" s="1"/>
      <c r="H53" s="1">
        <f>SUM(OSRRefH22_5x_0)</f>
        <v>0</v>
      </c>
      <c r="I53" s="1"/>
      <c r="J53" s="5">
        <f t="shared" ref="J53:J59" si="38">IF(H$12=0,0,H53/H$12)</f>
        <v>0</v>
      </c>
      <c r="K53" s="1"/>
      <c r="L53" s="1">
        <f t="shared" ref="L53:L59" si="39">+D53-H53</f>
        <v>0</v>
      </c>
      <c r="M53" s="1"/>
      <c r="N53" s="5">
        <f t="shared" ref="N53:N59" si="40">IF(H53=0,0,L53/H53)</f>
        <v>0</v>
      </c>
      <c r="O53" s="13"/>
      <c r="P53" s="1">
        <f>SUM(OSRRefP22_5x_0)</f>
        <v>80.17</v>
      </c>
      <c r="Q53" s="1"/>
      <c r="R53" s="5">
        <f t="shared" ref="R53:R59" si="41">IF(P$12=0,0,P53/P$12)</f>
        <v>3.7060870063674247E-3</v>
      </c>
      <c r="S53" s="1"/>
      <c r="T53" s="1">
        <f>SUM(OSRRefT22_5x_0)</f>
        <v>83.47</v>
      </c>
      <c r="U53" s="1"/>
      <c r="V53" s="5">
        <f t="shared" ref="V53:V59" si="42">IF(T$12=0,0,T53/T$12)</f>
        <v>6.8450956574850916E-4</v>
      </c>
      <c r="W53" s="1"/>
      <c r="X53" s="1">
        <f t="shared" ref="X53:X59" si="43">+P53-T53</f>
        <v>-3.2999999999999972</v>
      </c>
      <c r="Y53" s="1"/>
      <c r="Z53" s="5">
        <f t="shared" ref="Z53:Z59" si="44">IF(T53=0,0,X53/T53)</f>
        <v>-3.9535162333772578E-2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7"/>
        <v>0</v>
      </c>
      <c r="G54" s="2"/>
      <c r="H54" s="6"/>
      <c r="I54" s="2"/>
      <c r="J54" s="7">
        <f t="shared" si="38"/>
        <v>0</v>
      </c>
      <c r="K54" s="2"/>
      <c r="L54" s="6">
        <f t="shared" si="39"/>
        <v>0</v>
      </c>
      <c r="M54" s="2"/>
      <c r="N54" s="7">
        <f t="shared" si="40"/>
        <v>0</v>
      </c>
      <c r="O54" s="11"/>
      <c r="P54" s="6">
        <v>80.17</v>
      </c>
      <c r="Q54" s="2"/>
      <c r="R54" s="7">
        <f t="shared" si="41"/>
        <v>3.7060870063674247E-3</v>
      </c>
      <c r="S54" s="2"/>
      <c r="T54" s="6">
        <v>83.47</v>
      </c>
      <c r="U54" s="2"/>
      <c r="V54" s="7">
        <f t="shared" si="42"/>
        <v>6.8450956574850916E-4</v>
      </c>
      <c r="W54" s="2"/>
      <c r="X54" s="6">
        <f t="shared" si="43"/>
        <v>-3.2999999999999972</v>
      </c>
      <c r="Y54" s="2"/>
      <c r="Z54" s="7">
        <f t="shared" si="44"/>
        <v>-3.9535162333772578E-2</v>
      </c>
    </row>
    <row r="55" spans="1:26" s="25" customFormat="1" outlineLevel="1" collapsed="1" x14ac:dyDescent="0.25">
      <c r="A55" s="26"/>
      <c r="B55" s="13" t="str">
        <f>CONCATENATE("     ","Inventory Adjustment                              ")</f>
        <v xml:space="preserve">     Inventory Adjustment                              </v>
      </c>
      <c r="C55" s="13"/>
      <c r="D55" s="1">
        <f>SUM(OSRRefD22_6x_0)</f>
        <v>100</v>
      </c>
      <c r="E55" s="1"/>
      <c r="F55" s="5">
        <f t="shared" si="37"/>
        <v>3.1112424746822642E-2</v>
      </c>
      <c r="G55" s="1"/>
      <c r="H55" s="1">
        <f>SUM(OSRRefH22_6x_0)</f>
        <v>100</v>
      </c>
      <c r="I55" s="1"/>
      <c r="J55" s="5">
        <f t="shared" si="38"/>
        <v>2.6042636483598219E-3</v>
      </c>
      <c r="K55" s="1"/>
      <c r="L55" s="1">
        <f t="shared" si="39"/>
        <v>0</v>
      </c>
      <c r="M55" s="1"/>
      <c r="N55" s="5">
        <f t="shared" si="40"/>
        <v>0</v>
      </c>
      <c r="O55" s="13"/>
      <c r="P55" s="1">
        <f>SUM(OSRRefP22_6x_0)</f>
        <v>900</v>
      </c>
      <c r="Q55" s="1"/>
      <c r="R55" s="5">
        <f t="shared" si="41"/>
        <v>4.1605068052022978E-2</v>
      </c>
      <c r="S55" s="1"/>
      <c r="T55" s="1">
        <f>SUM(OSRRefT22_6x_0)</f>
        <v>1000</v>
      </c>
      <c r="U55" s="1"/>
      <c r="V55" s="5">
        <f t="shared" si="42"/>
        <v>8.2006656972386394E-3</v>
      </c>
      <c r="W55" s="1"/>
      <c r="X55" s="1">
        <f t="shared" si="43"/>
        <v>-100</v>
      </c>
      <c r="Y55" s="1"/>
      <c r="Z55" s="5">
        <f t="shared" si="44"/>
        <v>-0.1</v>
      </c>
    </row>
    <row r="56" spans="1:26" s="24" customFormat="1" hidden="1" outlineLevel="2" x14ac:dyDescent="0.25">
      <c r="A56" s="27"/>
      <c r="B56" s="11" t="str">
        <f>CONCATENATE("          ", "6408", " - ", "INVENTORY ADJUSTMENT")</f>
        <v xml:space="preserve">          6408 - INVENTORY ADJUSTMENT</v>
      </c>
      <c r="C56" s="11"/>
      <c r="D56" s="6">
        <v>100</v>
      </c>
      <c r="E56" s="2"/>
      <c r="F56" s="7">
        <f t="shared" si="37"/>
        <v>3.1112424746822642E-2</v>
      </c>
      <c r="G56" s="2"/>
      <c r="H56" s="6">
        <v>100</v>
      </c>
      <c r="I56" s="2"/>
      <c r="J56" s="7">
        <f t="shared" si="38"/>
        <v>2.6042636483598219E-3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>
        <v>900</v>
      </c>
      <c r="Q56" s="2"/>
      <c r="R56" s="7">
        <f t="shared" si="41"/>
        <v>4.1605068052022978E-2</v>
      </c>
      <c r="S56" s="2"/>
      <c r="T56" s="6">
        <v>1000</v>
      </c>
      <c r="U56" s="2"/>
      <c r="V56" s="7">
        <f t="shared" si="42"/>
        <v>8.2006656972386394E-3</v>
      </c>
      <c r="W56" s="2"/>
      <c r="X56" s="6">
        <f t="shared" si="43"/>
        <v>-100</v>
      </c>
      <c r="Y56" s="2"/>
      <c r="Z56" s="7">
        <f t="shared" si="44"/>
        <v>-0.1</v>
      </c>
    </row>
    <row r="57" spans="1:26" s="25" customFormat="1" outlineLevel="1" collapsed="1" x14ac:dyDescent="0.25">
      <c r="A57" s="26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SUM(OSRRefD22_7x_0)</f>
        <v>342.38</v>
      </c>
      <c r="E57" s="1"/>
      <c r="F57" s="5">
        <f t="shared" si="37"/>
        <v>0.10652271984817137</v>
      </c>
      <c r="G57" s="1"/>
      <c r="H57" s="1">
        <f>SUM(OSRRefH22_7x_0)</f>
        <v>688.84</v>
      </c>
      <c r="I57" s="1"/>
      <c r="J57" s="5">
        <f t="shared" si="38"/>
        <v>1.7939209715361799E-2</v>
      </c>
      <c r="K57" s="1"/>
      <c r="L57" s="1">
        <f t="shared" si="39"/>
        <v>-346.46000000000004</v>
      </c>
      <c r="M57" s="1"/>
      <c r="N57" s="5">
        <f t="shared" si="40"/>
        <v>-0.50296150049358346</v>
      </c>
      <c r="O57" s="13"/>
      <c r="P57" s="1">
        <f>SUM(OSRRefP22_7x_0)</f>
        <v>7933.7800000000007</v>
      </c>
      <c r="Q57" s="1"/>
      <c r="R57" s="5">
        <f t="shared" si="41"/>
        <v>0.3667616186775321</v>
      </c>
      <c r="S57" s="1"/>
      <c r="T57" s="1">
        <f>SUM(OSRRefT22_7x_0)</f>
        <v>11648.119999999999</v>
      </c>
      <c r="U57" s="1"/>
      <c r="V57" s="5">
        <f t="shared" si="42"/>
        <v>9.5522338121319328E-2</v>
      </c>
      <c r="W57" s="1"/>
      <c r="X57" s="1">
        <f t="shared" si="43"/>
        <v>-3714.3399999999983</v>
      </c>
      <c r="Y57" s="1"/>
      <c r="Z57" s="5">
        <f t="shared" si="44"/>
        <v>-0.31887892638468684</v>
      </c>
    </row>
    <row r="58" spans="1:26" s="24" customFormat="1" hidden="1" outlineLevel="2" x14ac:dyDescent="0.25">
      <c r="A58" s="27"/>
      <c r="B58" s="11" t="str">
        <f>CONCATENATE("          ", "6241", " - ", "OFFICE EXPENSE")</f>
        <v xml:space="preserve">          6241 - OFFICE EXPENSE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135.26</v>
      </c>
      <c r="Q58" s="2"/>
      <c r="R58" s="7">
        <f t="shared" si="41"/>
        <v>6.2527794496851415E-3</v>
      </c>
      <c r="S58" s="2"/>
      <c r="T58" s="6">
        <v>21.24</v>
      </c>
      <c r="U58" s="2"/>
      <c r="V58" s="7">
        <f t="shared" si="42"/>
        <v>1.7418213940934867E-4</v>
      </c>
      <c r="W58" s="2"/>
      <c r="X58" s="6">
        <f t="shared" si="43"/>
        <v>114.02</v>
      </c>
      <c r="Y58" s="2"/>
      <c r="Z58" s="7">
        <f t="shared" si="44"/>
        <v>5.3681732580037664</v>
      </c>
    </row>
    <row r="59" spans="1:26" s="24" customFormat="1" hidden="1" outlineLevel="2" x14ac:dyDescent="0.25">
      <c r="A59" s="27"/>
      <c r="B59" s="11" t="str">
        <f>CONCATENATE("          ", "6247", " - ", "STORE SUPPLIES")</f>
        <v xml:space="preserve">          6247 - STORE SUPPLIES</v>
      </c>
      <c r="C59" s="11"/>
      <c r="D59" s="6">
        <v>342.38</v>
      </c>
      <c r="E59" s="2"/>
      <c r="F59" s="7">
        <f t="shared" si="37"/>
        <v>0.10652271984817137</v>
      </c>
      <c r="G59" s="2"/>
      <c r="H59" s="6">
        <v>688.84</v>
      </c>
      <c r="I59" s="2"/>
      <c r="J59" s="7">
        <f t="shared" si="38"/>
        <v>1.7939209715361799E-2</v>
      </c>
      <c r="K59" s="2"/>
      <c r="L59" s="6">
        <f t="shared" si="39"/>
        <v>-346.46000000000004</v>
      </c>
      <c r="M59" s="2"/>
      <c r="N59" s="7">
        <f t="shared" si="40"/>
        <v>-0.50296150049358346</v>
      </c>
      <c r="O59" s="11"/>
      <c r="P59" s="6">
        <v>7798.52</v>
      </c>
      <c r="Q59" s="2"/>
      <c r="R59" s="7">
        <f t="shared" si="41"/>
        <v>0.36050883922784693</v>
      </c>
      <c r="S59" s="2"/>
      <c r="T59" s="6">
        <v>11626.88</v>
      </c>
      <c r="U59" s="2"/>
      <c r="V59" s="7">
        <f t="shared" si="42"/>
        <v>9.5348155981909974E-2</v>
      </c>
      <c r="W59" s="2"/>
      <c r="X59" s="6">
        <f t="shared" si="43"/>
        <v>-3828.3599999999988</v>
      </c>
      <c r="Y59" s="2"/>
      <c r="Z59" s="7">
        <f t="shared" si="44"/>
        <v>-0.32926804095337692</v>
      </c>
    </row>
    <row r="60" spans="1:26" s="25" customFormat="1" outlineLevel="1" collapsed="1" x14ac:dyDescent="0.25">
      <c r="A60" s="26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SUM(OSRRefD22_8x_0)</f>
        <v>36.75</v>
      </c>
      <c r="E60" s="1"/>
      <c r="F60" s="5">
        <f t="shared" ref="F60:F61" si="45">IF(D$12=0,0,D60/D$12)</f>
        <v>1.1433816094457322E-2</v>
      </c>
      <c r="G60" s="1"/>
      <c r="H60" s="1">
        <f>SUM(OSRRefH22_8x_0)</f>
        <v>109.3</v>
      </c>
      <c r="I60" s="1"/>
      <c r="J60" s="5">
        <f t="shared" ref="J60:J61" si="46">IF(H$12=0,0,H60/H$12)</f>
        <v>2.8464601676572851E-3</v>
      </c>
      <c r="K60" s="1"/>
      <c r="L60" s="1">
        <f t="shared" ref="L60:L61" si="47">+D60-H60</f>
        <v>-72.55</v>
      </c>
      <c r="M60" s="1"/>
      <c r="N60" s="5">
        <f t="shared" ref="N60:N61" si="48">IF(H60=0,0,L60/H60)</f>
        <v>-0.66376944190301923</v>
      </c>
      <c r="O60" s="13"/>
      <c r="P60" s="1">
        <f>SUM(OSRRefP22_8x_0)</f>
        <v>577.9</v>
      </c>
      <c r="Q60" s="1"/>
      <c r="R60" s="5">
        <f t="shared" ref="R60:R61" si="49">IF(P$12=0,0,P60/P$12)</f>
        <v>2.6715076474737864E-2</v>
      </c>
      <c r="S60" s="1"/>
      <c r="T60" s="1">
        <f>SUM(OSRRefT22_8x_0)</f>
        <v>1548.6</v>
      </c>
      <c r="U60" s="1"/>
      <c r="V60" s="5">
        <f t="shared" ref="V60:V61" si="50">IF(T$12=0,0,T60/T$12)</f>
        <v>1.2699550898743755E-2</v>
      </c>
      <c r="W60" s="1"/>
      <c r="X60" s="1">
        <f t="shared" ref="X60:X61" si="51">+P60-T60</f>
        <v>-970.69999999999993</v>
      </c>
      <c r="Y60" s="1"/>
      <c r="Z60" s="5">
        <f t="shared" ref="Z60:Z61" si="52">IF(T60=0,0,X60/T60)</f>
        <v>-0.62682422833527052</v>
      </c>
    </row>
    <row r="61" spans="1:26" s="24" customFormat="1" hidden="1" outlineLevel="2" x14ac:dyDescent="0.25">
      <c r="A61" s="27"/>
      <c r="B61" s="11" t="str">
        <f>CONCATENATE("          ", "6309", " - ", "TELEPHONE")</f>
        <v xml:space="preserve">          6309 - TELEPHONE</v>
      </c>
      <c r="C61" s="11"/>
      <c r="D61" s="6">
        <v>36.75</v>
      </c>
      <c r="E61" s="2"/>
      <c r="F61" s="7">
        <f t="shared" si="45"/>
        <v>1.1433816094457322E-2</v>
      </c>
      <c r="G61" s="2"/>
      <c r="H61" s="6">
        <v>109.3</v>
      </c>
      <c r="I61" s="2"/>
      <c r="J61" s="7">
        <f t="shared" si="46"/>
        <v>2.8464601676572851E-3</v>
      </c>
      <c r="K61" s="2"/>
      <c r="L61" s="6">
        <f t="shared" si="47"/>
        <v>-72.55</v>
      </c>
      <c r="M61" s="2"/>
      <c r="N61" s="7">
        <f t="shared" si="48"/>
        <v>-0.66376944190301923</v>
      </c>
      <c r="O61" s="11"/>
      <c r="P61" s="6">
        <v>577.9</v>
      </c>
      <c r="Q61" s="2"/>
      <c r="R61" s="7">
        <f t="shared" si="49"/>
        <v>2.6715076474737864E-2</v>
      </c>
      <c r="S61" s="2"/>
      <c r="T61" s="6">
        <v>1548.6</v>
      </c>
      <c r="U61" s="2"/>
      <c r="V61" s="7">
        <f t="shared" si="50"/>
        <v>1.2699550898743755E-2</v>
      </c>
      <c r="W61" s="2"/>
      <c r="X61" s="6">
        <f t="shared" si="51"/>
        <v>-970.69999999999993</v>
      </c>
      <c r="Y61" s="2"/>
      <c r="Z61" s="7">
        <f t="shared" si="52"/>
        <v>-0.62682422833527052</v>
      </c>
    </row>
    <row r="62" spans="1:26" s="53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9" t="s">
        <v>0</v>
      </c>
      <c r="C63" s="10"/>
      <c r="D63" s="4">
        <f>SUM(OSRRefD25x_0)</f>
        <v>345861.98</v>
      </c>
      <c r="E63" s="4"/>
      <c r="F63" s="12">
        <f t="shared" ref="F63:F68" si="53">IF(D$12=0,0,D63/D$12)</f>
        <v>107.60604825537078</v>
      </c>
      <c r="G63" s="4"/>
      <c r="H63" s="4">
        <f>SUM(OSRRefH25x_0)</f>
        <v>118900.04999999999</v>
      </c>
      <c r="I63" s="4"/>
      <c r="J63" s="12">
        <f t="shared" ref="J63:J68" si="54">IF(H$12=0,0,H63/H$12)</f>
        <v>3.0964707800316518</v>
      </c>
      <c r="K63" s="4"/>
      <c r="L63" s="4">
        <f t="shared" ref="L63:L68" si="55">+D63-H63</f>
        <v>226961.93</v>
      </c>
      <c r="M63" s="4"/>
      <c r="N63" s="12">
        <f t="shared" ref="N63:N68" si="56">IF(H63=0,0,L63/H63)</f>
        <v>1.9088463797954669</v>
      </c>
      <c r="O63" s="10"/>
      <c r="P63" s="4">
        <f>SUM(OSRRefP25x_0)</f>
        <v>458637.81</v>
      </c>
      <c r="Q63" s="4"/>
      <c r="R63" s="12">
        <f t="shared" ref="R63:R68" si="57">IF(P$12=0,0,P63/P$12)</f>
        <v>21.201841440311984</v>
      </c>
      <c r="S63" s="4"/>
      <c r="T63" s="4">
        <f>SUM(OSRRefT25x_0)</f>
        <v>501175.6</v>
      </c>
      <c r="U63" s="4"/>
      <c r="V63" s="12">
        <f t="shared" ref="V63:V68" si="58">IF(T$12=0,0,T63/T$12)</f>
        <v>4.1099735512129927</v>
      </c>
      <c r="W63" s="4"/>
      <c r="X63" s="4">
        <f t="shared" ref="X63:X68" si="59">+P63-T63</f>
        <v>-42537.789999999979</v>
      </c>
      <c r="Y63" s="4"/>
      <c r="Z63" s="12">
        <f t="shared" ref="Z63:Z68" si="60">IF(T63=0,0,X63/T63)</f>
        <v>-8.4876019502944641E-2</v>
      </c>
    </row>
    <row r="64" spans="1:26" s="24" customFormat="1" hidden="1" outlineLevel="1" x14ac:dyDescent="0.25">
      <c r="A64" s="44"/>
      <c r="B64" s="11" t="str">
        <f>CONCATENATE("          ", "4098", " - ", "TAXABLE SALES-GRAD RENTALS")</f>
        <v xml:space="preserve">          4098 - TAXABLE SALES-GRAD RENTALS</v>
      </c>
      <c r="C64" s="11"/>
      <c r="D64" s="2">
        <f t="shared" ref="D64:D65" si="61">0</f>
        <v>0</v>
      </c>
      <c r="E64" s="2"/>
      <c r="F64" s="19">
        <f t="shared" si="53"/>
        <v>0</v>
      </c>
      <c r="G64" s="2"/>
      <c r="H64" s="2">
        <f>--1176.5</f>
        <v>1176.5</v>
      </c>
      <c r="I64" s="2"/>
      <c r="J64" s="19">
        <f t="shared" si="54"/>
        <v>3.0639161822953304E-2</v>
      </c>
      <c r="K64" s="2"/>
      <c r="L64" s="2">
        <f t="shared" si="55"/>
        <v>-1176.5</v>
      </c>
      <c r="M64" s="2"/>
      <c r="N64" s="19">
        <f t="shared" si="56"/>
        <v>-1</v>
      </c>
      <c r="O64" s="11"/>
      <c r="P64" s="2">
        <f>--2098.85</f>
        <v>2098.85</v>
      </c>
      <c r="Q64" s="2"/>
      <c r="R64" s="19">
        <f t="shared" si="57"/>
        <v>9.7025330089987136E-2</v>
      </c>
      <c r="S64" s="2"/>
      <c r="T64" s="2">
        <f>--7074</f>
        <v>7074</v>
      </c>
      <c r="U64" s="2"/>
      <c r="V64" s="19">
        <f t="shared" si="58"/>
        <v>5.8011509142266132E-2</v>
      </c>
      <c r="W64" s="2"/>
      <c r="X64" s="2">
        <f t="shared" si="59"/>
        <v>-4975.1499999999996</v>
      </c>
      <c r="Y64" s="2"/>
      <c r="Z64" s="19">
        <f t="shared" si="60"/>
        <v>-0.70330081990387328</v>
      </c>
    </row>
    <row r="65" spans="1:26" s="24" customFormat="1" hidden="1" outlineLevel="1" x14ac:dyDescent="0.25">
      <c r="A65" s="44"/>
      <c r="B65" s="11" t="str">
        <f>CONCATENATE("          ", "4197", " - ", "NON-TAXABLE SALES-RETURNED CHE")</f>
        <v xml:space="preserve">          4197 - NON-TAXABLE SALES-RETURNED CHE</v>
      </c>
      <c r="C65" s="11"/>
      <c r="D65" s="2">
        <f t="shared" si="61"/>
        <v>0</v>
      </c>
      <c r="E65" s="2"/>
      <c r="F65" s="19">
        <f t="shared" si="53"/>
        <v>0</v>
      </c>
      <c r="G65" s="2"/>
      <c r="H65" s="2">
        <f>0</f>
        <v>0</v>
      </c>
      <c r="I65" s="2"/>
      <c r="J65" s="19">
        <f t="shared" si="54"/>
        <v>0</v>
      </c>
      <c r="K65" s="2"/>
      <c r="L65" s="2">
        <f t="shared" si="55"/>
        <v>0</v>
      </c>
      <c r="M65" s="2"/>
      <c r="N65" s="19">
        <f t="shared" si="56"/>
        <v>0</v>
      </c>
      <c r="O65" s="11"/>
      <c r="P65" s="2">
        <f>--30</f>
        <v>30</v>
      </c>
      <c r="Q65" s="2"/>
      <c r="R65" s="19">
        <f t="shared" si="57"/>
        <v>1.3868356017340993E-3</v>
      </c>
      <c r="S65" s="2"/>
      <c r="T65" s="2">
        <f>--335</f>
        <v>335</v>
      </c>
      <c r="U65" s="2"/>
      <c r="V65" s="19">
        <f t="shared" si="58"/>
        <v>2.7472230085749437E-3</v>
      </c>
      <c r="W65" s="2"/>
      <c r="X65" s="2">
        <f t="shared" si="59"/>
        <v>-305</v>
      </c>
      <c r="Y65" s="2"/>
      <c r="Z65" s="19">
        <f t="shared" si="60"/>
        <v>-0.91044776119402981</v>
      </c>
    </row>
    <row r="66" spans="1:26" s="24" customFormat="1" hidden="1" outlineLevel="1" x14ac:dyDescent="0.25">
      <c r="A66" s="44"/>
      <c r="B66" s="11" t="str">
        <f>CONCATENATE("          ", "4198", " - ", "NON-TAXABLE SALES-GRAD RENTALS")</f>
        <v xml:space="preserve">          4198 - NON-TAXABLE SALES-GRAD RENTALS</v>
      </c>
      <c r="C66" s="11"/>
      <c r="D66" s="2">
        <f>-98.64</f>
        <v>-98.64</v>
      </c>
      <c r="E66" s="2"/>
      <c r="F66" s="19">
        <f t="shared" si="53"/>
        <v>-3.0689295770265856E-2</v>
      </c>
      <c r="G66" s="2"/>
      <c r="H66" s="2">
        <f>--132723.55</f>
        <v>132723.54999999999</v>
      </c>
      <c r="I66" s="2"/>
      <c r="J66" s="19">
        <f t="shared" si="54"/>
        <v>3.4564711654626721</v>
      </c>
      <c r="K66" s="2"/>
      <c r="L66" s="2">
        <f t="shared" si="55"/>
        <v>-132822.19</v>
      </c>
      <c r="M66" s="2"/>
      <c r="N66" s="19">
        <f t="shared" si="56"/>
        <v>-1.0007431989273947</v>
      </c>
      <c r="O66" s="11"/>
      <c r="P66" s="2">
        <f>--3633.46</f>
        <v>3633.46</v>
      </c>
      <c r="Q66" s="2"/>
      <c r="R66" s="19">
        <f t="shared" si="57"/>
        <v>0.16796705618255933</v>
      </c>
      <c r="S66" s="2"/>
      <c r="T66" s="2">
        <f>--384565.85</f>
        <v>384565.85</v>
      </c>
      <c r="U66" s="2"/>
      <c r="V66" s="19">
        <f t="shared" si="58"/>
        <v>3.1536959744244193</v>
      </c>
      <c r="W66" s="2"/>
      <c r="X66" s="2">
        <f t="shared" si="59"/>
        <v>-380932.38999999996</v>
      </c>
      <c r="Y66" s="2"/>
      <c r="Z66" s="19">
        <f t="shared" si="60"/>
        <v>-0.99055178716466885</v>
      </c>
    </row>
    <row r="67" spans="1:26" s="24" customFormat="1" hidden="1" outlineLevel="1" x14ac:dyDescent="0.25">
      <c r="A67" s="44"/>
      <c r="B67" s="11" t="str">
        <f>CONCATENATE("          ", "9160", " - ", "MISC. INCOME")</f>
        <v xml:space="preserve">          9160 - MISC. INCOME</v>
      </c>
      <c r="C67" s="11"/>
      <c r="D67" s="2">
        <f>0</f>
        <v>0</v>
      </c>
      <c r="E67" s="2"/>
      <c r="F67" s="19">
        <f t="shared" si="53"/>
        <v>0</v>
      </c>
      <c r="G67" s="2"/>
      <c r="H67" s="2">
        <f>0</f>
        <v>0</v>
      </c>
      <c r="I67" s="2"/>
      <c r="J67" s="19">
        <f t="shared" si="54"/>
        <v>0</v>
      </c>
      <c r="K67" s="2"/>
      <c r="L67" s="2">
        <f t="shared" si="55"/>
        <v>0</v>
      </c>
      <c r="M67" s="2"/>
      <c r="N67" s="19">
        <f t="shared" si="56"/>
        <v>0</v>
      </c>
      <c r="O67" s="11"/>
      <c r="P67" s="2">
        <f>--22475</f>
        <v>22475</v>
      </c>
      <c r="Q67" s="2"/>
      <c r="R67" s="19">
        <f t="shared" si="57"/>
        <v>1.0389710049657961</v>
      </c>
      <c r="S67" s="2"/>
      <c r="T67" s="2">
        <f>--40870</f>
        <v>40870</v>
      </c>
      <c r="U67" s="2"/>
      <c r="V67" s="19">
        <f t="shared" si="58"/>
        <v>0.33516120704614316</v>
      </c>
      <c r="W67" s="2"/>
      <c r="X67" s="2">
        <f t="shared" si="59"/>
        <v>-18395</v>
      </c>
      <c r="Y67" s="2"/>
      <c r="Z67" s="19">
        <f t="shared" si="60"/>
        <v>-0.45008563738683632</v>
      </c>
    </row>
    <row r="68" spans="1:26" s="24" customFormat="1" hidden="1" outlineLevel="1" x14ac:dyDescent="0.25">
      <c r="A68" s="44"/>
      <c r="B68" s="11" t="str">
        <f>CONCATENATE("          ", "9163", " - ", "MISC. INCOME")</f>
        <v xml:space="preserve">          9163 - MISC. INCOME</v>
      </c>
      <c r="C68" s="11"/>
      <c r="D68" s="2">
        <f>--345960.62</f>
        <v>345960.62</v>
      </c>
      <c r="E68" s="2"/>
      <c r="F68" s="19">
        <f t="shared" si="53"/>
        <v>107.63673755114104</v>
      </c>
      <c r="G68" s="2"/>
      <c r="H68" s="2">
        <f>-15000</f>
        <v>-15000</v>
      </c>
      <c r="I68" s="2"/>
      <c r="J68" s="19">
        <f t="shared" si="54"/>
        <v>-0.39063954725397326</v>
      </c>
      <c r="K68" s="2"/>
      <c r="L68" s="2">
        <f t="shared" si="55"/>
        <v>360960.62</v>
      </c>
      <c r="M68" s="2"/>
      <c r="N68" s="19">
        <f t="shared" si="56"/>
        <v>-24.064041333333332</v>
      </c>
      <c r="O68" s="11"/>
      <c r="P68" s="2">
        <f>--430400.5</f>
        <v>430400.5</v>
      </c>
      <c r="Q68" s="2"/>
      <c r="R68" s="19">
        <f t="shared" si="57"/>
        <v>19.896491213471908</v>
      </c>
      <c r="S68" s="2"/>
      <c r="T68" s="2">
        <f>--68330.75</f>
        <v>68330.75</v>
      </c>
      <c r="U68" s="2"/>
      <c r="V68" s="19">
        <f t="shared" si="58"/>
        <v>0.56035763759158908</v>
      </c>
      <c r="W68" s="2"/>
      <c r="X68" s="2">
        <f t="shared" si="59"/>
        <v>362069.75</v>
      </c>
      <c r="Y68" s="2"/>
      <c r="Z68" s="19">
        <f t="shared" si="60"/>
        <v>5.2987820271254158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1">
        <f>+D27-D29+D63</f>
        <v>346340.39999999997</v>
      </c>
      <c r="E70" s="14"/>
      <c r="F70" s="20">
        <f>IF(D$12=0,0,D70/D$12)</f>
        <v>107.75489631784451</v>
      </c>
      <c r="G70" s="14"/>
      <c r="H70" s="21">
        <f>+H27-H29+H63</f>
        <v>138261.59999999998</v>
      </c>
      <c r="I70" s="14"/>
      <c r="J70" s="20">
        <f>IF(H$12=0,0,H70/H$12)</f>
        <v>3.6006965884406625</v>
      </c>
      <c r="K70" s="15"/>
      <c r="L70" s="21">
        <f>+D70-H70</f>
        <v>208078.8</v>
      </c>
      <c r="M70" s="15"/>
      <c r="N70" s="20">
        <f>IF(H70=0,0,L70/H70)</f>
        <v>1.5049645020743287</v>
      </c>
      <c r="O70" s="29"/>
      <c r="P70" s="21">
        <f>+P27-P29+P63</f>
        <v>469873.74</v>
      </c>
      <c r="Q70" s="14"/>
      <c r="R70" s="20">
        <f>IF(P$12=0,0,P70/P$12)</f>
        <v>21.721254365065057</v>
      </c>
      <c r="S70" s="14"/>
      <c r="T70" s="21">
        <f>+T27-T29+T63</f>
        <v>569095.32999999996</v>
      </c>
      <c r="U70" s="14"/>
      <c r="V70" s="20">
        <f>IF(T$12=0,0,T70/T$12)</f>
        <v>4.6669605511897023</v>
      </c>
      <c r="W70" s="15"/>
      <c r="X70" s="21">
        <f>+P70-T70</f>
        <v>-99221.589999999967</v>
      </c>
      <c r="Y70" s="15"/>
      <c r="Z70" s="20">
        <f>IF(T70=0,0,X70/T70)</f>
        <v>-0.17434968232826648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482.64</v>
      </c>
      <c r="E72" s="4"/>
      <c r="F72" s="12">
        <f>IF(D$12=0,0,D72/D$12)</f>
        <v>0.15016100679806479</v>
      </c>
      <c r="G72" s="4"/>
      <c r="H72" s="4">
        <v>4074.24</v>
      </c>
      <c r="I72" s="4"/>
      <c r="J72" s="12">
        <f>IF(H$12=0,0,H72/H$12)</f>
        <v>0.1061039512669352</v>
      </c>
      <c r="K72" s="4"/>
      <c r="L72" s="4">
        <f>+D72-H72</f>
        <v>-3591.6</v>
      </c>
      <c r="M72" s="4"/>
      <c r="N72" s="12">
        <f>IF(H72=0,0,L72/H72)</f>
        <v>-0.88153864278982097</v>
      </c>
      <c r="O72" s="10"/>
      <c r="P72" s="4">
        <v>2456.16</v>
      </c>
      <c r="Q72" s="4"/>
      <c r="R72" s="12">
        <f>IF(P$12=0,0,P72/P$12)</f>
        <v>0.11354300438517417</v>
      </c>
      <c r="S72" s="4"/>
      <c r="T72" s="4">
        <v>12676.84</v>
      </c>
      <c r="U72" s="4"/>
      <c r="V72" s="12">
        <f>IF(T$12=0,0,T72/T$12)</f>
        <v>0.10395852693738267</v>
      </c>
      <c r="W72" s="4"/>
      <c r="X72" s="4">
        <f>+P72-T72</f>
        <v>-10220.68</v>
      </c>
      <c r="Y72" s="4"/>
      <c r="Z72" s="12">
        <f>IF(T72=0,0,X72/T72)</f>
        <v>-0.80624824483073065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0">
        <f>+D70-D72</f>
        <v>345857.75999999995</v>
      </c>
      <c r="E74" s="14"/>
      <c r="F74" s="36">
        <f>IF(D$12=0,0,D74/D$12)</f>
        <v>107.60473531104645</v>
      </c>
      <c r="G74" s="14"/>
      <c r="H74" s="30">
        <f>+H70-H72</f>
        <v>134187.35999999999</v>
      </c>
      <c r="I74" s="14"/>
      <c r="J74" s="36">
        <f>IF(H$12=0,0,H74/H$12)</f>
        <v>3.4945926371737279</v>
      </c>
      <c r="K74" s="15"/>
      <c r="L74" s="30">
        <f>D74-H74</f>
        <v>211670.39999999997</v>
      </c>
      <c r="M74" s="15"/>
      <c r="N74" s="36">
        <f>IF(H74=0,0,L74/H74)</f>
        <v>1.5774242819890039</v>
      </c>
      <c r="O74" s="29"/>
      <c r="P74" s="30">
        <f>+P70-P72</f>
        <v>467417.58</v>
      </c>
      <c r="Q74" s="14"/>
      <c r="R74" s="36">
        <f>IF(P$12=0,0,P74/P$12)</f>
        <v>21.607711360679883</v>
      </c>
      <c r="S74" s="14"/>
      <c r="T74" s="30">
        <f>+T70-T72</f>
        <v>556418.49</v>
      </c>
      <c r="U74" s="14"/>
      <c r="V74" s="36">
        <f>IF(T$12=0,0,T74/T$12)</f>
        <v>4.5630020242523202</v>
      </c>
      <c r="W74" s="15"/>
      <c r="X74" s="30">
        <f>P74-T74</f>
        <v>-89000.909999999974</v>
      </c>
      <c r="Y74" s="15"/>
      <c r="Z74" s="36">
        <f>IF(T74=0,0,X74/T74)</f>
        <v>-0.15995318559597108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1">
        <f>SUM(D74:D76)</f>
        <v>345857.75999999995</v>
      </c>
      <c r="E77" s="14"/>
      <c r="F77" s="32">
        <f>IF(D$12=0,0,D77/D$12)</f>
        <v>107.60473531104645</v>
      </c>
      <c r="G77" s="14"/>
      <c r="H77" s="31">
        <f>SUM(H74:H76)</f>
        <v>134187.35999999999</v>
      </c>
      <c r="I77" s="14"/>
      <c r="J77" s="32">
        <f>IF(H$12=0,0,H77/H$12)</f>
        <v>3.4945926371737279</v>
      </c>
      <c r="K77" s="15"/>
      <c r="L77" s="31">
        <f>+D77-H77</f>
        <v>211670.39999999997</v>
      </c>
      <c r="M77" s="15"/>
      <c r="N77" s="32">
        <f>IF(H77=0,0,L77/H77)</f>
        <v>1.5774242819890039</v>
      </c>
      <c r="O77" s="29"/>
      <c r="P77" s="31">
        <f>SUM(P74:P76)</f>
        <v>467417.58</v>
      </c>
      <c r="Q77" s="14"/>
      <c r="R77" s="32">
        <f>IF(P$12=0,0,P77/P$12)</f>
        <v>21.607711360679883</v>
      </c>
      <c r="S77" s="14"/>
      <c r="T77" s="31">
        <f>SUM(T74:T76)</f>
        <v>556418.49</v>
      </c>
      <c r="U77" s="14"/>
      <c r="V77" s="32">
        <f>IF(T$12=0,0,T77/T$12)</f>
        <v>4.5630020242523202</v>
      </c>
      <c r="W77" s="15"/>
      <c r="X77" s="31">
        <f>+P77-T77</f>
        <v>-89000.909999999974</v>
      </c>
      <c r="Y77" s="15"/>
      <c r="Z77" s="32">
        <f>IF(T77=0,0,X77/T77)</f>
        <v>-0.15995318559597108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4">
        <v>43965.471076469905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9" t="s">
        <v>313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1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303589.27999999991</v>
      </c>
      <c r="E12" s="4"/>
      <c r="F12" s="12"/>
      <c r="G12" s="4"/>
      <c r="H12" s="4">
        <f>SUM(OSRRefH13x_0)</f>
        <v>242623.30000000002</v>
      </c>
      <c r="I12" s="4"/>
      <c r="J12" s="12"/>
      <c r="K12" s="4"/>
      <c r="L12" s="4">
        <f t="shared" ref="L12:L36" si="0">+D12-H12</f>
        <v>60965.979999999894</v>
      </c>
      <c r="M12" s="4"/>
      <c r="N12" s="12">
        <f t="shared" ref="N12:N36" si="1">IF(H12=0,0,L12/H12)</f>
        <v>0.25127833971428093</v>
      </c>
      <c r="O12" s="10"/>
      <c r="P12" s="4">
        <f>SUM(OSRRefP13x_0)</f>
        <v>2341923.7299999995</v>
      </c>
      <c r="Q12" s="4"/>
      <c r="R12" s="12"/>
      <c r="S12" s="4"/>
      <c r="T12" s="4">
        <f>SUM(OSRRefT13x_0)</f>
        <v>2360023.7199999993</v>
      </c>
      <c r="U12" s="4"/>
      <c r="V12" s="12"/>
      <c r="W12" s="4"/>
      <c r="X12" s="4">
        <f t="shared" ref="X12:X36" si="2">+P12-T12</f>
        <v>-18099.989999999758</v>
      </c>
      <c r="Y12" s="4"/>
      <c r="Z12" s="12">
        <f t="shared" ref="Z12:Z36" si="3">IF(T12=0,0,X12/T12)</f>
        <v>-7.6694102040634421E-3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--705.97</f>
        <v>705.97</v>
      </c>
      <c r="E13" s="2"/>
      <c r="F13" s="19"/>
      <c r="G13" s="2"/>
      <c r="H13" s="2">
        <f>--7766.49</f>
        <v>7766.49</v>
      </c>
      <c r="I13" s="2"/>
      <c r="J13" s="19"/>
      <c r="K13" s="2"/>
      <c r="L13" s="2">
        <f t="shared" si="0"/>
        <v>-7060.5199999999995</v>
      </c>
      <c r="M13" s="2"/>
      <c r="N13" s="19">
        <f t="shared" si="1"/>
        <v>-0.90910050743643522</v>
      </c>
      <c r="O13" s="11"/>
      <c r="P13" s="2">
        <f>--311903.09</f>
        <v>311903.09000000003</v>
      </c>
      <c r="Q13" s="2"/>
      <c r="R13" s="19"/>
      <c r="S13" s="2"/>
      <c r="T13" s="2">
        <f>--225088.39</f>
        <v>225088.39</v>
      </c>
      <c r="U13" s="2"/>
      <c r="V13" s="19"/>
      <c r="W13" s="2"/>
      <c r="X13" s="2">
        <f t="shared" si="2"/>
        <v>86814.700000000012</v>
      </c>
      <c r="Y13" s="2"/>
      <c r="Z13" s="19">
        <f t="shared" si="3"/>
        <v>0.38569159431101713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--265200.65</f>
        <v>265200.65000000002</v>
      </c>
      <c r="E14" s="2"/>
      <c r="F14" s="19"/>
      <c r="G14" s="2"/>
      <c r="H14" s="2">
        <f>--201817.6</f>
        <v>201817.60000000001</v>
      </c>
      <c r="I14" s="2"/>
      <c r="J14" s="19"/>
      <c r="K14" s="2"/>
      <c r="L14" s="2">
        <f t="shared" si="0"/>
        <v>63383.050000000017</v>
      </c>
      <c r="M14" s="2"/>
      <c r="N14" s="19">
        <f t="shared" si="1"/>
        <v>0.31406106305892062</v>
      </c>
      <c r="O14" s="11"/>
      <c r="P14" s="2">
        <f>--1926309.68</f>
        <v>1926309.68</v>
      </c>
      <c r="Q14" s="2"/>
      <c r="R14" s="19"/>
      <c r="S14" s="2"/>
      <c r="T14" s="2">
        <f>--1738512.57</f>
        <v>1738512.57</v>
      </c>
      <c r="U14" s="2"/>
      <c r="V14" s="19"/>
      <c r="W14" s="2"/>
      <c r="X14" s="2">
        <f t="shared" si="2"/>
        <v>187797.10999999987</v>
      </c>
      <c r="Y14" s="2"/>
      <c r="Z14" s="19">
        <f t="shared" si="3"/>
        <v>0.10802171536786752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--2895.75</f>
        <v>2895.75</v>
      </c>
      <c r="E15" s="2"/>
      <c r="F15" s="19"/>
      <c r="G15" s="2"/>
      <c r="H15" s="2">
        <f>--5368.89</f>
        <v>5368.89</v>
      </c>
      <c r="I15" s="2"/>
      <c r="J15" s="19"/>
      <c r="K15" s="2"/>
      <c r="L15" s="2">
        <f t="shared" si="0"/>
        <v>-2473.1400000000003</v>
      </c>
      <c r="M15" s="2"/>
      <c r="N15" s="19">
        <f t="shared" si="1"/>
        <v>-0.46064270268155993</v>
      </c>
      <c r="O15" s="11"/>
      <c r="P15" s="2">
        <f>--102864.07</f>
        <v>102864.07</v>
      </c>
      <c r="Q15" s="2"/>
      <c r="R15" s="19"/>
      <c r="S15" s="2"/>
      <c r="T15" s="2">
        <f>--121851.39</f>
        <v>121851.39</v>
      </c>
      <c r="U15" s="2"/>
      <c r="V15" s="19"/>
      <c r="W15" s="2"/>
      <c r="X15" s="2">
        <f t="shared" si="2"/>
        <v>-18987.319999999992</v>
      </c>
      <c r="Y15" s="2"/>
      <c r="Z15" s="19">
        <f t="shared" si="3"/>
        <v>-0.15582358149545927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0</f>
        <v>0</v>
      </c>
      <c r="E16" s="2"/>
      <c r="F16" s="19"/>
      <c r="G16" s="2"/>
      <c r="H16" s="2">
        <f>--79</f>
        <v>79</v>
      </c>
      <c r="I16" s="2"/>
      <c r="J16" s="19"/>
      <c r="K16" s="2"/>
      <c r="L16" s="2">
        <f t="shared" si="0"/>
        <v>-79</v>
      </c>
      <c r="M16" s="2"/>
      <c r="N16" s="19">
        <f t="shared" si="1"/>
        <v>-1</v>
      </c>
      <c r="O16" s="11"/>
      <c r="P16" s="2">
        <f>--129</f>
        <v>129</v>
      </c>
      <c r="Q16" s="2"/>
      <c r="R16" s="19"/>
      <c r="S16" s="2"/>
      <c r="T16" s="2">
        <f>--1563.99</f>
        <v>1563.99</v>
      </c>
      <c r="U16" s="2"/>
      <c r="V16" s="19"/>
      <c r="W16" s="2"/>
      <c r="X16" s="2">
        <f t="shared" si="2"/>
        <v>-1434.99</v>
      </c>
      <c r="Y16" s="2"/>
      <c r="Z16" s="19">
        <f t="shared" si="3"/>
        <v>-0.91751865421134404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--10</f>
        <v>10</v>
      </c>
      <c r="E17" s="2"/>
      <c r="F17" s="19"/>
      <c r="G17" s="2"/>
      <c r="H17" s="2">
        <f>--1078.91</f>
        <v>1078.9100000000001</v>
      </c>
      <c r="I17" s="2"/>
      <c r="J17" s="19"/>
      <c r="K17" s="2"/>
      <c r="L17" s="2">
        <f t="shared" si="0"/>
        <v>-1068.9100000000001</v>
      </c>
      <c r="M17" s="2"/>
      <c r="N17" s="19">
        <f t="shared" si="1"/>
        <v>-0.99073138630655011</v>
      </c>
      <c r="O17" s="11"/>
      <c r="P17" s="2">
        <f>--4567.93</f>
        <v>4567.93</v>
      </c>
      <c r="Q17" s="2"/>
      <c r="R17" s="19"/>
      <c r="S17" s="2"/>
      <c r="T17" s="2">
        <f>--13358.65</f>
        <v>13358.65</v>
      </c>
      <c r="U17" s="2"/>
      <c r="V17" s="19"/>
      <c r="W17" s="2"/>
      <c r="X17" s="2">
        <f t="shared" si="2"/>
        <v>-8790.7199999999993</v>
      </c>
      <c r="Y17" s="2"/>
      <c r="Z17" s="19">
        <f t="shared" si="3"/>
        <v>-0.65805451898208278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--91.96</f>
        <v>91.96</v>
      </c>
      <c r="E18" s="2"/>
      <c r="F18" s="19"/>
      <c r="G18" s="2"/>
      <c r="H18" s="2">
        <f>--10759.13</f>
        <v>10759.13</v>
      </c>
      <c r="I18" s="2"/>
      <c r="J18" s="19"/>
      <c r="K18" s="2"/>
      <c r="L18" s="2">
        <f t="shared" si="0"/>
        <v>-10667.17</v>
      </c>
      <c r="M18" s="2"/>
      <c r="N18" s="19">
        <f t="shared" si="1"/>
        <v>-0.99145284051777427</v>
      </c>
      <c r="O18" s="11"/>
      <c r="P18" s="2">
        <f>--48358.28</f>
        <v>48358.28</v>
      </c>
      <c r="Q18" s="2"/>
      <c r="R18" s="19"/>
      <c r="S18" s="2"/>
      <c r="T18" s="2">
        <f>--84762.15</f>
        <v>84762.15</v>
      </c>
      <c r="U18" s="2"/>
      <c r="V18" s="19"/>
      <c r="W18" s="2"/>
      <c r="X18" s="2">
        <f t="shared" si="2"/>
        <v>-36403.869999999995</v>
      </c>
      <c r="Y18" s="2"/>
      <c r="Z18" s="19">
        <f t="shared" si="3"/>
        <v>-0.42948261694636108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--379.98</f>
        <v>379.98</v>
      </c>
      <c r="E19" s="2"/>
      <c r="F19" s="19"/>
      <c r="G19" s="2"/>
      <c r="H19" s="2">
        <f>--307</f>
        <v>307</v>
      </c>
      <c r="I19" s="2"/>
      <c r="J19" s="19"/>
      <c r="K19" s="2"/>
      <c r="L19" s="2">
        <f t="shared" si="0"/>
        <v>72.980000000000018</v>
      </c>
      <c r="M19" s="2"/>
      <c r="N19" s="19">
        <f t="shared" si="1"/>
        <v>0.23771986970684045</v>
      </c>
      <c r="O19" s="11"/>
      <c r="P19" s="2">
        <f>--1674.81</f>
        <v>1674.81</v>
      </c>
      <c r="Q19" s="2"/>
      <c r="R19" s="19"/>
      <c r="S19" s="2"/>
      <c r="T19" s="2">
        <f>--2060.78</f>
        <v>2060.7800000000002</v>
      </c>
      <c r="U19" s="2"/>
      <c r="V19" s="19"/>
      <c r="W19" s="2"/>
      <c r="X19" s="2">
        <f t="shared" si="2"/>
        <v>-385.97000000000025</v>
      </c>
      <c r="Y19" s="2"/>
      <c r="Z19" s="19">
        <f t="shared" si="3"/>
        <v>-0.18729316084201139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--154.96</f>
        <v>154.96</v>
      </c>
      <c r="E20" s="2"/>
      <c r="F20" s="19"/>
      <c r="G20" s="2"/>
      <c r="H20" s="2">
        <f>--1610.57</f>
        <v>1610.57</v>
      </c>
      <c r="I20" s="2"/>
      <c r="J20" s="19"/>
      <c r="K20" s="2"/>
      <c r="L20" s="2">
        <f t="shared" si="0"/>
        <v>-1455.61</v>
      </c>
      <c r="M20" s="2"/>
      <c r="N20" s="19">
        <f t="shared" si="1"/>
        <v>-0.90378561627249976</v>
      </c>
      <c r="O20" s="11"/>
      <c r="P20" s="2">
        <f>--2233.33</f>
        <v>2233.33</v>
      </c>
      <c r="Q20" s="2"/>
      <c r="R20" s="19"/>
      <c r="S20" s="2"/>
      <c r="T20" s="2">
        <f>--14517.08</f>
        <v>14517.08</v>
      </c>
      <c r="U20" s="2"/>
      <c r="V20" s="19"/>
      <c r="W20" s="2"/>
      <c r="X20" s="2">
        <f t="shared" si="2"/>
        <v>-12283.75</v>
      </c>
      <c r="Y20" s="2"/>
      <c r="Z20" s="19">
        <f t="shared" si="3"/>
        <v>-0.84615845610825313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--30055.98</f>
        <v>30055.98</v>
      </c>
      <c r="E21" s="2"/>
      <c r="F21" s="19"/>
      <c r="G21" s="2"/>
      <c r="H21" s="2">
        <f>--16809</f>
        <v>16809</v>
      </c>
      <c r="I21" s="2"/>
      <c r="J21" s="19"/>
      <c r="K21" s="2"/>
      <c r="L21" s="2">
        <f t="shared" si="0"/>
        <v>13246.98</v>
      </c>
      <c r="M21" s="2"/>
      <c r="N21" s="19">
        <f t="shared" si="1"/>
        <v>0.78808852400499729</v>
      </c>
      <c r="O21" s="11"/>
      <c r="P21" s="2">
        <f>--148066.94</f>
        <v>148066.94</v>
      </c>
      <c r="Q21" s="2"/>
      <c r="R21" s="19"/>
      <c r="S21" s="2"/>
      <c r="T21" s="2">
        <f>--219678.84</f>
        <v>219678.84</v>
      </c>
      <c r="U21" s="2"/>
      <c r="V21" s="19"/>
      <c r="W21" s="2"/>
      <c r="X21" s="2">
        <f t="shared" si="2"/>
        <v>-71611.899999999994</v>
      </c>
      <c r="Y21" s="2"/>
      <c r="Z21" s="19">
        <f t="shared" si="3"/>
        <v>-0.32598451448487253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--2769.8</f>
        <v>2769.8</v>
      </c>
      <c r="E22" s="2"/>
      <c r="F22" s="19"/>
      <c r="G22" s="2"/>
      <c r="H22" s="2">
        <f>--513.9</f>
        <v>513.9</v>
      </c>
      <c r="I22" s="2"/>
      <c r="J22" s="19"/>
      <c r="K22" s="2"/>
      <c r="L22" s="2">
        <f t="shared" si="0"/>
        <v>2255.9</v>
      </c>
      <c r="M22" s="2"/>
      <c r="N22" s="19">
        <f t="shared" si="1"/>
        <v>4.3897645456314462</v>
      </c>
      <c r="O22" s="11"/>
      <c r="P22" s="2">
        <f>--9532.02</f>
        <v>9532.02</v>
      </c>
      <c r="Q22" s="2"/>
      <c r="R22" s="19"/>
      <c r="S22" s="2"/>
      <c r="T22" s="2">
        <f>--9646.95</f>
        <v>9646.9500000000007</v>
      </c>
      <c r="U22" s="2"/>
      <c r="V22" s="19"/>
      <c r="W22" s="2"/>
      <c r="X22" s="2">
        <f t="shared" si="2"/>
        <v>-114.93000000000029</v>
      </c>
      <c r="Y22" s="2"/>
      <c r="Z22" s="19">
        <f t="shared" si="3"/>
        <v>-1.1913610001088456E-2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--2728</f>
        <v>2728</v>
      </c>
      <c r="Q23" s="2"/>
      <c r="R23" s="19"/>
      <c r="S23" s="2"/>
      <c r="T23" s="2">
        <f>--3840</f>
        <v>3840</v>
      </c>
      <c r="U23" s="2"/>
      <c r="V23" s="19"/>
      <c r="W23" s="2"/>
      <c r="X23" s="2">
        <f t="shared" si="2"/>
        <v>-1112</v>
      </c>
      <c r="Y23" s="2"/>
      <c r="Z23" s="19">
        <f t="shared" si="3"/>
        <v>-0.28958333333333336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--3224.87</f>
        <v>3224.87</v>
      </c>
      <c r="E24" s="2"/>
      <c r="F24" s="19"/>
      <c r="G24" s="2"/>
      <c r="H24" s="2">
        <f>--1442.97</f>
        <v>1442.97</v>
      </c>
      <c r="I24" s="2"/>
      <c r="J24" s="19"/>
      <c r="K24" s="2"/>
      <c r="L24" s="2">
        <f t="shared" si="0"/>
        <v>1781.8999999999999</v>
      </c>
      <c r="M24" s="2"/>
      <c r="N24" s="19">
        <f t="shared" si="1"/>
        <v>1.2348836081138206</v>
      </c>
      <c r="O24" s="11"/>
      <c r="P24" s="2">
        <f>--16347.61</f>
        <v>16347.61</v>
      </c>
      <c r="Q24" s="2"/>
      <c r="R24" s="19"/>
      <c r="S24" s="2"/>
      <c r="T24" s="2">
        <f>--5779.78</f>
        <v>5779.78</v>
      </c>
      <c r="U24" s="2"/>
      <c r="V24" s="19"/>
      <c r="W24" s="2"/>
      <c r="X24" s="2">
        <f t="shared" si="2"/>
        <v>10567.830000000002</v>
      </c>
      <c r="Y24" s="2"/>
      <c r="Z24" s="19">
        <f t="shared" si="3"/>
        <v>1.8284138842654916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--189.97</f>
        <v>189.97</v>
      </c>
      <c r="E25" s="2"/>
      <c r="F25" s="19"/>
      <c r="G25" s="2"/>
      <c r="H25" s="2">
        <f>--533.87</f>
        <v>533.87</v>
      </c>
      <c r="I25" s="2"/>
      <c r="J25" s="19"/>
      <c r="K25" s="2"/>
      <c r="L25" s="2">
        <f t="shared" si="0"/>
        <v>-343.9</v>
      </c>
      <c r="M25" s="2"/>
      <c r="N25" s="19">
        <f t="shared" si="1"/>
        <v>-0.6441643096634011</v>
      </c>
      <c r="O25" s="11"/>
      <c r="P25" s="2">
        <f>--2840.13</f>
        <v>2840.13</v>
      </c>
      <c r="Q25" s="2"/>
      <c r="R25" s="19"/>
      <c r="S25" s="2"/>
      <c r="T25" s="2">
        <f>--6025.42</f>
        <v>6025.42</v>
      </c>
      <c r="U25" s="2"/>
      <c r="V25" s="19"/>
      <c r="W25" s="2"/>
      <c r="X25" s="2">
        <f t="shared" si="2"/>
        <v>-3185.29</v>
      </c>
      <c r="Y25" s="2"/>
      <c r="Z25" s="19">
        <f t="shared" si="3"/>
        <v>-0.52864198678266405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 t="shared" ref="D26:D27" si="4"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 t="shared" si="4"/>
        <v>0</v>
      </c>
      <c r="E27" s="2"/>
      <c r="F27" s="19"/>
      <c r="G27" s="2"/>
      <c r="H27" s="2">
        <f>-75.9</f>
        <v>-75.900000000000006</v>
      </c>
      <c r="I27" s="2"/>
      <c r="J27" s="19"/>
      <c r="K27" s="2"/>
      <c r="L27" s="2">
        <f t="shared" si="0"/>
        <v>75.900000000000006</v>
      </c>
      <c r="M27" s="2"/>
      <c r="N27" s="19">
        <f t="shared" si="1"/>
        <v>-1</v>
      </c>
      <c r="O27" s="11"/>
      <c r="P27" s="2">
        <f>-7781.7</f>
        <v>-7781.7</v>
      </c>
      <c r="Q27" s="2"/>
      <c r="R27" s="19"/>
      <c r="S27" s="2"/>
      <c r="T27" s="2">
        <f>-7066.79</f>
        <v>-7066.79</v>
      </c>
      <c r="U27" s="2"/>
      <c r="V27" s="19"/>
      <c r="W27" s="2"/>
      <c r="X27" s="2">
        <f t="shared" si="2"/>
        <v>-714.90999999999985</v>
      </c>
      <c r="Y27" s="2"/>
      <c r="Z27" s="19">
        <f t="shared" si="3"/>
        <v>0.10116474382286722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-1954.65</f>
        <v>-1954.65</v>
      </c>
      <c r="E28" s="2"/>
      <c r="F28" s="19"/>
      <c r="G28" s="2"/>
      <c r="H28" s="2">
        <f>-3805.21</f>
        <v>-3805.21</v>
      </c>
      <c r="I28" s="2"/>
      <c r="J28" s="19"/>
      <c r="K28" s="2"/>
      <c r="L28" s="2">
        <f t="shared" si="0"/>
        <v>1850.56</v>
      </c>
      <c r="M28" s="2"/>
      <c r="N28" s="19">
        <f t="shared" si="1"/>
        <v>-0.48632269966703545</v>
      </c>
      <c r="O28" s="11"/>
      <c r="P28" s="2">
        <f>-215445.8</f>
        <v>-215445.8</v>
      </c>
      <c r="Q28" s="2"/>
      <c r="R28" s="19"/>
      <c r="S28" s="2"/>
      <c r="T28" s="2">
        <f>-66363.82</f>
        <v>-66363.820000000007</v>
      </c>
      <c r="U28" s="2"/>
      <c r="V28" s="19"/>
      <c r="W28" s="2"/>
      <c r="X28" s="2">
        <f t="shared" si="2"/>
        <v>-149081.97999999998</v>
      </c>
      <c r="Y28" s="2"/>
      <c r="Z28" s="19">
        <f t="shared" si="3"/>
        <v>2.2464345783591115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-135.96</f>
        <v>-135.96</v>
      </c>
      <c r="E29" s="2"/>
      <c r="F29" s="19"/>
      <c r="G29" s="2"/>
      <c r="H29" s="2">
        <f>-655.38</f>
        <v>-655.38</v>
      </c>
      <c r="I29" s="2"/>
      <c r="J29" s="19"/>
      <c r="K29" s="2"/>
      <c r="L29" s="2">
        <f t="shared" si="0"/>
        <v>519.41999999999996</v>
      </c>
      <c r="M29" s="2"/>
      <c r="N29" s="19">
        <f t="shared" si="1"/>
        <v>-0.79254783484390734</v>
      </c>
      <c r="O29" s="11"/>
      <c r="P29" s="2">
        <f>-6589.02</f>
        <v>-6589.02</v>
      </c>
      <c r="Q29" s="2"/>
      <c r="R29" s="19"/>
      <c r="S29" s="2"/>
      <c r="T29" s="2">
        <f>-7315.76</f>
        <v>-7315.76</v>
      </c>
      <c r="U29" s="2"/>
      <c r="V29" s="19"/>
      <c r="W29" s="2"/>
      <c r="X29" s="2">
        <f t="shared" si="2"/>
        <v>726.73999999999978</v>
      </c>
      <c r="Y29" s="2"/>
      <c r="Z29" s="19">
        <f t="shared" si="3"/>
        <v>-9.9338961365599707E-2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6" si="5"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>-599.96</f>
        <v>-599.96</v>
      </c>
      <c r="I31" s="2"/>
      <c r="J31" s="19"/>
      <c r="K31" s="2"/>
      <c r="L31" s="2">
        <f t="shared" si="0"/>
        <v>599.96</v>
      </c>
      <c r="M31" s="2"/>
      <c r="N31" s="19">
        <f t="shared" si="1"/>
        <v>-1</v>
      </c>
      <c r="O31" s="11"/>
      <c r="P31" s="2">
        <f>-805.97</f>
        <v>-805.97</v>
      </c>
      <c r="Q31" s="2"/>
      <c r="R31" s="19"/>
      <c r="S31" s="2"/>
      <c r="T31" s="2">
        <f>-725.94</f>
        <v>-725.94</v>
      </c>
      <c r="U31" s="2"/>
      <c r="V31" s="19"/>
      <c r="W31" s="2"/>
      <c r="X31" s="2">
        <f t="shared" si="2"/>
        <v>-80.029999999999973</v>
      </c>
      <c r="Y31" s="2"/>
      <c r="Z31" s="19">
        <f t="shared" si="3"/>
        <v>0.11024327079372946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 t="shared" si="5"/>
        <v>0</v>
      </c>
      <c r="E32" s="2"/>
      <c r="F32" s="19"/>
      <c r="G32" s="2"/>
      <c r="H32" s="2">
        <f>-232.62</f>
        <v>-232.62</v>
      </c>
      <c r="I32" s="2"/>
      <c r="J32" s="19"/>
      <c r="K32" s="2"/>
      <c r="L32" s="2">
        <f t="shared" si="0"/>
        <v>232.62</v>
      </c>
      <c r="M32" s="2"/>
      <c r="N32" s="19">
        <f t="shared" si="1"/>
        <v>-1</v>
      </c>
      <c r="O32" s="11"/>
      <c r="P32" s="2">
        <f>-3660.86</f>
        <v>-3660.86</v>
      </c>
      <c r="Q32" s="2"/>
      <c r="R32" s="19"/>
      <c r="S32" s="2"/>
      <c r="T32" s="2">
        <f>-4791.23</f>
        <v>-4791.2299999999996</v>
      </c>
      <c r="U32" s="2"/>
      <c r="V32" s="19"/>
      <c r="W32" s="2"/>
      <c r="X32" s="2">
        <f t="shared" si="2"/>
        <v>1130.3699999999994</v>
      </c>
      <c r="Y32" s="2"/>
      <c r="Z32" s="19">
        <f t="shared" si="3"/>
        <v>-0.23592480427781584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si="5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>-16.99</f>
        <v>-16.989999999999998</v>
      </c>
      <c r="U33" s="2"/>
      <c r="V33" s="19"/>
      <c r="W33" s="2"/>
      <c r="X33" s="2">
        <f t="shared" si="2"/>
        <v>12.999999999999998</v>
      </c>
      <c r="Y33" s="2"/>
      <c r="Z33" s="19">
        <f t="shared" si="3"/>
        <v>-0.76515597410241321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5"/>
        <v>0</v>
      </c>
      <c r="E34" s="2"/>
      <c r="F34" s="19"/>
      <c r="G34" s="2"/>
      <c r="H34" s="2">
        <f>-59.98</f>
        <v>-59.98</v>
      </c>
      <c r="I34" s="2"/>
      <c r="J34" s="19"/>
      <c r="K34" s="2"/>
      <c r="L34" s="2">
        <f t="shared" si="0"/>
        <v>59.98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-217.85</f>
        <v>-217.85</v>
      </c>
      <c r="U34" s="2"/>
      <c r="V34" s="19"/>
      <c r="W34" s="2"/>
      <c r="X34" s="2">
        <f t="shared" si="2"/>
        <v>-1061.99</v>
      </c>
      <c r="Y34" s="2"/>
      <c r="Z34" s="19">
        <f t="shared" si="3"/>
        <v>4.8748680284599493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5"/>
        <v>0</v>
      </c>
      <c r="E35" s="2"/>
      <c r="F35" s="19"/>
      <c r="G35" s="2"/>
      <c r="H35" s="2">
        <f>-34.98</f>
        <v>-34.979999999999997</v>
      </c>
      <c r="I35" s="2"/>
      <c r="J35" s="19"/>
      <c r="K35" s="2"/>
      <c r="L35" s="2">
        <f t="shared" si="0"/>
        <v>34.979999999999997</v>
      </c>
      <c r="M35" s="2"/>
      <c r="N35" s="19">
        <f t="shared" si="1"/>
        <v>-1</v>
      </c>
      <c r="O35" s="11"/>
      <c r="P35" s="2">
        <f>-49.98</f>
        <v>-49.98</v>
      </c>
      <c r="Q35" s="2"/>
      <c r="R35" s="19"/>
      <c r="S35" s="2"/>
      <c r="T35" s="2">
        <f>-153.92</f>
        <v>-153.91999999999999</v>
      </c>
      <c r="U35" s="2"/>
      <c r="V35" s="19"/>
      <c r="W35" s="2"/>
      <c r="X35" s="2">
        <f t="shared" si="2"/>
        <v>103.94</v>
      </c>
      <c r="Y35" s="2"/>
      <c r="Z35" s="19">
        <f t="shared" si="3"/>
        <v>-0.67528586278586278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5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-104.96</f>
        <v>-104.96</v>
      </c>
      <c r="Q36" s="2"/>
      <c r="R36" s="19"/>
      <c r="S36" s="2"/>
      <c r="T36" s="2">
        <f>-209.95</f>
        <v>-209.95</v>
      </c>
      <c r="U36" s="2"/>
      <c r="V36" s="19"/>
      <c r="W36" s="2"/>
      <c r="X36" s="2">
        <f t="shared" si="2"/>
        <v>104.99</v>
      </c>
      <c r="Y36" s="2"/>
      <c r="Z36" s="19">
        <f t="shared" si="3"/>
        <v>-0.50007144558228145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255853.70999999996</v>
      </c>
      <c r="E38" s="4"/>
      <c r="F38" s="12">
        <f t="shared" ref="F38:F52" si="6">IF(D$12=0,0,D38/D$12)</f>
        <v>0.84276266276595813</v>
      </c>
      <c r="G38" s="4"/>
      <c r="H38" s="4">
        <f>SUM(OSRRefH16x_0)</f>
        <v>206038.59</v>
      </c>
      <c r="I38" s="4"/>
      <c r="J38" s="12">
        <f t="shared" ref="J38:J52" si="7">IF(H$12=0,0,H38/H$12)</f>
        <v>0.84921188525586777</v>
      </c>
      <c r="K38" s="4"/>
      <c r="L38" s="4">
        <f t="shared" ref="L38:L52" si="8">+D38-H38</f>
        <v>49815.119999999966</v>
      </c>
      <c r="M38" s="4"/>
      <c r="N38" s="12">
        <f t="shared" ref="N38:N52" si="9">IF(H38=0,0,L38/H38)</f>
        <v>0.24177567901236349</v>
      </c>
      <c r="O38" s="10"/>
      <c r="P38" s="4">
        <f>SUM(OSRRefP16x_0)</f>
        <v>2032294.2500000005</v>
      </c>
      <c r="Q38" s="4"/>
      <c r="R38" s="12">
        <f t="shared" ref="R38:R52" si="10">IF(P$12=0,0,P38/P$12)</f>
        <v>0.86778840146087977</v>
      </c>
      <c r="S38" s="4"/>
      <c r="T38" s="4">
        <f>SUM(OSRRefT16x_0)</f>
        <v>1998384.2000000007</v>
      </c>
      <c r="U38" s="4"/>
      <c r="V38" s="12">
        <f t="shared" ref="V38:V52" si="11">IF(T$12=0,0,T38/T$12)</f>
        <v>0.84676445540132173</v>
      </c>
      <c r="W38" s="4"/>
      <c r="X38" s="4">
        <f t="shared" ref="X38:X52" si="12">+P38-T38</f>
        <v>33910.049999999814</v>
      </c>
      <c r="Y38" s="4"/>
      <c r="Z38" s="12">
        <f t="shared" ref="Z38:Z52" si="13">IF(T38=0,0,X38/T38)</f>
        <v>1.6968734040231005E-2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-6200.47</v>
      </c>
      <c r="E39" s="2"/>
      <c r="F39" s="19">
        <f t="shared" si="6"/>
        <v>-2.0423876627000803E-2</v>
      </c>
      <c r="G39" s="2"/>
      <c r="H39" s="2">
        <v>5419.24</v>
      </c>
      <c r="I39" s="2"/>
      <c r="J39" s="19">
        <f t="shared" si="7"/>
        <v>2.2336024610991604E-2</v>
      </c>
      <c r="K39" s="2"/>
      <c r="L39" s="2">
        <f t="shared" si="8"/>
        <v>-11619.71</v>
      </c>
      <c r="M39" s="2"/>
      <c r="N39" s="19">
        <f t="shared" si="9"/>
        <v>-2.1441585905034652</v>
      </c>
      <c r="O39" s="11"/>
      <c r="P39" s="2">
        <v>256824.14</v>
      </c>
      <c r="Q39" s="2"/>
      <c r="R39" s="19">
        <f t="shared" si="10"/>
        <v>0.10966375066364782</v>
      </c>
      <c r="S39" s="2"/>
      <c r="T39" s="2">
        <v>193082.75999999998</v>
      </c>
      <c r="U39" s="2"/>
      <c r="V39" s="19">
        <f t="shared" si="11"/>
        <v>8.1813906514465046E-2</v>
      </c>
      <c r="W39" s="2"/>
      <c r="X39" s="2">
        <f t="shared" si="12"/>
        <v>63741.380000000034</v>
      </c>
      <c r="Y39" s="2"/>
      <c r="Z39" s="19">
        <f t="shared" si="13"/>
        <v>0.33012465742669123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119657.48</v>
      </c>
      <c r="E40" s="2"/>
      <c r="F40" s="19">
        <f t="shared" si="6"/>
        <v>0.39414263902862456</v>
      </c>
      <c r="G40" s="2"/>
      <c r="H40" s="2">
        <v>272016.14</v>
      </c>
      <c r="I40" s="2"/>
      <c r="J40" s="19">
        <f t="shared" si="7"/>
        <v>1.1211459905128649</v>
      </c>
      <c r="K40" s="2"/>
      <c r="L40" s="2">
        <f t="shared" si="8"/>
        <v>-152358.66000000003</v>
      </c>
      <c r="M40" s="2"/>
      <c r="N40" s="19">
        <f t="shared" si="9"/>
        <v>-0.56010889647945161</v>
      </c>
      <c r="O40" s="11"/>
      <c r="P40" s="2">
        <v>1500482.27</v>
      </c>
      <c r="Q40" s="2"/>
      <c r="R40" s="19">
        <f t="shared" si="10"/>
        <v>0.64070501134552338</v>
      </c>
      <c r="S40" s="2"/>
      <c r="T40" s="2">
        <v>1607851.85</v>
      </c>
      <c r="U40" s="2"/>
      <c r="V40" s="19">
        <f t="shared" si="11"/>
        <v>0.68128630927489175</v>
      </c>
      <c r="W40" s="2"/>
      <c r="X40" s="2">
        <f t="shared" si="12"/>
        <v>-107369.58000000007</v>
      </c>
      <c r="Y40" s="2"/>
      <c r="Z40" s="19">
        <f t="shared" si="13"/>
        <v>-6.6778279354531372E-2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2539.54</v>
      </c>
      <c r="E41" s="2"/>
      <c r="F41" s="19">
        <f t="shared" si="6"/>
        <v>8.3650516250112668E-3</v>
      </c>
      <c r="G41" s="2"/>
      <c r="H41" s="2">
        <v>6608.01</v>
      </c>
      <c r="I41" s="2"/>
      <c r="J41" s="19">
        <f t="shared" si="7"/>
        <v>2.7235677694598993E-2</v>
      </c>
      <c r="K41" s="2"/>
      <c r="L41" s="2">
        <f t="shared" si="8"/>
        <v>-4068.4700000000003</v>
      </c>
      <c r="M41" s="2"/>
      <c r="N41" s="19">
        <f t="shared" si="9"/>
        <v>-0.61568762759136264</v>
      </c>
      <c r="O41" s="11"/>
      <c r="P41" s="2">
        <v>80017.27</v>
      </c>
      <c r="Q41" s="2"/>
      <c r="R41" s="19">
        <f t="shared" si="10"/>
        <v>3.4167325338131327E-2</v>
      </c>
      <c r="S41" s="2"/>
      <c r="T41" s="2">
        <v>101176.12000000001</v>
      </c>
      <c r="U41" s="2"/>
      <c r="V41" s="19">
        <f t="shared" si="11"/>
        <v>4.28708064002001E-2</v>
      </c>
      <c r="W41" s="2"/>
      <c r="X41" s="2">
        <f t="shared" si="12"/>
        <v>-21158.850000000006</v>
      </c>
      <c r="Y41" s="2"/>
      <c r="Z41" s="19">
        <f t="shared" si="13"/>
        <v>-0.20912889326058365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6"/>
        <v>0</v>
      </c>
      <c r="G42" s="2"/>
      <c r="H42" s="2">
        <v>79</v>
      </c>
      <c r="I42" s="2"/>
      <c r="J42" s="19">
        <f t="shared" si="7"/>
        <v>3.2560763949711341E-4</v>
      </c>
      <c r="K42" s="2"/>
      <c r="L42" s="2">
        <f t="shared" si="8"/>
        <v>-79</v>
      </c>
      <c r="M42" s="2"/>
      <c r="N42" s="19">
        <f t="shared" si="9"/>
        <v>-1</v>
      </c>
      <c r="O42" s="11"/>
      <c r="P42" s="2">
        <v>2728</v>
      </c>
      <c r="Q42" s="2"/>
      <c r="R42" s="19">
        <f t="shared" si="10"/>
        <v>1.1648543311015514E-3</v>
      </c>
      <c r="S42" s="2"/>
      <c r="T42" s="2">
        <v>5183</v>
      </c>
      <c r="U42" s="2"/>
      <c r="V42" s="19">
        <f t="shared" si="11"/>
        <v>2.1961643673649184E-3</v>
      </c>
      <c r="W42" s="2"/>
      <c r="X42" s="2">
        <f t="shared" si="12"/>
        <v>-2455</v>
      </c>
      <c r="Y42" s="2"/>
      <c r="Z42" s="19">
        <f t="shared" si="13"/>
        <v>-0.47366390121551227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2504.11</v>
      </c>
      <c r="E43" s="2"/>
      <c r="F43" s="19">
        <f t="shared" si="6"/>
        <v>8.2483478995042277E-3</v>
      </c>
      <c r="G43" s="2"/>
      <c r="H43" s="2">
        <v>580.01</v>
      </c>
      <c r="I43" s="2"/>
      <c r="J43" s="19">
        <f t="shared" si="7"/>
        <v>2.390578316262288E-3</v>
      </c>
      <c r="K43" s="2"/>
      <c r="L43" s="2">
        <f t="shared" si="8"/>
        <v>1924.1000000000001</v>
      </c>
      <c r="M43" s="2"/>
      <c r="N43" s="19">
        <f t="shared" si="9"/>
        <v>3.3173565973000469</v>
      </c>
      <c r="O43" s="11"/>
      <c r="P43" s="2">
        <v>11666.5</v>
      </c>
      <c r="Q43" s="2"/>
      <c r="R43" s="19">
        <f t="shared" si="10"/>
        <v>4.9815883628285375E-3</v>
      </c>
      <c r="S43" s="2"/>
      <c r="T43" s="2">
        <v>10860.37</v>
      </c>
      <c r="U43" s="2"/>
      <c r="V43" s="19">
        <f t="shared" si="11"/>
        <v>4.6018054428707197E-3</v>
      </c>
      <c r="W43" s="2"/>
      <c r="X43" s="2">
        <f t="shared" si="12"/>
        <v>806.1299999999992</v>
      </c>
      <c r="Y43" s="2"/>
      <c r="Z43" s="19">
        <f t="shared" si="13"/>
        <v>7.4226752863852621E-2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/>
      <c r="E44" s="2"/>
      <c r="F44" s="19">
        <f t="shared" si="6"/>
        <v>0</v>
      </c>
      <c r="G44" s="2"/>
      <c r="H44" s="2">
        <v>7719.73</v>
      </c>
      <c r="I44" s="2"/>
      <c r="J44" s="19">
        <f t="shared" si="7"/>
        <v>3.1817760289304442E-2</v>
      </c>
      <c r="K44" s="2"/>
      <c r="L44" s="2">
        <f t="shared" si="8"/>
        <v>-7719.73</v>
      </c>
      <c r="M44" s="2"/>
      <c r="N44" s="19">
        <f t="shared" si="9"/>
        <v>-1</v>
      </c>
      <c r="O44" s="11"/>
      <c r="P44" s="2">
        <v>29950.550000000003</v>
      </c>
      <c r="Q44" s="2"/>
      <c r="R44" s="19">
        <f t="shared" si="10"/>
        <v>1.2788866527263042E-2</v>
      </c>
      <c r="S44" s="2"/>
      <c r="T44" s="2">
        <v>55411.68</v>
      </c>
      <c r="U44" s="2"/>
      <c r="V44" s="19">
        <f t="shared" si="11"/>
        <v>2.3479289436972275E-2</v>
      </c>
      <c r="W44" s="2"/>
      <c r="X44" s="2">
        <f t="shared" si="12"/>
        <v>-25461.129999999997</v>
      </c>
      <c r="Y44" s="2"/>
      <c r="Z44" s="19">
        <f t="shared" si="13"/>
        <v>-0.45949030962425247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95.65</v>
      </c>
      <c r="Q45" s="2"/>
      <c r="R45" s="19">
        <f t="shared" si="10"/>
        <v>4.0842491484554037E-5</v>
      </c>
      <c r="S45" s="2"/>
      <c r="T45" s="2">
        <v>0</v>
      </c>
      <c r="U45" s="2"/>
      <c r="V45" s="19">
        <f t="shared" si="11"/>
        <v>0</v>
      </c>
      <c r="W45" s="2"/>
      <c r="X45" s="2">
        <f t="shared" si="12"/>
        <v>95.65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-118540</v>
      </c>
      <c r="E46" s="2"/>
      <c r="F46" s="19">
        <f t="shared" si="6"/>
        <v>-0.39046174489428626</v>
      </c>
      <c r="G46" s="2"/>
      <c r="H46" s="2">
        <v>-292453</v>
      </c>
      <c r="I46" s="2"/>
      <c r="J46" s="19">
        <f t="shared" si="7"/>
        <v>-1.2053788733398647</v>
      </c>
      <c r="K46" s="2"/>
      <c r="L46" s="2">
        <f t="shared" si="8"/>
        <v>173913</v>
      </c>
      <c r="M46" s="2"/>
      <c r="N46" s="19">
        <f t="shared" si="9"/>
        <v>-0.59466991277230874</v>
      </c>
      <c r="O46" s="11"/>
      <c r="P46" s="2">
        <v>-1882420</v>
      </c>
      <c r="Q46" s="2"/>
      <c r="R46" s="19">
        <f t="shared" si="10"/>
        <v>-0.80379218839889388</v>
      </c>
      <c r="S46" s="2"/>
      <c r="T46" s="2">
        <v>-1974033.9999999998</v>
      </c>
      <c r="U46" s="2"/>
      <c r="V46" s="19">
        <f t="shared" si="11"/>
        <v>-0.83644667774779835</v>
      </c>
      <c r="W46" s="2"/>
      <c r="X46" s="2">
        <f t="shared" si="12"/>
        <v>91613.999999999767</v>
      </c>
      <c r="Y46" s="2"/>
      <c r="Z46" s="19">
        <f t="shared" si="13"/>
        <v>-4.6409534992811564E-2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255854</v>
      </c>
      <c r="E47" s="2"/>
      <c r="F47" s="19">
        <f t="shared" si="6"/>
        <v>0.84276361800390343</v>
      </c>
      <c r="G47" s="2"/>
      <c r="H47" s="2">
        <v>206038</v>
      </c>
      <c r="I47" s="2"/>
      <c r="J47" s="19">
        <f t="shared" si="7"/>
        <v>0.84920945350261079</v>
      </c>
      <c r="K47" s="2"/>
      <c r="L47" s="2">
        <f t="shared" si="8"/>
        <v>49816</v>
      </c>
      <c r="M47" s="2"/>
      <c r="N47" s="19">
        <f t="shared" si="9"/>
        <v>0.2417806424057698</v>
      </c>
      <c r="O47" s="11"/>
      <c r="P47" s="2">
        <v>2032292.0000000002</v>
      </c>
      <c r="Q47" s="2"/>
      <c r="R47" s="19">
        <f t="shared" si="10"/>
        <v>0.86778744071225611</v>
      </c>
      <c r="S47" s="2"/>
      <c r="T47" s="2">
        <v>1998371.0000000002</v>
      </c>
      <c r="U47" s="2"/>
      <c r="V47" s="19">
        <f t="shared" si="11"/>
        <v>0.84675886223719854</v>
      </c>
      <c r="W47" s="2"/>
      <c r="X47" s="2">
        <f t="shared" si="12"/>
        <v>33921</v>
      </c>
      <c r="Y47" s="2"/>
      <c r="Z47" s="19">
        <f t="shared" si="13"/>
        <v>1.6974325588191581E-2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/>
      <c r="Q48" s="2"/>
      <c r="R48" s="19">
        <f t="shared" si="10"/>
        <v>0</v>
      </c>
      <c r="S48" s="2"/>
      <c r="T48" s="2">
        <v>14.08</v>
      </c>
      <c r="U48" s="2"/>
      <c r="V48" s="19">
        <f t="shared" si="11"/>
        <v>5.9660417311398909E-6</v>
      </c>
      <c r="W48" s="2"/>
      <c r="X48" s="2">
        <f t="shared" si="12"/>
        <v>-14.08</v>
      </c>
      <c r="Y48" s="2"/>
      <c r="Z48" s="19">
        <f t="shared" si="13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105.75</v>
      </c>
      <c r="Q49" s="2"/>
      <c r="R49" s="19">
        <f t="shared" si="10"/>
        <v>4.5155185305714469E-5</v>
      </c>
      <c r="S49" s="2"/>
      <c r="T49" s="2"/>
      <c r="U49" s="2"/>
      <c r="V49" s="19">
        <f t="shared" si="11"/>
        <v>0</v>
      </c>
      <c r="W49" s="2"/>
      <c r="X49" s="2">
        <f t="shared" si="12"/>
        <v>105.75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154.30000000000001</v>
      </c>
      <c r="Q50" s="2"/>
      <c r="R50" s="19">
        <f t="shared" si="10"/>
        <v>6.5886005604460932E-5</v>
      </c>
      <c r="S50" s="2"/>
      <c r="T50" s="2">
        <v>12</v>
      </c>
      <c r="U50" s="2"/>
      <c r="V50" s="19">
        <f t="shared" si="11"/>
        <v>5.0846946572214976E-6</v>
      </c>
      <c r="W50" s="2"/>
      <c r="X50" s="2">
        <f t="shared" si="12"/>
        <v>142.30000000000001</v>
      </c>
      <c r="Y50" s="2"/>
      <c r="Z50" s="19">
        <f t="shared" si="13"/>
        <v>11.858333333333334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39.049999999999997</v>
      </c>
      <c r="E51" s="2"/>
      <c r="F51" s="19">
        <f t="shared" si="6"/>
        <v>1.2862773020180427E-4</v>
      </c>
      <c r="G51" s="2"/>
      <c r="H51" s="2"/>
      <c r="I51" s="2"/>
      <c r="J51" s="19">
        <f t="shared" si="7"/>
        <v>0</v>
      </c>
      <c r="K51" s="2"/>
      <c r="L51" s="2">
        <f t="shared" si="8"/>
        <v>39.049999999999997</v>
      </c>
      <c r="M51" s="2"/>
      <c r="N51" s="19">
        <f t="shared" si="9"/>
        <v>0</v>
      </c>
      <c r="O51" s="11"/>
      <c r="P51" s="2">
        <v>96.55</v>
      </c>
      <c r="Q51" s="2"/>
      <c r="R51" s="19">
        <f t="shared" si="10"/>
        <v>4.1226790933964368E-5</v>
      </c>
      <c r="S51" s="2"/>
      <c r="T51" s="2">
        <v>89.38</v>
      </c>
      <c r="U51" s="2"/>
      <c r="V51" s="19">
        <f t="shared" si="11"/>
        <v>3.7872500705204789E-5</v>
      </c>
      <c r="W51" s="2"/>
      <c r="X51" s="2">
        <f t="shared" si="12"/>
        <v>7.1700000000000017</v>
      </c>
      <c r="Y51" s="2"/>
      <c r="Z51" s="19">
        <f t="shared" si="13"/>
        <v>8.0219288431416444E-2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6"/>
        <v>0</v>
      </c>
      <c r="G52" s="2"/>
      <c r="H52" s="2">
        <v>31.46</v>
      </c>
      <c r="I52" s="2"/>
      <c r="J52" s="19">
        <f t="shared" si="7"/>
        <v>1.2966602960226819E-4</v>
      </c>
      <c r="K52" s="2"/>
      <c r="L52" s="2">
        <f t="shared" si="8"/>
        <v>-31.46</v>
      </c>
      <c r="M52" s="2"/>
      <c r="N52" s="19">
        <f t="shared" si="9"/>
        <v>-1</v>
      </c>
      <c r="O52" s="11"/>
      <c r="P52" s="2">
        <v>301.27</v>
      </c>
      <c r="Q52" s="2"/>
      <c r="R52" s="19">
        <f t="shared" si="10"/>
        <v>1.2864210569316878E-4</v>
      </c>
      <c r="S52" s="2"/>
      <c r="T52" s="2">
        <v>365.96</v>
      </c>
      <c r="U52" s="2"/>
      <c r="V52" s="19">
        <f t="shared" si="11"/>
        <v>1.5506623806306493E-4</v>
      </c>
      <c r="W52" s="2"/>
      <c r="X52" s="2">
        <f t="shared" si="12"/>
        <v>-64.69</v>
      </c>
      <c r="Y52" s="2"/>
      <c r="Z52" s="19">
        <f t="shared" si="13"/>
        <v>-0.17676795278172477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1">
        <f>D12-D38</f>
        <v>47735.569999999949</v>
      </c>
      <c r="E54" s="14"/>
      <c r="F54" s="20">
        <f>IF(D$12=0,0,D54/D$12)</f>
        <v>0.15723733723404187</v>
      </c>
      <c r="G54" s="14"/>
      <c r="H54" s="21">
        <f>H12-H38</f>
        <v>36584.710000000021</v>
      </c>
      <c r="I54" s="14"/>
      <c r="J54" s="20">
        <f>IF(H$12=0,0,H54/H$12)</f>
        <v>0.15078811474413223</v>
      </c>
      <c r="K54" s="15"/>
      <c r="L54" s="21">
        <f>+D54-H54</f>
        <v>11150.859999999928</v>
      </c>
      <c r="M54" s="15"/>
      <c r="N54" s="20">
        <f>IF(H54=0,0,L54/H54)</f>
        <v>0.30479563730312259</v>
      </c>
      <c r="O54" s="29"/>
      <c r="P54" s="21">
        <f>P12-P38</f>
        <v>309629.47999999905</v>
      </c>
      <c r="Q54" s="14"/>
      <c r="R54" s="20">
        <f>IF(P$12=0,0,P54/P$12)</f>
        <v>0.13221159853912029</v>
      </c>
      <c r="S54" s="14"/>
      <c r="T54" s="21">
        <f>T12-T38</f>
        <v>361639.51999999862</v>
      </c>
      <c r="U54" s="14"/>
      <c r="V54" s="20">
        <f>IF(T$12=0,0,T54/T$12)</f>
        <v>0.15323554459867833</v>
      </c>
      <c r="W54" s="15"/>
      <c r="X54" s="21">
        <f>+P54-T54</f>
        <v>-52010.039999999572</v>
      </c>
      <c r="Y54" s="15"/>
      <c r="Z54" s="20">
        <f>IF(T54=0,0,X54/T54)</f>
        <v>-0.14381735712955201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2">
        <f>SUM(OSRRefD22x_0)</f>
        <v>23203</v>
      </c>
      <c r="E56" s="22"/>
      <c r="F56" s="35">
        <f t="shared" ref="F56:F66" si="14">IF(D$12=0,0,D56/D$12)</f>
        <v>7.6428917384698189E-2</v>
      </c>
      <c r="G56" s="22"/>
      <c r="H56" s="22">
        <f>SUM(OSRRefH22x_0)</f>
        <v>7564.2000000000007</v>
      </c>
      <c r="I56" s="22"/>
      <c r="J56" s="35">
        <f t="shared" ref="J56:J66" si="15">IF(H$12=0,0,H56/H$12)</f>
        <v>3.1176725401064118E-2</v>
      </c>
      <c r="K56" s="4"/>
      <c r="L56" s="22">
        <f t="shared" ref="L56:L66" si="16">+D56-H56</f>
        <v>15638.8</v>
      </c>
      <c r="M56" s="4"/>
      <c r="N56" s="35">
        <f t="shared" ref="N56:N66" si="17">IF(H56=0,0,L56/H56)</f>
        <v>2.0674757409904547</v>
      </c>
      <c r="O56" s="10"/>
      <c r="P56" s="22">
        <f>SUM(OSRRefP22x_0)</f>
        <v>198003.15000000002</v>
      </c>
      <c r="Q56" s="22"/>
      <c r="R56" s="35">
        <f t="shared" ref="R56:R66" si="18">IF(P$12=0,0,P56/P$12)</f>
        <v>8.4547223918346848E-2</v>
      </c>
      <c r="S56" s="22"/>
      <c r="T56" s="22">
        <f>SUM(OSRRefT22x_0)</f>
        <v>224712.91999999995</v>
      </c>
      <c r="U56" s="22"/>
      <c r="V56" s="35">
        <f t="shared" ref="V56:V66" si="19">IF(T$12=0,0,T56/T$12)</f>
        <v>9.521638197772013E-2</v>
      </c>
      <c r="W56" s="4"/>
      <c r="X56" s="22">
        <f t="shared" ref="X56:X66" si="20">+P56-T56</f>
        <v>-26709.769999999931</v>
      </c>
      <c r="Y56" s="4"/>
      <c r="Z56" s="35">
        <f t="shared" ref="Z56:Z66" si="21">IF(T56=0,0,X56/T56)</f>
        <v>-0.11886174591118275</v>
      </c>
    </row>
    <row r="57" spans="1:26" s="25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3072.29</v>
      </c>
      <c r="E57" s="1"/>
      <c r="F57" s="5">
        <f t="shared" si="14"/>
        <v>1.0119889608750352E-2</v>
      </c>
      <c r="G57" s="1"/>
      <c r="H57" s="1">
        <f>SUM(OSRRefH22_0x_0)</f>
        <v>2234.7800000000002</v>
      </c>
      <c r="I57" s="1"/>
      <c r="J57" s="5">
        <f t="shared" si="15"/>
        <v>9.2109043113336609E-3</v>
      </c>
      <c r="K57" s="1"/>
      <c r="L57" s="1">
        <f t="shared" si="16"/>
        <v>837.50999999999976</v>
      </c>
      <c r="M57" s="1"/>
      <c r="N57" s="5">
        <f t="shared" si="17"/>
        <v>0.37476172151173703</v>
      </c>
      <c r="O57" s="13"/>
      <c r="P57" s="1">
        <f>SUM(OSRRefP22_0x_0)</f>
        <v>24408.78</v>
      </c>
      <c r="Q57" s="1"/>
      <c r="R57" s="5">
        <f t="shared" si="18"/>
        <v>1.0422534127531132E-2</v>
      </c>
      <c r="S57" s="1"/>
      <c r="T57" s="1">
        <f>SUM(OSRRefT22_0x_0)</f>
        <v>22843.62</v>
      </c>
      <c r="U57" s="1"/>
      <c r="V57" s="5">
        <f t="shared" si="19"/>
        <v>9.6794027137998458E-3</v>
      </c>
      <c r="W57" s="1"/>
      <c r="X57" s="1">
        <f t="shared" si="20"/>
        <v>1565.1599999999999</v>
      </c>
      <c r="Y57" s="1"/>
      <c r="Z57" s="5">
        <f t="shared" si="21"/>
        <v>6.8516285947673783E-2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6">
        <v>522.94000000000005</v>
      </c>
      <c r="E58" s="2"/>
      <c r="F58" s="7">
        <f t="shared" si="14"/>
        <v>1.7225245898010635E-3</v>
      </c>
      <c r="G58" s="2"/>
      <c r="H58" s="6">
        <v>388.04</v>
      </c>
      <c r="I58" s="2"/>
      <c r="J58" s="7">
        <f t="shared" si="15"/>
        <v>1.5993517522843025E-3</v>
      </c>
      <c r="K58" s="2"/>
      <c r="L58" s="6">
        <f t="shared" si="16"/>
        <v>134.90000000000003</v>
      </c>
      <c r="M58" s="2"/>
      <c r="N58" s="7">
        <f t="shared" si="17"/>
        <v>0.34764457272446148</v>
      </c>
      <c r="O58" s="11"/>
      <c r="P58" s="6">
        <v>7203.39</v>
      </c>
      <c r="Q58" s="2"/>
      <c r="R58" s="7">
        <f t="shared" si="18"/>
        <v>3.0758431232087999E-3</v>
      </c>
      <c r="S58" s="2"/>
      <c r="T58" s="6">
        <v>4702.3500000000004</v>
      </c>
      <c r="U58" s="2"/>
      <c r="V58" s="7">
        <f t="shared" si="19"/>
        <v>1.9925011601154593E-3</v>
      </c>
      <c r="W58" s="2"/>
      <c r="X58" s="6">
        <f t="shared" si="20"/>
        <v>2501.04</v>
      </c>
      <c r="Y58" s="2"/>
      <c r="Z58" s="7">
        <f t="shared" si="21"/>
        <v>0.53187023509521825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6">
        <v>51.53</v>
      </c>
      <c r="E59" s="2"/>
      <c r="F59" s="7">
        <f t="shared" si="14"/>
        <v>1.6973590108320037E-4</v>
      </c>
      <c r="G59" s="2"/>
      <c r="H59" s="6">
        <v>95.7</v>
      </c>
      <c r="I59" s="2"/>
      <c r="J59" s="7">
        <f t="shared" si="15"/>
        <v>3.9443862151738931E-4</v>
      </c>
      <c r="K59" s="2"/>
      <c r="L59" s="6">
        <f t="shared" si="16"/>
        <v>-44.17</v>
      </c>
      <c r="M59" s="2"/>
      <c r="N59" s="7">
        <f t="shared" si="17"/>
        <v>-0.46154649947753396</v>
      </c>
      <c r="O59" s="11"/>
      <c r="P59" s="6">
        <v>1916.71</v>
      </c>
      <c r="Q59" s="2"/>
      <c r="R59" s="7">
        <f t="shared" si="18"/>
        <v>8.1843399742142771E-4</v>
      </c>
      <c r="S59" s="2"/>
      <c r="T59" s="6">
        <v>855.95</v>
      </c>
      <c r="U59" s="2"/>
      <c r="V59" s="7">
        <f t="shared" si="19"/>
        <v>3.6268703265406174E-4</v>
      </c>
      <c r="W59" s="2"/>
      <c r="X59" s="6">
        <f t="shared" si="20"/>
        <v>1060.76</v>
      </c>
      <c r="Y59" s="2"/>
      <c r="Z59" s="7">
        <f t="shared" si="21"/>
        <v>1.2392779952100006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6">
        <v>1035.69</v>
      </c>
      <c r="E60" s="2"/>
      <c r="F60" s="7">
        <f t="shared" si="14"/>
        <v>3.4114840945635508E-3</v>
      </c>
      <c r="G60" s="2"/>
      <c r="H60" s="6">
        <v>964.88</v>
      </c>
      <c r="I60" s="2"/>
      <c r="J60" s="7">
        <f t="shared" si="15"/>
        <v>3.9768645468098076E-3</v>
      </c>
      <c r="K60" s="2"/>
      <c r="L60" s="6">
        <f t="shared" si="16"/>
        <v>70.810000000000059</v>
      </c>
      <c r="M60" s="2"/>
      <c r="N60" s="7">
        <f t="shared" si="17"/>
        <v>7.3387364231821642E-2</v>
      </c>
      <c r="O60" s="11"/>
      <c r="P60" s="6">
        <v>11556</v>
      </c>
      <c r="Q60" s="2"/>
      <c r="R60" s="7">
        <f t="shared" si="18"/>
        <v>4.9344049304287131E-3</v>
      </c>
      <c r="S60" s="2"/>
      <c r="T60" s="6">
        <v>9398.18</v>
      </c>
      <c r="U60" s="2"/>
      <c r="V60" s="7">
        <f t="shared" si="19"/>
        <v>3.9822396361338282E-3</v>
      </c>
      <c r="W60" s="2"/>
      <c r="X60" s="6">
        <f t="shared" si="20"/>
        <v>2157.8199999999997</v>
      </c>
      <c r="Y60" s="2"/>
      <c r="Z60" s="7">
        <f t="shared" si="21"/>
        <v>0.22959977357318115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6">
        <v>12.18</v>
      </c>
      <c r="E61" s="2"/>
      <c r="F61" s="7">
        <f t="shared" si="14"/>
        <v>4.011999369674714E-5</v>
      </c>
      <c r="G61" s="2"/>
      <c r="H61" s="6">
        <v>20.92</v>
      </c>
      <c r="I61" s="2"/>
      <c r="J61" s="7">
        <f t="shared" si="15"/>
        <v>8.6224200231387507E-5</v>
      </c>
      <c r="K61" s="2"/>
      <c r="L61" s="6">
        <f t="shared" si="16"/>
        <v>-8.740000000000002</v>
      </c>
      <c r="M61" s="2"/>
      <c r="N61" s="7">
        <f t="shared" si="17"/>
        <v>-0.41778202676864251</v>
      </c>
      <c r="O61" s="11"/>
      <c r="P61" s="6">
        <v>302.77</v>
      </c>
      <c r="Q61" s="2"/>
      <c r="R61" s="7">
        <f t="shared" si="18"/>
        <v>1.2928260477551934E-4</v>
      </c>
      <c r="S61" s="2"/>
      <c r="T61" s="6">
        <v>245.94</v>
      </c>
      <c r="U61" s="2"/>
      <c r="V61" s="7">
        <f t="shared" si="19"/>
        <v>1.042108169997546E-4</v>
      </c>
      <c r="W61" s="2"/>
      <c r="X61" s="6">
        <f t="shared" si="20"/>
        <v>56.829999999999984</v>
      </c>
      <c r="Y61" s="2"/>
      <c r="Z61" s="7">
        <f t="shared" si="21"/>
        <v>0.23107261933804987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6">
        <v>159.41999999999999</v>
      </c>
      <c r="E62" s="2"/>
      <c r="F62" s="7">
        <f t="shared" si="14"/>
        <v>5.2511735592244903E-4</v>
      </c>
      <c r="G62" s="2"/>
      <c r="H62" s="6">
        <v>174.42</v>
      </c>
      <c r="I62" s="2"/>
      <c r="J62" s="7">
        <f t="shared" si="15"/>
        <v>7.1889220862134833E-4</v>
      </c>
      <c r="K62" s="2"/>
      <c r="L62" s="6">
        <f t="shared" si="16"/>
        <v>-15</v>
      </c>
      <c r="M62" s="2"/>
      <c r="N62" s="7">
        <f t="shared" si="17"/>
        <v>-8.5999312005503967E-2</v>
      </c>
      <c r="O62" s="11"/>
      <c r="P62" s="6">
        <v>2488.86</v>
      </c>
      <c r="Q62" s="2"/>
      <c r="R62" s="7">
        <f t="shared" si="18"/>
        <v>1.062741697399343E-3</v>
      </c>
      <c r="S62" s="2"/>
      <c r="T62" s="6">
        <v>1916.08</v>
      </c>
      <c r="U62" s="2"/>
      <c r="V62" s="7">
        <f t="shared" si="19"/>
        <v>8.1189014490074722E-4</v>
      </c>
      <c r="W62" s="2"/>
      <c r="X62" s="6">
        <f t="shared" si="20"/>
        <v>572.7800000000002</v>
      </c>
      <c r="Y62" s="2"/>
      <c r="Z62" s="7">
        <f t="shared" si="21"/>
        <v>0.29893323869567046</v>
      </c>
    </row>
    <row r="63" spans="1:26" s="24" customFormat="1" hidden="1" outlineLevel="2" x14ac:dyDescent="0.25">
      <c r="A63" s="27"/>
      <c r="B63" s="11" t="str">
        <f>CONCATENATE("          ", "6117", " - ", "RETIREMENT STAFF HOURLY")</f>
        <v xml:space="preserve">          6117 - RETIREMENT STAFF HOURLY</v>
      </c>
      <c r="C63" s="11"/>
      <c r="D63" s="6">
        <v>382.31</v>
      </c>
      <c r="E63" s="2"/>
      <c r="F63" s="7">
        <f t="shared" si="14"/>
        <v>1.2593000648771265E-3</v>
      </c>
      <c r="G63" s="2"/>
      <c r="H63" s="6">
        <v>176.34</v>
      </c>
      <c r="I63" s="2"/>
      <c r="J63" s="7">
        <f t="shared" si="15"/>
        <v>7.268057107458352E-4</v>
      </c>
      <c r="K63" s="2"/>
      <c r="L63" s="6">
        <f t="shared" si="16"/>
        <v>205.97</v>
      </c>
      <c r="M63" s="2"/>
      <c r="N63" s="7">
        <f t="shared" si="17"/>
        <v>1.1680276738119542</v>
      </c>
      <c r="O63" s="11"/>
      <c r="P63" s="6">
        <v>1773.79</v>
      </c>
      <c r="Q63" s="2"/>
      <c r="R63" s="7">
        <f t="shared" si="18"/>
        <v>7.5740724485506632E-4</v>
      </c>
      <c r="S63" s="2"/>
      <c r="T63" s="6">
        <v>1258.78</v>
      </c>
      <c r="U63" s="2"/>
      <c r="V63" s="7">
        <f t="shared" si="19"/>
        <v>5.3337599505143968E-4</v>
      </c>
      <c r="W63" s="2"/>
      <c r="X63" s="6">
        <f t="shared" si="20"/>
        <v>515.01</v>
      </c>
      <c r="Y63" s="2"/>
      <c r="Z63" s="7">
        <f t="shared" si="21"/>
        <v>0.40913424109057978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6">
        <v>386.7</v>
      </c>
      <c r="E64" s="2"/>
      <c r="F64" s="7">
        <f t="shared" si="14"/>
        <v>1.2737603910124894E-3</v>
      </c>
      <c r="G64" s="2"/>
      <c r="H64" s="6">
        <v>146.9</v>
      </c>
      <c r="I64" s="2"/>
      <c r="J64" s="7">
        <f t="shared" si="15"/>
        <v>6.0546534483703752E-4</v>
      </c>
      <c r="K64" s="2"/>
      <c r="L64" s="6">
        <f t="shared" si="16"/>
        <v>239.79999999999998</v>
      </c>
      <c r="M64" s="2"/>
      <c r="N64" s="7">
        <f t="shared" si="17"/>
        <v>1.6324029952348535</v>
      </c>
      <c r="O64" s="11"/>
      <c r="P64" s="6">
        <v>2787.55</v>
      </c>
      <c r="Q64" s="2"/>
      <c r="R64" s="7">
        <f t="shared" si="18"/>
        <v>1.1902821446708688E-3</v>
      </c>
      <c r="S64" s="2"/>
      <c r="T64" s="6">
        <v>1692.37</v>
      </c>
      <c r="U64" s="2"/>
      <c r="V64" s="7">
        <f t="shared" si="19"/>
        <v>7.170987247534955E-4</v>
      </c>
      <c r="W64" s="2"/>
      <c r="X64" s="6">
        <f t="shared" si="20"/>
        <v>1095.1800000000003</v>
      </c>
      <c r="Y64" s="2"/>
      <c r="Z64" s="7">
        <f t="shared" si="21"/>
        <v>0.64712799210574545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6">
        <v>384.86</v>
      </c>
      <c r="E65" s="2"/>
      <c r="F65" s="7">
        <f t="shared" si="14"/>
        <v>1.2676995709466426E-3</v>
      </c>
      <c r="G65" s="2"/>
      <c r="H65" s="6">
        <v>117.58</v>
      </c>
      <c r="I65" s="2"/>
      <c r="J65" s="7">
        <f t="shared" si="15"/>
        <v>4.8461957281102018E-4</v>
      </c>
      <c r="K65" s="2"/>
      <c r="L65" s="6">
        <f t="shared" si="16"/>
        <v>267.28000000000003</v>
      </c>
      <c r="M65" s="2"/>
      <c r="N65" s="7">
        <f t="shared" si="17"/>
        <v>2.2731757101547885</v>
      </c>
      <c r="O65" s="11"/>
      <c r="P65" s="6">
        <v>-5346.7</v>
      </c>
      <c r="Q65" s="2"/>
      <c r="R65" s="7">
        <f t="shared" si="18"/>
        <v>-2.2830376290691587E-3</v>
      </c>
      <c r="S65" s="2"/>
      <c r="T65" s="6">
        <v>1402.66</v>
      </c>
      <c r="U65" s="2"/>
      <c r="V65" s="7">
        <f t="shared" si="19"/>
        <v>5.9434148399152553E-4</v>
      </c>
      <c r="W65" s="2"/>
      <c r="X65" s="6">
        <f t="shared" si="20"/>
        <v>-6749.36</v>
      </c>
      <c r="Y65" s="2"/>
      <c r="Z65" s="7">
        <f t="shared" si="21"/>
        <v>-4.8118289535596643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6">
        <v>136.66</v>
      </c>
      <c r="E66" s="2"/>
      <c r="F66" s="7">
        <f t="shared" si="14"/>
        <v>4.5014764684708249E-4</v>
      </c>
      <c r="G66" s="2"/>
      <c r="H66" s="6">
        <v>150</v>
      </c>
      <c r="I66" s="2"/>
      <c r="J66" s="7">
        <f t="shared" si="15"/>
        <v>6.182423534755318E-4</v>
      </c>
      <c r="K66" s="2"/>
      <c r="L66" s="6">
        <f t="shared" si="16"/>
        <v>-13.340000000000003</v>
      </c>
      <c r="M66" s="2"/>
      <c r="N66" s="7">
        <f t="shared" si="17"/>
        <v>-8.893333333333335E-2</v>
      </c>
      <c r="O66" s="11"/>
      <c r="P66" s="6">
        <v>1726.41</v>
      </c>
      <c r="Q66" s="2"/>
      <c r="R66" s="7">
        <f t="shared" si="18"/>
        <v>7.3717601384055335E-4</v>
      </c>
      <c r="S66" s="2"/>
      <c r="T66" s="6">
        <v>1371.31</v>
      </c>
      <c r="U66" s="2"/>
      <c r="V66" s="7">
        <f t="shared" si="19"/>
        <v>5.8105771919953429E-4</v>
      </c>
      <c r="W66" s="2"/>
      <c r="X66" s="6">
        <f t="shared" si="20"/>
        <v>355.10000000000014</v>
      </c>
      <c r="Y66" s="2"/>
      <c r="Z66" s="7">
        <f t="shared" si="21"/>
        <v>0.25894947167307186</v>
      </c>
    </row>
    <row r="67" spans="1:26" s="25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4242.6400000000003</v>
      </c>
      <c r="E67" s="1"/>
      <c r="F67" s="5">
        <f t="shared" ref="F67:F72" si="22">IF(D$12=0,0,D67/D$12)</f>
        <v>1.3974933502263327E-2</v>
      </c>
      <c r="G67" s="1"/>
      <c r="H67" s="1">
        <f>SUM(OSRRefH22_1x_0)</f>
        <v>8983.32</v>
      </c>
      <c r="I67" s="1"/>
      <c r="J67" s="5">
        <f t="shared" ref="J67:J72" si="23">IF(H$12=0,0,H67/H$12)</f>
        <v>3.7025792658825427E-2</v>
      </c>
      <c r="K67" s="1"/>
      <c r="L67" s="1">
        <f t="shared" ref="L67:L72" si="24">+D67-H67</f>
        <v>-4740.6799999999994</v>
      </c>
      <c r="M67" s="1"/>
      <c r="N67" s="5">
        <f t="shared" ref="N67:N72" si="25">IF(H67=0,0,L67/H67)</f>
        <v>-0.52772026377775694</v>
      </c>
      <c r="O67" s="13"/>
      <c r="P67" s="1">
        <f>SUM(OSRRefP22_1x_0)</f>
        <v>96222.13</v>
      </c>
      <c r="Q67" s="1"/>
      <c r="R67" s="5">
        <f t="shared" ref="R67:R72" si="26">IF(P$12=0,0,P67/P$12)</f>
        <v>4.1086790644544187E-2</v>
      </c>
      <c r="S67" s="1"/>
      <c r="T67" s="1">
        <f>SUM(OSRRefT22_1x_0)</f>
        <v>90712</v>
      </c>
      <c r="U67" s="1"/>
      <c r="V67" s="5">
        <f t="shared" ref="V67:V72" si="27">IF(T$12=0,0,T67/T$12)</f>
        <v>3.8436901812156372E-2</v>
      </c>
      <c r="W67" s="1"/>
      <c r="X67" s="1">
        <f t="shared" ref="X67:X72" si="28">+P67-T67</f>
        <v>5510.1300000000047</v>
      </c>
      <c r="Y67" s="1"/>
      <c r="Z67" s="5">
        <f t="shared" ref="Z67:Z72" si="29">IF(T67=0,0,X67/T67)</f>
        <v>6.0743121086515618E-2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6">
        <v>1825.41</v>
      </c>
      <c r="E68" s="2"/>
      <c r="F68" s="7">
        <f t="shared" si="22"/>
        <v>6.0127617154334323E-3</v>
      </c>
      <c r="G68" s="2"/>
      <c r="H68" s="6">
        <v>2549.1999999999998</v>
      </c>
      <c r="I68" s="2"/>
      <c r="J68" s="7">
        <f t="shared" si="23"/>
        <v>1.0506822716532169E-2</v>
      </c>
      <c r="K68" s="2"/>
      <c r="L68" s="6">
        <f t="shared" si="24"/>
        <v>-723.78999999999974</v>
      </c>
      <c r="M68" s="2"/>
      <c r="N68" s="7">
        <f t="shared" si="25"/>
        <v>-0.28392829122862068</v>
      </c>
      <c r="O68" s="11"/>
      <c r="P68" s="6">
        <v>32397.73</v>
      </c>
      <c r="Q68" s="2"/>
      <c r="R68" s="7">
        <f t="shared" si="26"/>
        <v>1.3833810890160803E-2</v>
      </c>
      <c r="S68" s="2"/>
      <c r="T68" s="6">
        <v>26130</v>
      </c>
      <c r="U68" s="2"/>
      <c r="V68" s="7">
        <f t="shared" si="27"/>
        <v>1.1071922616099811E-2</v>
      </c>
      <c r="W68" s="2"/>
      <c r="X68" s="6">
        <f t="shared" si="28"/>
        <v>6267.73</v>
      </c>
      <c r="Y68" s="2"/>
      <c r="Z68" s="7">
        <f t="shared" si="29"/>
        <v>0.23986720244929199</v>
      </c>
    </row>
    <row r="69" spans="1:26" s="24" customFormat="1" hidden="1" outlineLevel="2" x14ac:dyDescent="0.25">
      <c r="A69" s="27"/>
      <c r="B69" s="11" t="str">
        <f>CONCATENATE("          ", "6004", " - ", "STAFF HOURLY")</f>
        <v xml:space="preserve">          6004 - STAFF HOURLY</v>
      </c>
      <c r="C69" s="11"/>
      <c r="D69" s="6">
        <v>3412.23</v>
      </c>
      <c r="E69" s="2"/>
      <c r="F69" s="7">
        <f t="shared" si="22"/>
        <v>1.1239626115915559E-2</v>
      </c>
      <c r="G69" s="2"/>
      <c r="H69" s="6"/>
      <c r="I69" s="2"/>
      <c r="J69" s="7">
        <f t="shared" si="23"/>
        <v>0</v>
      </c>
      <c r="K69" s="2"/>
      <c r="L69" s="6">
        <f t="shared" si="24"/>
        <v>3412.23</v>
      </c>
      <c r="M69" s="2"/>
      <c r="N69" s="7">
        <f t="shared" si="25"/>
        <v>0</v>
      </c>
      <c r="O69" s="11"/>
      <c r="P69" s="6">
        <v>5831.85</v>
      </c>
      <c r="Q69" s="2"/>
      <c r="R69" s="7">
        <f t="shared" si="26"/>
        <v>2.4901963822707416E-3</v>
      </c>
      <c r="S69" s="2"/>
      <c r="T69" s="6"/>
      <c r="U69" s="2"/>
      <c r="V69" s="7">
        <f t="shared" si="27"/>
        <v>0</v>
      </c>
      <c r="W69" s="2"/>
      <c r="X69" s="6">
        <f t="shared" si="28"/>
        <v>5831.85</v>
      </c>
      <c r="Y69" s="2"/>
      <c r="Z69" s="7">
        <f t="shared" si="29"/>
        <v>0</v>
      </c>
    </row>
    <row r="70" spans="1:26" s="24" customFormat="1" hidden="1" outlineLevel="2" x14ac:dyDescent="0.25">
      <c r="A70" s="27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2"/>
        <v>0</v>
      </c>
      <c r="G70" s="2"/>
      <c r="H70" s="6">
        <v>2522.9899999999998</v>
      </c>
      <c r="I70" s="2"/>
      <c r="J70" s="7">
        <f t="shared" si="23"/>
        <v>1.0398795169301546E-2</v>
      </c>
      <c r="K70" s="2"/>
      <c r="L70" s="6">
        <f t="shared" si="24"/>
        <v>-2522.9899999999998</v>
      </c>
      <c r="M70" s="2"/>
      <c r="N70" s="7">
        <f t="shared" si="25"/>
        <v>-1</v>
      </c>
      <c r="O70" s="11"/>
      <c r="P70" s="6">
        <v>29960.57</v>
      </c>
      <c r="Q70" s="2"/>
      <c r="R70" s="7">
        <f t="shared" si="26"/>
        <v>1.2793145061133143E-2</v>
      </c>
      <c r="S70" s="2"/>
      <c r="T70" s="6">
        <v>23558.21</v>
      </c>
      <c r="U70" s="2"/>
      <c r="V70" s="7">
        <f t="shared" si="27"/>
        <v>9.9821920433918378E-3</v>
      </c>
      <c r="W70" s="2"/>
      <c r="X70" s="6">
        <f t="shared" si="28"/>
        <v>6402.3600000000006</v>
      </c>
      <c r="Y70" s="2"/>
      <c r="Z70" s="7">
        <f t="shared" si="29"/>
        <v>0.27176767674623842</v>
      </c>
    </row>
    <row r="71" spans="1:26" s="24" customFormat="1" hidden="1" outlineLevel="2" x14ac:dyDescent="0.25">
      <c r="A71" s="27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2"/>
        <v>0</v>
      </c>
      <c r="G71" s="2"/>
      <c r="H71" s="6"/>
      <c r="I71" s="2"/>
      <c r="J71" s="7">
        <f t="shared" si="23"/>
        <v>0</v>
      </c>
      <c r="K71" s="2"/>
      <c r="L71" s="6">
        <f t="shared" si="24"/>
        <v>0</v>
      </c>
      <c r="M71" s="2"/>
      <c r="N71" s="7">
        <f t="shared" si="25"/>
        <v>0</v>
      </c>
      <c r="O71" s="11"/>
      <c r="P71" s="6">
        <v>9008.99</v>
      </c>
      <c r="Q71" s="2"/>
      <c r="R71" s="7">
        <f t="shared" si="26"/>
        <v>3.8468332186035801E-3</v>
      </c>
      <c r="S71" s="2"/>
      <c r="T71" s="6"/>
      <c r="U71" s="2"/>
      <c r="V71" s="7">
        <f t="shared" si="27"/>
        <v>0</v>
      </c>
      <c r="W71" s="2"/>
      <c r="X71" s="6">
        <f t="shared" si="28"/>
        <v>9008.99</v>
      </c>
      <c r="Y71" s="2"/>
      <c r="Z71" s="7">
        <f t="shared" si="29"/>
        <v>0</v>
      </c>
    </row>
    <row r="72" spans="1:26" s="24" customFormat="1" hidden="1" outlineLevel="2" x14ac:dyDescent="0.25">
      <c r="A72" s="27"/>
      <c r="B72" s="11" t="str">
        <f>CONCATENATE("          ", "6007", " - ", "STUDENT HOURLY")</f>
        <v xml:space="preserve">          6007 - STUDENT HOURLY</v>
      </c>
      <c r="C72" s="11"/>
      <c r="D72" s="6">
        <v>-995</v>
      </c>
      <c r="E72" s="2"/>
      <c r="F72" s="7">
        <f t="shared" si="22"/>
        <v>-3.2774543290856658E-3</v>
      </c>
      <c r="G72" s="2"/>
      <c r="H72" s="6">
        <v>3911.13</v>
      </c>
      <c r="I72" s="2"/>
      <c r="J72" s="7">
        <f t="shared" si="23"/>
        <v>1.612017477299171E-2</v>
      </c>
      <c r="K72" s="2"/>
      <c r="L72" s="6">
        <f t="shared" si="24"/>
        <v>-4906.13</v>
      </c>
      <c r="M72" s="2"/>
      <c r="N72" s="7">
        <f t="shared" si="25"/>
        <v>-1.2544021804440149</v>
      </c>
      <c r="O72" s="11"/>
      <c r="P72" s="6">
        <v>19022.990000000002</v>
      </c>
      <c r="Q72" s="2"/>
      <c r="R72" s="7">
        <f t="shared" si="26"/>
        <v>8.122805092375918E-3</v>
      </c>
      <c r="S72" s="2"/>
      <c r="T72" s="6">
        <v>41023.79</v>
      </c>
      <c r="U72" s="2"/>
      <c r="V72" s="7">
        <f t="shared" si="27"/>
        <v>1.7382787152664725E-2</v>
      </c>
      <c r="W72" s="2"/>
      <c r="X72" s="6">
        <f t="shared" si="28"/>
        <v>-22000.799999999999</v>
      </c>
      <c r="Y72" s="2"/>
      <c r="Z72" s="7">
        <f t="shared" si="29"/>
        <v>-0.53629369690123707</v>
      </c>
    </row>
    <row r="73" spans="1:26" s="25" customFormat="1" outlineLevel="1" collapsed="1" x14ac:dyDescent="0.25">
      <c r="A73" s="26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5" si="30">IF(D$12=0,0,D73/D$12)</f>
        <v>0</v>
      </c>
      <c r="G73" s="1"/>
      <c r="H73" s="1">
        <f>SUM(OSRRefH22_2x_0)</f>
        <v>1038.1300000000001</v>
      </c>
      <c r="I73" s="1"/>
      <c r="J73" s="5">
        <f t="shared" ref="J73:J85" si="31">IF(H$12=0,0,H73/H$12)</f>
        <v>4.2787728960903592E-3</v>
      </c>
      <c r="K73" s="1"/>
      <c r="L73" s="1">
        <f t="shared" ref="L73:L85" si="32">+D73-H73</f>
        <v>-1038.1300000000001</v>
      </c>
      <c r="M73" s="1"/>
      <c r="N73" s="5">
        <f t="shared" ref="N73:N85" si="33">IF(H73=0,0,L73/H73)</f>
        <v>-1</v>
      </c>
      <c r="O73" s="13"/>
      <c r="P73" s="1">
        <f>SUM(OSRRefP22_2x_0)</f>
        <v>1745.92</v>
      </c>
      <c r="Q73" s="1"/>
      <c r="R73" s="5">
        <f t="shared" ref="R73:R85" si="34">IF(P$12=0,0,P73/P$12)</f>
        <v>7.45506771904993E-4</v>
      </c>
      <c r="S73" s="1"/>
      <c r="T73" s="1">
        <f>SUM(OSRRefT22_2x_0)</f>
        <v>3816.58</v>
      </c>
      <c r="U73" s="1"/>
      <c r="V73" s="5">
        <f t="shared" ref="V73:V85" si="35">IF(T$12=0,0,T73/T$12)</f>
        <v>1.6171786612382019E-3</v>
      </c>
      <c r="W73" s="1"/>
      <c r="X73" s="1">
        <f t="shared" ref="X73:X85" si="36">+P73-T73</f>
        <v>-2070.66</v>
      </c>
      <c r="Y73" s="1"/>
      <c r="Z73" s="5">
        <f t="shared" ref="Z73:Z85" si="37">IF(T73=0,0,X73/T73)</f>
        <v>-0.54254332412788409</v>
      </c>
    </row>
    <row r="74" spans="1:26" s="24" customFormat="1" hidden="1" outlineLevel="2" x14ac:dyDescent="0.25">
      <c r="A74" s="27"/>
      <c r="B74" s="11" t="str">
        <f>CONCATENATE("          ", "6362", " - ", "ADVERTISING EXPENSE")</f>
        <v xml:space="preserve">          6362 - ADVERTISING EXPENSE</v>
      </c>
      <c r="C74" s="11"/>
      <c r="D74" s="6"/>
      <c r="E74" s="2"/>
      <c r="F74" s="7">
        <f t="shared" si="30"/>
        <v>0</v>
      </c>
      <c r="G74" s="2"/>
      <c r="H74" s="6">
        <v>1038.1300000000001</v>
      </c>
      <c r="I74" s="2"/>
      <c r="J74" s="7">
        <f t="shared" si="31"/>
        <v>4.2787728960903592E-3</v>
      </c>
      <c r="K74" s="2"/>
      <c r="L74" s="6">
        <f t="shared" si="32"/>
        <v>-1038.1300000000001</v>
      </c>
      <c r="M74" s="2"/>
      <c r="N74" s="7">
        <f t="shared" si="33"/>
        <v>-1</v>
      </c>
      <c r="O74" s="11"/>
      <c r="P74" s="6">
        <v>1745.92</v>
      </c>
      <c r="Q74" s="2"/>
      <c r="R74" s="7">
        <f t="shared" si="34"/>
        <v>7.45506771904993E-4</v>
      </c>
      <c r="S74" s="2"/>
      <c r="T74" s="6">
        <v>3816.58</v>
      </c>
      <c r="U74" s="2"/>
      <c r="V74" s="7">
        <f t="shared" si="35"/>
        <v>1.6171786612382019E-3</v>
      </c>
      <c r="W74" s="2"/>
      <c r="X74" s="6">
        <f t="shared" si="36"/>
        <v>-2070.66</v>
      </c>
      <c r="Y74" s="2"/>
      <c r="Z74" s="7">
        <f t="shared" si="37"/>
        <v>-0.54254332412788409</v>
      </c>
    </row>
    <row r="75" spans="1:26" s="25" customFormat="1" outlineLevel="1" collapsed="1" x14ac:dyDescent="0.25">
      <c r="A75" s="26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0"/>
        <v>9.2374803220983328E-4</v>
      </c>
      <c r="G75" s="1"/>
      <c r="H75" s="1">
        <f>SUM(OSRRefH22_3x_0)</f>
        <v>280.44</v>
      </c>
      <c r="I75" s="1"/>
      <c r="J75" s="5">
        <f t="shared" si="31"/>
        <v>1.1558659040578542E-3</v>
      </c>
      <c r="K75" s="1"/>
      <c r="L75" s="1">
        <f t="shared" si="32"/>
        <v>0</v>
      </c>
      <c r="M75" s="1"/>
      <c r="N75" s="5">
        <f t="shared" si="33"/>
        <v>0</v>
      </c>
      <c r="O75" s="13"/>
      <c r="P75" s="1">
        <f>SUM(OSRRefP22_3x_0)</f>
        <v>2804.4</v>
      </c>
      <c r="Q75" s="1"/>
      <c r="R75" s="5">
        <f t="shared" si="34"/>
        <v>1.1974770843626067E-3</v>
      </c>
      <c r="S75" s="1"/>
      <c r="T75" s="1">
        <f>SUM(OSRRefT22_3x_0)</f>
        <v>2804.4</v>
      </c>
      <c r="U75" s="1"/>
      <c r="V75" s="5">
        <f t="shared" si="35"/>
        <v>1.1882931413926641E-3</v>
      </c>
      <c r="W75" s="1"/>
      <c r="X75" s="1">
        <f t="shared" si="36"/>
        <v>0</v>
      </c>
      <c r="Y75" s="1"/>
      <c r="Z75" s="5">
        <f t="shared" si="37"/>
        <v>0</v>
      </c>
    </row>
    <row r="76" spans="1:26" s="24" customFormat="1" hidden="1" outlineLevel="2" x14ac:dyDescent="0.25">
      <c r="A76" s="27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0"/>
        <v>9.2374803220983328E-4</v>
      </c>
      <c r="G76" s="2"/>
      <c r="H76" s="6">
        <v>280.44</v>
      </c>
      <c r="I76" s="2"/>
      <c r="J76" s="7">
        <f t="shared" si="31"/>
        <v>1.1558659040578542E-3</v>
      </c>
      <c r="K76" s="2"/>
      <c r="L76" s="6">
        <f t="shared" si="32"/>
        <v>0</v>
      </c>
      <c r="M76" s="2"/>
      <c r="N76" s="7">
        <f t="shared" si="33"/>
        <v>0</v>
      </c>
      <c r="O76" s="11"/>
      <c r="P76" s="6">
        <v>2804.4</v>
      </c>
      <c r="Q76" s="2"/>
      <c r="R76" s="7">
        <f t="shared" si="34"/>
        <v>1.1974770843626067E-3</v>
      </c>
      <c r="S76" s="2"/>
      <c r="T76" s="6">
        <v>2804.4</v>
      </c>
      <c r="U76" s="2"/>
      <c r="V76" s="7">
        <f t="shared" si="35"/>
        <v>1.1882931413926641E-3</v>
      </c>
      <c r="W76" s="2"/>
      <c r="X76" s="6">
        <f t="shared" si="36"/>
        <v>0</v>
      </c>
      <c r="Y76" s="2"/>
      <c r="Z76" s="7">
        <f t="shared" si="37"/>
        <v>0</v>
      </c>
    </row>
    <row r="77" spans="1:26" s="25" customFormat="1" outlineLevel="1" collapsed="1" x14ac:dyDescent="0.25">
      <c r="A77" s="26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15043.910000000002</v>
      </c>
      <c r="E77" s="1"/>
      <c r="F77" s="5">
        <f t="shared" si="30"/>
        <v>4.9553495433040343E-2</v>
      </c>
      <c r="G77" s="1"/>
      <c r="H77" s="1">
        <f>SUM(OSRRefH22_4x_0)</f>
        <v>-1777</v>
      </c>
      <c r="I77" s="1"/>
      <c r="J77" s="5">
        <f t="shared" si="31"/>
        <v>-7.3241110808401335E-3</v>
      </c>
      <c r="K77" s="1"/>
      <c r="L77" s="1">
        <f t="shared" si="32"/>
        <v>16820.910000000003</v>
      </c>
      <c r="M77" s="1"/>
      <c r="N77" s="5">
        <f t="shared" si="33"/>
        <v>-9.4659032076533496</v>
      </c>
      <c r="O77" s="13"/>
      <c r="P77" s="1">
        <f>SUM(OSRRefP22_4x_0)</f>
        <v>69760.240000000005</v>
      </c>
      <c r="Q77" s="1"/>
      <c r="R77" s="5">
        <f t="shared" si="34"/>
        <v>2.9787579803036549E-2</v>
      </c>
      <c r="S77" s="1"/>
      <c r="T77" s="1">
        <f>SUM(OSRRefT22_4x_0)</f>
        <v>85947.37</v>
      </c>
      <c r="U77" s="1"/>
      <c r="V77" s="5">
        <f t="shared" si="35"/>
        <v>3.6418011086769932E-2</v>
      </c>
      <c r="W77" s="1"/>
      <c r="X77" s="1">
        <f t="shared" si="36"/>
        <v>-16187.12999999999</v>
      </c>
      <c r="Y77" s="1"/>
      <c r="Z77" s="5">
        <f t="shared" si="37"/>
        <v>-0.18833770015301213</v>
      </c>
    </row>
    <row r="78" spans="1:26" s="24" customFormat="1" hidden="1" outlineLevel="2" x14ac:dyDescent="0.25">
      <c r="A78" s="27"/>
      <c r="B78" s="11" t="str">
        <f>CONCATENATE("          ", "6382", " - ", "DISCOUNTS/MARK DOWNS")</f>
        <v xml:space="preserve">          6382 - DISCOUNTS/MARK DOWNS</v>
      </c>
      <c r="C78" s="11"/>
      <c r="D78" s="6">
        <v>15043.910000000002</v>
      </c>
      <c r="E78" s="2"/>
      <c r="F78" s="7">
        <f t="shared" si="30"/>
        <v>4.9553495433040343E-2</v>
      </c>
      <c r="G78" s="2"/>
      <c r="H78" s="6">
        <v>-1777</v>
      </c>
      <c r="I78" s="2"/>
      <c r="J78" s="7">
        <f t="shared" si="31"/>
        <v>-7.3241110808401335E-3</v>
      </c>
      <c r="K78" s="2"/>
      <c r="L78" s="6">
        <f t="shared" si="32"/>
        <v>16820.910000000003</v>
      </c>
      <c r="M78" s="2"/>
      <c r="N78" s="7">
        <f t="shared" si="33"/>
        <v>-9.4659032076533496</v>
      </c>
      <c r="O78" s="11"/>
      <c r="P78" s="6">
        <v>69760.240000000005</v>
      </c>
      <c r="Q78" s="2"/>
      <c r="R78" s="7">
        <f t="shared" si="34"/>
        <v>2.9787579803036549E-2</v>
      </c>
      <c r="S78" s="2"/>
      <c r="T78" s="6">
        <v>85947.37</v>
      </c>
      <c r="U78" s="2"/>
      <c r="V78" s="7">
        <f t="shared" si="35"/>
        <v>3.6418011086769932E-2</v>
      </c>
      <c r="W78" s="2"/>
      <c r="X78" s="6">
        <f t="shared" si="36"/>
        <v>-16187.12999999999</v>
      </c>
      <c r="Y78" s="2"/>
      <c r="Z78" s="7">
        <f t="shared" si="37"/>
        <v>-0.18833770015301213</v>
      </c>
    </row>
    <row r="79" spans="1:26" s="25" customFormat="1" outlineLevel="1" collapsed="1" x14ac:dyDescent="0.25">
      <c r="A79" s="26"/>
      <c r="B79" s="13" t="str">
        <f>CONCATENATE("     ","Donations                                         ")</f>
        <v xml:space="preserve">     Donations                                         </v>
      </c>
      <c r="C79" s="13"/>
      <c r="D79" s="1">
        <f>SUM(OSRRefD22_5x_0)</f>
        <v>0</v>
      </c>
      <c r="E79" s="1"/>
      <c r="F79" s="5">
        <f t="shared" si="30"/>
        <v>0</v>
      </c>
      <c r="G79" s="1"/>
      <c r="H79" s="1">
        <f>SUM(OSRRefH22_5x_0)</f>
        <v>0</v>
      </c>
      <c r="I79" s="1"/>
      <c r="J79" s="5">
        <f t="shared" si="31"/>
        <v>0</v>
      </c>
      <c r="K79" s="1"/>
      <c r="L79" s="1">
        <f t="shared" si="32"/>
        <v>0</v>
      </c>
      <c r="M79" s="1"/>
      <c r="N79" s="5">
        <f t="shared" si="33"/>
        <v>0</v>
      </c>
      <c r="O79" s="13"/>
      <c r="P79" s="1">
        <f>SUM(OSRRefP22_5x_0)</f>
        <v>0</v>
      </c>
      <c r="Q79" s="1"/>
      <c r="R79" s="5">
        <f t="shared" si="34"/>
        <v>0</v>
      </c>
      <c r="S79" s="1"/>
      <c r="T79" s="1">
        <f>SUM(OSRRefT22_5x_0)</f>
        <v>0</v>
      </c>
      <c r="U79" s="1"/>
      <c r="V79" s="5">
        <f t="shared" si="35"/>
        <v>0</v>
      </c>
      <c r="W79" s="1"/>
      <c r="X79" s="1">
        <f t="shared" si="36"/>
        <v>0</v>
      </c>
      <c r="Y79" s="1"/>
      <c r="Z79" s="5">
        <f t="shared" si="37"/>
        <v>0</v>
      </c>
    </row>
    <row r="80" spans="1:26" s="24" customFormat="1" hidden="1" outlineLevel="2" x14ac:dyDescent="0.25">
      <c r="A80" s="27"/>
      <c r="B80" s="11" t="str">
        <f>CONCATENATE("          ", "6399", " - ", "DONATION-ON CAMPUS")</f>
        <v xml:space="preserve">          6399 - DONATION-ON CAMPUS</v>
      </c>
      <c r="C80" s="11"/>
      <c r="D80" s="6"/>
      <c r="E80" s="2"/>
      <c r="F80" s="7">
        <f t="shared" si="30"/>
        <v>0</v>
      </c>
      <c r="G80" s="2"/>
      <c r="H80" s="6"/>
      <c r="I80" s="2"/>
      <c r="J80" s="7">
        <f t="shared" si="31"/>
        <v>0</v>
      </c>
      <c r="K80" s="2"/>
      <c r="L80" s="6">
        <f t="shared" si="32"/>
        <v>0</v>
      </c>
      <c r="M80" s="2"/>
      <c r="N80" s="7">
        <f t="shared" si="33"/>
        <v>0</v>
      </c>
      <c r="O80" s="11"/>
      <c r="P80" s="6"/>
      <c r="Q80" s="2"/>
      <c r="R80" s="7">
        <f t="shared" si="34"/>
        <v>0</v>
      </c>
      <c r="S80" s="2"/>
      <c r="T80" s="6">
        <v>0</v>
      </c>
      <c r="U80" s="2"/>
      <c r="V80" s="7">
        <f t="shared" si="35"/>
        <v>0</v>
      </c>
      <c r="W80" s="2"/>
      <c r="X80" s="6">
        <f t="shared" si="36"/>
        <v>0</v>
      </c>
      <c r="Y80" s="2"/>
      <c r="Z80" s="7">
        <f t="shared" si="37"/>
        <v>0</v>
      </c>
    </row>
    <row r="81" spans="1:26" s="25" customFormat="1" outlineLevel="1" collapsed="1" x14ac:dyDescent="0.25">
      <c r="A81" s="26"/>
      <c r="B81" s="13" t="str">
        <f>CONCATENATE("     ","Employees' Appreciation                           ")</f>
        <v xml:space="preserve">     Employees' Appreciation                           </v>
      </c>
      <c r="C81" s="13"/>
      <c r="D81" s="1">
        <f>SUM(OSRRefD22_6x_0)</f>
        <v>0</v>
      </c>
      <c r="E81" s="1"/>
      <c r="F81" s="5">
        <f t="shared" si="30"/>
        <v>0</v>
      </c>
      <c r="G81" s="1"/>
      <c r="H81" s="1">
        <f>SUM(OSRRefH22_6x_0)</f>
        <v>84.31</v>
      </c>
      <c r="I81" s="1"/>
      <c r="J81" s="5">
        <f t="shared" si="31"/>
        <v>3.4749341881014725E-4</v>
      </c>
      <c r="K81" s="1"/>
      <c r="L81" s="1">
        <f t="shared" si="32"/>
        <v>-84.31</v>
      </c>
      <c r="M81" s="1"/>
      <c r="N81" s="5">
        <f t="shared" si="33"/>
        <v>-1</v>
      </c>
      <c r="O81" s="13"/>
      <c r="P81" s="1">
        <f>SUM(OSRRefP22_6x_0)</f>
        <v>0</v>
      </c>
      <c r="Q81" s="1"/>
      <c r="R81" s="5">
        <f t="shared" si="34"/>
        <v>0</v>
      </c>
      <c r="S81" s="1"/>
      <c r="T81" s="1">
        <f>SUM(OSRRefT22_6x_0)</f>
        <v>266.14999999999998</v>
      </c>
      <c r="U81" s="1"/>
      <c r="V81" s="5">
        <f t="shared" si="35"/>
        <v>1.1277429025162512E-4</v>
      </c>
      <c r="W81" s="1"/>
      <c r="X81" s="1">
        <f t="shared" si="36"/>
        <v>-266.14999999999998</v>
      </c>
      <c r="Y81" s="1"/>
      <c r="Z81" s="5">
        <f t="shared" si="37"/>
        <v>-1</v>
      </c>
    </row>
    <row r="82" spans="1:26" s="24" customFormat="1" hidden="1" outlineLevel="2" x14ac:dyDescent="0.25">
      <c r="A82" s="27"/>
      <c r="B82" s="11" t="str">
        <f>CONCATENATE("          ", "6277", " - ", "EMPLOYEE APPRECIATION")</f>
        <v xml:space="preserve">          6277 - EMPLOYEE APPRECIATION</v>
      </c>
      <c r="C82" s="11"/>
      <c r="D82" s="6"/>
      <c r="E82" s="2"/>
      <c r="F82" s="7">
        <f t="shared" si="30"/>
        <v>0</v>
      </c>
      <c r="G82" s="2"/>
      <c r="H82" s="6">
        <v>84.31</v>
      </c>
      <c r="I82" s="2"/>
      <c r="J82" s="7">
        <f t="shared" si="31"/>
        <v>3.4749341881014725E-4</v>
      </c>
      <c r="K82" s="2"/>
      <c r="L82" s="6">
        <f t="shared" si="32"/>
        <v>-84.31</v>
      </c>
      <c r="M82" s="2"/>
      <c r="N82" s="7">
        <f t="shared" si="33"/>
        <v>-1</v>
      </c>
      <c r="O82" s="11"/>
      <c r="P82" s="6"/>
      <c r="Q82" s="2"/>
      <c r="R82" s="7">
        <f t="shared" si="34"/>
        <v>0</v>
      </c>
      <c r="S82" s="2"/>
      <c r="T82" s="6">
        <v>266.14999999999998</v>
      </c>
      <c r="U82" s="2"/>
      <c r="V82" s="7">
        <f t="shared" si="35"/>
        <v>1.1277429025162512E-4</v>
      </c>
      <c r="W82" s="2"/>
      <c r="X82" s="6">
        <f t="shared" si="36"/>
        <v>-266.14999999999998</v>
      </c>
      <c r="Y82" s="2"/>
      <c r="Z82" s="7">
        <f t="shared" si="37"/>
        <v>-1</v>
      </c>
    </row>
    <row r="83" spans="1:26" s="25" customFormat="1" outlineLevel="1" collapsed="1" x14ac:dyDescent="0.25">
      <c r="A83" s="26"/>
      <c r="B83" s="13" t="str">
        <f>CONCATENATE("     ","Freight out/Postage                               ")</f>
        <v xml:space="preserve">     Freight out/Postage                               </v>
      </c>
      <c r="C83" s="13"/>
      <c r="D83" s="1">
        <f>SUM(OSRRefD22_7x_0)</f>
        <v>70.87</v>
      </c>
      <c r="E83" s="1"/>
      <c r="F83" s="5">
        <f t="shared" si="30"/>
        <v>2.3344039025356898E-4</v>
      </c>
      <c r="G83" s="1"/>
      <c r="H83" s="1">
        <f>SUM(OSRRefH22_7x_0)</f>
        <v>160.59</v>
      </c>
      <c r="I83" s="1"/>
      <c r="J83" s="5">
        <f t="shared" si="31"/>
        <v>6.6189026363090437E-4</v>
      </c>
      <c r="K83" s="1"/>
      <c r="L83" s="1">
        <f t="shared" si="32"/>
        <v>-89.72</v>
      </c>
      <c r="M83" s="1"/>
      <c r="N83" s="5">
        <f t="shared" si="33"/>
        <v>-0.55868983124727567</v>
      </c>
      <c r="O83" s="13"/>
      <c r="P83" s="1">
        <f>SUM(OSRRefP22_7x_0)</f>
        <v>120.59</v>
      </c>
      <c r="Q83" s="1"/>
      <c r="R83" s="5">
        <f t="shared" si="34"/>
        <v>5.149185622710268E-5</v>
      </c>
      <c r="S83" s="1"/>
      <c r="T83" s="1">
        <f>SUM(OSRRefT22_7x_0)</f>
        <v>272.76</v>
      </c>
      <c r="U83" s="1"/>
      <c r="V83" s="5">
        <f t="shared" si="35"/>
        <v>1.1557510955864463E-4</v>
      </c>
      <c r="W83" s="1"/>
      <c r="X83" s="1">
        <f t="shared" si="36"/>
        <v>-152.16999999999999</v>
      </c>
      <c r="Y83" s="1"/>
      <c r="Z83" s="5">
        <f t="shared" si="37"/>
        <v>-0.55788971990027858</v>
      </c>
    </row>
    <row r="84" spans="1:26" s="24" customFormat="1" hidden="1" outlineLevel="2" x14ac:dyDescent="0.25">
      <c r="A84" s="27"/>
      <c r="B84" s="11" t="str">
        <f>CONCATENATE("          ", "6305", " - ", "FREIGHT OUT")</f>
        <v xml:space="preserve">          6305 - FREIGHT OUT</v>
      </c>
      <c r="C84" s="11"/>
      <c r="D84" s="6">
        <v>70.87</v>
      </c>
      <c r="E84" s="2"/>
      <c r="F84" s="7">
        <f t="shared" si="30"/>
        <v>2.3344039025356898E-4</v>
      </c>
      <c r="G84" s="2"/>
      <c r="H84" s="6">
        <v>160.59</v>
      </c>
      <c r="I84" s="2"/>
      <c r="J84" s="7">
        <f t="shared" si="31"/>
        <v>6.6189026363090437E-4</v>
      </c>
      <c r="K84" s="2"/>
      <c r="L84" s="6">
        <f t="shared" si="32"/>
        <v>-89.72</v>
      </c>
      <c r="M84" s="2"/>
      <c r="N84" s="7">
        <f t="shared" si="33"/>
        <v>-0.55868983124727567</v>
      </c>
      <c r="O84" s="11"/>
      <c r="P84" s="6">
        <v>120.59</v>
      </c>
      <c r="Q84" s="2"/>
      <c r="R84" s="7">
        <f t="shared" si="34"/>
        <v>5.149185622710268E-5</v>
      </c>
      <c r="S84" s="2"/>
      <c r="T84" s="6">
        <v>251.93</v>
      </c>
      <c r="U84" s="2"/>
      <c r="V84" s="7">
        <f t="shared" si="35"/>
        <v>1.0674892708281766E-4</v>
      </c>
      <c r="W84" s="2"/>
      <c r="X84" s="6">
        <f t="shared" si="36"/>
        <v>-131.34</v>
      </c>
      <c r="Y84" s="2"/>
      <c r="Z84" s="7">
        <f t="shared" si="37"/>
        <v>-0.52133529154923985</v>
      </c>
    </row>
    <row r="85" spans="1:26" s="24" customFormat="1" hidden="1" outlineLevel="2" x14ac:dyDescent="0.25">
      <c r="A85" s="27"/>
      <c r="B85" s="11" t="str">
        <f>CONCATENATE("          ", "6307", " - ", "POSTAGE")</f>
        <v xml:space="preserve">          6307 - POSTAGE</v>
      </c>
      <c r="C85" s="11"/>
      <c r="D85" s="6"/>
      <c r="E85" s="2"/>
      <c r="F85" s="7">
        <f t="shared" si="30"/>
        <v>0</v>
      </c>
      <c r="G85" s="2"/>
      <c r="H85" s="6"/>
      <c r="I85" s="2"/>
      <c r="J85" s="7">
        <f t="shared" si="31"/>
        <v>0</v>
      </c>
      <c r="K85" s="2"/>
      <c r="L85" s="6">
        <f t="shared" si="32"/>
        <v>0</v>
      </c>
      <c r="M85" s="2"/>
      <c r="N85" s="7">
        <f t="shared" si="33"/>
        <v>0</v>
      </c>
      <c r="O85" s="11"/>
      <c r="P85" s="6"/>
      <c r="Q85" s="2"/>
      <c r="R85" s="7">
        <f t="shared" si="34"/>
        <v>0</v>
      </c>
      <c r="S85" s="2"/>
      <c r="T85" s="6">
        <v>20.83</v>
      </c>
      <c r="U85" s="2"/>
      <c r="V85" s="7">
        <f t="shared" si="35"/>
        <v>8.8261824758269815E-6</v>
      </c>
      <c r="W85" s="2"/>
      <c r="X85" s="6">
        <f t="shared" si="36"/>
        <v>-20.83</v>
      </c>
      <c r="Y85" s="2"/>
      <c r="Z85" s="7">
        <f t="shared" si="37"/>
        <v>-1</v>
      </c>
    </row>
    <row r="86" spans="1:26" s="25" customFormat="1" outlineLevel="1" collapsed="1" x14ac:dyDescent="0.25">
      <c r="A86" s="26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SUM(OSRRefD22_8x_0)</f>
        <v>285</v>
      </c>
      <c r="E86" s="1"/>
      <c r="F86" s="5">
        <f t="shared" ref="F86:F96" si="38">IF(D$12=0,0,D86/D$12)</f>
        <v>9.3876832541649722E-4</v>
      </c>
      <c r="G86" s="1"/>
      <c r="H86" s="1">
        <f>SUM(OSRRefH22_8x_0)</f>
        <v>285</v>
      </c>
      <c r="I86" s="1"/>
      <c r="J86" s="5">
        <f t="shared" ref="J86:J96" si="39">IF(H$12=0,0,H86/H$12)</f>
        <v>1.1746604716035105E-3</v>
      </c>
      <c r="K86" s="1"/>
      <c r="L86" s="1">
        <f t="shared" ref="L86:L96" si="40">+D86-H86</f>
        <v>0</v>
      </c>
      <c r="M86" s="1"/>
      <c r="N86" s="5">
        <f t="shared" ref="N86:N96" si="41">IF(H86=0,0,L86/H86)</f>
        <v>0</v>
      </c>
      <c r="O86" s="13"/>
      <c r="P86" s="1">
        <f>SUM(OSRRefP22_8x_0)</f>
        <v>285</v>
      </c>
      <c r="Q86" s="1"/>
      <c r="R86" s="5">
        <f t="shared" ref="R86:R96" si="42">IF(P$12=0,0,P86/P$12)</f>
        <v>1.2169482564660637E-4</v>
      </c>
      <c r="S86" s="1"/>
      <c r="T86" s="1">
        <f>SUM(OSRRefT22_8x_0)</f>
        <v>597.39</v>
      </c>
      <c r="U86" s="1"/>
      <c r="V86" s="5">
        <f t="shared" ref="V86:V96" si="43">IF(T$12=0,0,T86/T$12)</f>
        <v>2.5312881177312922E-4</v>
      </c>
      <c r="W86" s="1"/>
      <c r="X86" s="1">
        <f t="shared" ref="X86:X96" si="44">+P86-T86</f>
        <v>-312.39</v>
      </c>
      <c r="Y86" s="1"/>
      <c r="Z86" s="5">
        <f t="shared" ref="Z86:Z96" si="45">IF(T86=0,0,X86/T86)</f>
        <v>-0.52292472254306233</v>
      </c>
    </row>
    <row r="87" spans="1:26" s="24" customFormat="1" hidden="1" outlineLevel="2" x14ac:dyDescent="0.25">
      <c r="A87" s="27"/>
      <c r="B87" s="11" t="str">
        <f>CONCATENATE("          ", "6279", " - ", "GENERAL EXPENSE")</f>
        <v xml:space="preserve">          6279 - GENERAL EXPENSE</v>
      </c>
      <c r="C87" s="11"/>
      <c r="D87" s="6">
        <v>285</v>
      </c>
      <c r="E87" s="2"/>
      <c r="F87" s="7">
        <f t="shared" si="38"/>
        <v>9.3876832541649722E-4</v>
      </c>
      <c r="G87" s="2"/>
      <c r="H87" s="6">
        <v>285</v>
      </c>
      <c r="I87" s="2"/>
      <c r="J87" s="7">
        <f t="shared" si="39"/>
        <v>1.1746604716035105E-3</v>
      </c>
      <c r="K87" s="2"/>
      <c r="L87" s="6">
        <f t="shared" si="40"/>
        <v>0</v>
      </c>
      <c r="M87" s="2"/>
      <c r="N87" s="7">
        <f t="shared" si="41"/>
        <v>0</v>
      </c>
      <c r="O87" s="11"/>
      <c r="P87" s="6">
        <v>285</v>
      </c>
      <c r="Q87" s="2"/>
      <c r="R87" s="7">
        <f t="shared" si="42"/>
        <v>1.2169482564660637E-4</v>
      </c>
      <c r="S87" s="2"/>
      <c r="T87" s="6">
        <v>597.39</v>
      </c>
      <c r="U87" s="2"/>
      <c r="V87" s="7">
        <f t="shared" si="43"/>
        <v>2.5312881177312922E-4</v>
      </c>
      <c r="W87" s="2"/>
      <c r="X87" s="6">
        <f t="shared" si="44"/>
        <v>-312.39</v>
      </c>
      <c r="Y87" s="2"/>
      <c r="Z87" s="7">
        <f t="shared" si="45"/>
        <v>-0.52292472254306233</v>
      </c>
    </row>
    <row r="88" spans="1:26" s="25" customFormat="1" outlineLevel="1" collapsed="1" x14ac:dyDescent="0.25">
      <c r="A88" s="26"/>
      <c r="B88" s="13" t="str">
        <f>CONCATENATE("     ","Inventory Adjustment                              ")</f>
        <v xml:space="preserve">     Inventory Adjustment                              </v>
      </c>
      <c r="C88" s="13"/>
      <c r="D88" s="1">
        <f>SUM(OSRRefD22_9x_0)</f>
        <v>0</v>
      </c>
      <c r="E88" s="1"/>
      <c r="F88" s="5">
        <f t="shared" si="38"/>
        <v>0</v>
      </c>
      <c r="G88" s="1"/>
      <c r="H88" s="1">
        <f>SUM(OSRRefH22_9x_0)</f>
        <v>1250</v>
      </c>
      <c r="I88" s="1"/>
      <c r="J88" s="5">
        <f t="shared" si="39"/>
        <v>5.1520196122960982E-3</v>
      </c>
      <c r="K88" s="1"/>
      <c r="L88" s="1">
        <f t="shared" si="40"/>
        <v>-1250</v>
      </c>
      <c r="M88" s="1"/>
      <c r="N88" s="5">
        <f t="shared" si="41"/>
        <v>-1</v>
      </c>
      <c r="O88" s="13"/>
      <c r="P88" s="1">
        <f>SUM(OSRRefP22_9x_0)</f>
        <v>0</v>
      </c>
      <c r="Q88" s="1"/>
      <c r="R88" s="5">
        <f t="shared" si="42"/>
        <v>0</v>
      </c>
      <c r="S88" s="1"/>
      <c r="T88" s="1">
        <f>SUM(OSRRefT22_9x_0)</f>
        <v>12900</v>
      </c>
      <c r="U88" s="1"/>
      <c r="V88" s="5">
        <f t="shared" si="43"/>
        <v>5.4660467565131095E-3</v>
      </c>
      <c r="W88" s="1"/>
      <c r="X88" s="1">
        <f t="shared" si="44"/>
        <v>-12900</v>
      </c>
      <c r="Y88" s="1"/>
      <c r="Z88" s="5">
        <f t="shared" si="45"/>
        <v>-1</v>
      </c>
    </row>
    <row r="89" spans="1:26" s="24" customFormat="1" hidden="1" outlineLevel="2" x14ac:dyDescent="0.25">
      <c r="A89" s="27"/>
      <c r="B89" s="11" t="str">
        <f>CONCATENATE("          ", "6408", " - ", "INVENTORY ADJUSTMENT")</f>
        <v xml:space="preserve">          6408 - INVENTORY ADJUSTMENT</v>
      </c>
      <c r="C89" s="11"/>
      <c r="D89" s="6"/>
      <c r="E89" s="2"/>
      <c r="F89" s="7">
        <f t="shared" si="38"/>
        <v>0</v>
      </c>
      <c r="G89" s="2"/>
      <c r="H89" s="6">
        <v>1250</v>
      </c>
      <c r="I89" s="2"/>
      <c r="J89" s="7">
        <f t="shared" si="39"/>
        <v>5.1520196122960982E-3</v>
      </c>
      <c r="K89" s="2"/>
      <c r="L89" s="6">
        <f t="shared" si="40"/>
        <v>-1250</v>
      </c>
      <c r="M89" s="2"/>
      <c r="N89" s="7">
        <f t="shared" si="41"/>
        <v>-1</v>
      </c>
      <c r="O89" s="11"/>
      <c r="P89" s="6"/>
      <c r="Q89" s="2"/>
      <c r="R89" s="7">
        <f t="shared" si="42"/>
        <v>0</v>
      </c>
      <c r="S89" s="2"/>
      <c r="T89" s="6">
        <v>12900</v>
      </c>
      <c r="U89" s="2"/>
      <c r="V89" s="7">
        <f t="shared" si="43"/>
        <v>5.4660467565131095E-3</v>
      </c>
      <c r="W89" s="2"/>
      <c r="X89" s="6">
        <f t="shared" si="44"/>
        <v>-12900</v>
      </c>
      <c r="Y89" s="2"/>
      <c r="Z89" s="7">
        <f t="shared" si="45"/>
        <v>-1</v>
      </c>
    </row>
    <row r="90" spans="1:26" s="25" customFormat="1" outlineLevel="1" collapsed="1" x14ac:dyDescent="0.25">
      <c r="A90" s="26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SUM(OSRRefD22_10x_0)</f>
        <v>0</v>
      </c>
      <c r="E90" s="1"/>
      <c r="F90" s="5">
        <f t="shared" si="38"/>
        <v>0</v>
      </c>
      <c r="G90" s="1"/>
      <c r="H90" s="1">
        <f>SUM(OSRRefH22_10x_0)</f>
        <v>0</v>
      </c>
      <c r="I90" s="1"/>
      <c r="J90" s="5">
        <f t="shared" si="39"/>
        <v>0</v>
      </c>
      <c r="K90" s="1"/>
      <c r="L90" s="1">
        <f t="shared" si="40"/>
        <v>0</v>
      </c>
      <c r="M90" s="1"/>
      <c r="N90" s="5">
        <f t="shared" si="41"/>
        <v>0</v>
      </c>
      <c r="O90" s="13"/>
      <c r="P90" s="1">
        <f>SUM(OSRRefP22_10x_0)</f>
        <v>197.18</v>
      </c>
      <c r="Q90" s="1"/>
      <c r="R90" s="5">
        <f t="shared" si="42"/>
        <v>8.4195739371922265E-5</v>
      </c>
      <c r="S90" s="1"/>
      <c r="T90" s="1">
        <f>SUM(OSRRefT22_10x_0)</f>
        <v>0</v>
      </c>
      <c r="U90" s="1"/>
      <c r="V90" s="5">
        <f t="shared" si="43"/>
        <v>0</v>
      </c>
      <c r="W90" s="1"/>
      <c r="X90" s="1">
        <f t="shared" si="44"/>
        <v>197.18</v>
      </c>
      <c r="Y90" s="1"/>
      <c r="Z90" s="5">
        <f t="shared" si="45"/>
        <v>0</v>
      </c>
    </row>
    <row r="91" spans="1:26" s="24" customFormat="1" hidden="1" outlineLevel="2" x14ac:dyDescent="0.25">
      <c r="A91" s="27"/>
      <c r="B91" s="11" t="str">
        <f>CONCATENATE("          ", "6375", " - ", "OUTSIDE REPAIRS &amp; MAINTENANCE")</f>
        <v xml:space="preserve">          6375 - OUTSIDE REPAIRS &amp; MAINTENANCE</v>
      </c>
      <c r="C91" s="11"/>
      <c r="D91" s="6"/>
      <c r="E91" s="2"/>
      <c r="F91" s="7">
        <f t="shared" si="38"/>
        <v>0</v>
      </c>
      <c r="G91" s="2"/>
      <c r="H91" s="6"/>
      <c r="I91" s="2"/>
      <c r="J91" s="7">
        <f t="shared" si="39"/>
        <v>0</v>
      </c>
      <c r="K91" s="2"/>
      <c r="L91" s="6">
        <f t="shared" si="40"/>
        <v>0</v>
      </c>
      <c r="M91" s="2"/>
      <c r="N91" s="7">
        <f t="shared" si="41"/>
        <v>0</v>
      </c>
      <c r="O91" s="11"/>
      <c r="P91" s="6">
        <v>197.18</v>
      </c>
      <c r="Q91" s="2"/>
      <c r="R91" s="7">
        <f t="shared" si="42"/>
        <v>8.4195739371922265E-5</v>
      </c>
      <c r="S91" s="2"/>
      <c r="T91" s="6"/>
      <c r="U91" s="2"/>
      <c r="V91" s="7">
        <f t="shared" si="43"/>
        <v>0</v>
      </c>
      <c r="W91" s="2"/>
      <c r="X91" s="6">
        <f t="shared" si="44"/>
        <v>197.18</v>
      </c>
      <c r="Y91" s="2"/>
      <c r="Z91" s="7">
        <f t="shared" si="45"/>
        <v>0</v>
      </c>
    </row>
    <row r="92" spans="1:26" s="25" customFormat="1" outlineLevel="1" collapsed="1" x14ac:dyDescent="0.25">
      <c r="A92" s="26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SUM(OSRRefD22_11x_0)</f>
        <v>0</v>
      </c>
      <c r="E92" s="1"/>
      <c r="F92" s="5">
        <f t="shared" si="38"/>
        <v>0</v>
      </c>
      <c r="G92" s="1"/>
      <c r="H92" s="1">
        <f>SUM(OSRRefH22_11x_0)</f>
        <v>-5533.45</v>
      </c>
      <c r="I92" s="1"/>
      <c r="J92" s="5">
        <f t="shared" si="39"/>
        <v>-2.2806754338927874E-2</v>
      </c>
      <c r="K92" s="1"/>
      <c r="L92" s="1">
        <f t="shared" si="40"/>
        <v>5533.45</v>
      </c>
      <c r="M92" s="1"/>
      <c r="N92" s="5">
        <f t="shared" si="41"/>
        <v>-1</v>
      </c>
      <c r="O92" s="13"/>
      <c r="P92" s="1">
        <f>SUM(OSRRefP22_11x_0)</f>
        <v>-4886.5</v>
      </c>
      <c r="Q92" s="1"/>
      <c r="R92" s="5">
        <f t="shared" si="42"/>
        <v>-2.0865325106040073E-3</v>
      </c>
      <c r="S92" s="1"/>
      <c r="T92" s="1">
        <f>SUM(OSRRefT22_11x_0)</f>
        <v>-3152.96</v>
      </c>
      <c r="U92" s="1"/>
      <c r="V92" s="5">
        <f t="shared" si="43"/>
        <v>-1.3359865722027578E-3</v>
      </c>
      <c r="W92" s="1"/>
      <c r="X92" s="1">
        <f t="shared" si="44"/>
        <v>-1733.54</v>
      </c>
      <c r="Y92" s="1"/>
      <c r="Z92" s="5">
        <f t="shared" si="45"/>
        <v>0.54981350857606814</v>
      </c>
    </row>
    <row r="93" spans="1:26" s="24" customFormat="1" hidden="1" outlineLevel="2" x14ac:dyDescent="0.25">
      <c r="A93" s="27"/>
      <c r="B93" s="11" t="str">
        <f>CONCATENATE("          ", "6258", " - ", "MEMBERSHIP DUES")</f>
        <v xml:space="preserve">          6258 - MEMBERSHIP DUES</v>
      </c>
      <c r="C93" s="11"/>
      <c r="D93" s="6"/>
      <c r="E93" s="2"/>
      <c r="F93" s="7">
        <f t="shared" si="38"/>
        <v>0</v>
      </c>
      <c r="G93" s="2"/>
      <c r="H93" s="6">
        <v>-5533.45</v>
      </c>
      <c r="I93" s="2"/>
      <c r="J93" s="7">
        <f t="shared" si="39"/>
        <v>-2.2806754338927874E-2</v>
      </c>
      <c r="K93" s="2"/>
      <c r="L93" s="6">
        <f t="shared" si="40"/>
        <v>5533.45</v>
      </c>
      <c r="M93" s="2"/>
      <c r="N93" s="7">
        <f t="shared" si="41"/>
        <v>-1</v>
      </c>
      <c r="O93" s="11"/>
      <c r="P93" s="6">
        <v>-4886.5</v>
      </c>
      <c r="Q93" s="2"/>
      <c r="R93" s="7">
        <f t="shared" si="42"/>
        <v>-2.0865325106040073E-3</v>
      </c>
      <c r="S93" s="2"/>
      <c r="T93" s="6">
        <v>-3152.96</v>
      </c>
      <c r="U93" s="2"/>
      <c r="V93" s="7">
        <f t="shared" si="43"/>
        <v>-1.3359865722027578E-3</v>
      </c>
      <c r="W93" s="2"/>
      <c r="X93" s="6">
        <f t="shared" si="44"/>
        <v>-1733.54</v>
      </c>
      <c r="Y93" s="2"/>
      <c r="Z93" s="7">
        <f t="shared" si="45"/>
        <v>0.54981350857606814</v>
      </c>
    </row>
    <row r="94" spans="1:26" s="25" customFormat="1" outlineLevel="1" collapsed="1" x14ac:dyDescent="0.25">
      <c r="A94" s="26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SUM(OSRRefD22_12x_0)</f>
        <v>0</v>
      </c>
      <c r="E94" s="1"/>
      <c r="F94" s="5">
        <f t="shared" si="38"/>
        <v>0</v>
      </c>
      <c r="G94" s="1"/>
      <c r="H94" s="1">
        <f>SUM(OSRRefH22_12x_0)</f>
        <v>148.09</v>
      </c>
      <c r="I94" s="1"/>
      <c r="J94" s="5">
        <f t="shared" si="39"/>
        <v>6.1037006750794341E-4</v>
      </c>
      <c r="K94" s="1"/>
      <c r="L94" s="1">
        <f t="shared" si="40"/>
        <v>-148.09</v>
      </c>
      <c r="M94" s="1"/>
      <c r="N94" s="5">
        <f t="shared" si="41"/>
        <v>-1</v>
      </c>
      <c r="O94" s="13"/>
      <c r="P94" s="1">
        <f>SUM(OSRRefP22_12x_0)</f>
        <v>3135.2700000000004</v>
      </c>
      <c r="Q94" s="1"/>
      <c r="R94" s="5">
        <f t="shared" si="42"/>
        <v>1.3387583719474934E-3</v>
      </c>
      <c r="S94" s="1"/>
      <c r="T94" s="1">
        <f>SUM(OSRRefT22_12x_0)</f>
        <v>2171.7399999999998</v>
      </c>
      <c r="U94" s="1"/>
      <c r="V94" s="5">
        <f t="shared" si="43"/>
        <v>9.2021956457285115E-4</v>
      </c>
      <c r="W94" s="1"/>
      <c r="X94" s="1">
        <f t="shared" si="44"/>
        <v>963.53000000000065</v>
      </c>
      <c r="Y94" s="1"/>
      <c r="Z94" s="5">
        <f t="shared" si="45"/>
        <v>0.44366728982290732</v>
      </c>
    </row>
    <row r="95" spans="1:26" s="24" customFormat="1" hidden="1" outlineLevel="2" x14ac:dyDescent="0.25">
      <c r="A95" s="27"/>
      <c r="B95" s="11" t="str">
        <f>CONCATENATE("          ", "6241", " - ", "OFFICE EXPENSE")</f>
        <v xml:space="preserve">          6241 - OFFICE EXPENSE</v>
      </c>
      <c r="C95" s="11"/>
      <c r="D95" s="6"/>
      <c r="E95" s="2"/>
      <c r="F95" s="7">
        <f t="shared" si="38"/>
        <v>0</v>
      </c>
      <c r="G95" s="2"/>
      <c r="H95" s="6"/>
      <c r="I95" s="2"/>
      <c r="J95" s="7">
        <f t="shared" si="39"/>
        <v>0</v>
      </c>
      <c r="K95" s="2"/>
      <c r="L95" s="6">
        <f t="shared" si="40"/>
        <v>0</v>
      </c>
      <c r="M95" s="2"/>
      <c r="N95" s="7">
        <f t="shared" si="41"/>
        <v>0</v>
      </c>
      <c r="O95" s="11"/>
      <c r="P95" s="6">
        <v>1125.8900000000001</v>
      </c>
      <c r="Q95" s="2"/>
      <c r="R95" s="7">
        <f t="shared" si="42"/>
        <v>4.8075434121844793E-4</v>
      </c>
      <c r="S95" s="2"/>
      <c r="T95" s="6">
        <v>1502.46</v>
      </c>
      <c r="U95" s="2"/>
      <c r="V95" s="7">
        <f t="shared" si="43"/>
        <v>6.3662919455741759E-4</v>
      </c>
      <c r="W95" s="2"/>
      <c r="X95" s="6">
        <f t="shared" si="44"/>
        <v>-376.56999999999994</v>
      </c>
      <c r="Y95" s="2"/>
      <c r="Z95" s="7">
        <f t="shared" si="45"/>
        <v>-0.25063562424290825</v>
      </c>
    </row>
    <row r="96" spans="1:26" s="24" customFormat="1" hidden="1" outlineLevel="2" x14ac:dyDescent="0.25">
      <c r="A96" s="27"/>
      <c r="B96" s="11" t="str">
        <f>CONCATENATE("          ", "6247", " - ", "STORE SUPPLIES")</f>
        <v xml:space="preserve">          6247 - STORE SUPPLIES</v>
      </c>
      <c r="C96" s="11"/>
      <c r="D96" s="6"/>
      <c r="E96" s="2"/>
      <c r="F96" s="7">
        <f t="shared" si="38"/>
        <v>0</v>
      </c>
      <c r="G96" s="2"/>
      <c r="H96" s="6">
        <v>148.09</v>
      </c>
      <c r="I96" s="2"/>
      <c r="J96" s="7">
        <f t="shared" si="39"/>
        <v>6.1037006750794341E-4</v>
      </c>
      <c r="K96" s="2"/>
      <c r="L96" s="6">
        <f t="shared" si="40"/>
        <v>-148.09</v>
      </c>
      <c r="M96" s="2"/>
      <c r="N96" s="7">
        <f t="shared" si="41"/>
        <v>-1</v>
      </c>
      <c r="O96" s="11"/>
      <c r="P96" s="6">
        <v>2009.38</v>
      </c>
      <c r="Q96" s="2"/>
      <c r="R96" s="7">
        <f t="shared" si="42"/>
        <v>8.5800403072904539E-4</v>
      </c>
      <c r="S96" s="2"/>
      <c r="T96" s="6">
        <v>669.28</v>
      </c>
      <c r="U96" s="2"/>
      <c r="V96" s="7">
        <f t="shared" si="43"/>
        <v>2.8359037001543367E-4</v>
      </c>
      <c r="W96" s="2"/>
      <c r="X96" s="6">
        <f t="shared" si="44"/>
        <v>1340.1000000000001</v>
      </c>
      <c r="Y96" s="2"/>
      <c r="Z96" s="7">
        <f t="shared" si="45"/>
        <v>2.0023009801577816</v>
      </c>
    </row>
    <row r="97" spans="1:26" s="25" customFormat="1" outlineLevel="1" collapsed="1" x14ac:dyDescent="0.25">
      <c r="A97" s="26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SUM(OSRRefD22_13x_0)</f>
        <v>207.85</v>
      </c>
      <c r="E97" s="1"/>
      <c r="F97" s="5">
        <f t="shared" ref="F97:F103" si="46">IF(D$12=0,0,D97/D$12)</f>
        <v>6.8464209276427701E-4</v>
      </c>
      <c r="G97" s="1"/>
      <c r="H97" s="1">
        <f>SUM(OSRRefH22_13x_0)</f>
        <v>220.15</v>
      </c>
      <c r="I97" s="1"/>
      <c r="J97" s="5">
        <f t="shared" ref="J97:J103" si="47">IF(H$12=0,0,H97/H$12)</f>
        <v>9.0737369411758887E-4</v>
      </c>
      <c r="K97" s="1"/>
      <c r="L97" s="1">
        <f t="shared" ref="L97:L103" si="48">+D97-H97</f>
        <v>-12.300000000000011</v>
      </c>
      <c r="M97" s="1"/>
      <c r="N97" s="5">
        <f t="shared" ref="N97:N103" si="49">IF(H97=0,0,L97/H97)</f>
        <v>-5.5870997047467688E-2</v>
      </c>
      <c r="O97" s="13"/>
      <c r="P97" s="1">
        <f>SUM(OSRRefP22_13x_0)</f>
        <v>2512.4499999999998</v>
      </c>
      <c r="Q97" s="1"/>
      <c r="R97" s="5">
        <f t="shared" ref="R97:R103" si="50">IF(P$12=0,0,P97/P$12)</f>
        <v>1.072814612967776E-3</v>
      </c>
      <c r="S97" s="1"/>
      <c r="T97" s="1">
        <f>SUM(OSRRefT22_13x_0)</f>
        <v>2963.57</v>
      </c>
      <c r="U97" s="1"/>
      <c r="V97" s="5">
        <f t="shared" ref="V97:V103" si="51">IF(T$12=0,0,T97/T$12)</f>
        <v>1.2557373787751595E-3</v>
      </c>
      <c r="W97" s="1"/>
      <c r="X97" s="1">
        <f t="shared" ref="X97:X103" si="52">+P97-T97</f>
        <v>-451.12000000000035</v>
      </c>
      <c r="Y97" s="1"/>
      <c r="Z97" s="5">
        <f t="shared" ref="Z97:Z103" si="53">IF(T97=0,0,X97/T97)</f>
        <v>-0.15222181355594783</v>
      </c>
    </row>
    <row r="98" spans="1:26" s="24" customFormat="1" hidden="1" outlineLevel="2" x14ac:dyDescent="0.25">
      <c r="A98" s="27"/>
      <c r="B98" s="11" t="str">
        <f>CONCATENATE("          ", "6309", " - ", "TELEPHONE")</f>
        <v xml:space="preserve">          6309 - TELEPHONE</v>
      </c>
      <c r="C98" s="11"/>
      <c r="D98" s="6">
        <v>207.85</v>
      </c>
      <c r="E98" s="2"/>
      <c r="F98" s="7">
        <f t="shared" si="46"/>
        <v>6.8464209276427701E-4</v>
      </c>
      <c r="G98" s="2"/>
      <c r="H98" s="6">
        <v>220.15</v>
      </c>
      <c r="I98" s="2"/>
      <c r="J98" s="7">
        <f t="shared" si="47"/>
        <v>9.0737369411758887E-4</v>
      </c>
      <c r="K98" s="2"/>
      <c r="L98" s="6">
        <f t="shared" si="48"/>
        <v>-12.300000000000011</v>
      </c>
      <c r="M98" s="2"/>
      <c r="N98" s="7">
        <f t="shared" si="49"/>
        <v>-5.5870997047467688E-2</v>
      </c>
      <c r="O98" s="11"/>
      <c r="P98" s="6">
        <v>2512.4499999999998</v>
      </c>
      <c r="Q98" s="2"/>
      <c r="R98" s="7">
        <f t="shared" si="50"/>
        <v>1.072814612967776E-3</v>
      </c>
      <c r="S98" s="2"/>
      <c r="T98" s="6">
        <v>2963.57</v>
      </c>
      <c r="U98" s="2"/>
      <c r="V98" s="7">
        <f t="shared" si="51"/>
        <v>1.2557373787751595E-3</v>
      </c>
      <c r="W98" s="2"/>
      <c r="X98" s="6">
        <f t="shared" si="52"/>
        <v>-451.12000000000035</v>
      </c>
      <c r="Y98" s="2"/>
      <c r="Z98" s="7">
        <f t="shared" si="53"/>
        <v>-0.15222181355594783</v>
      </c>
    </row>
    <row r="99" spans="1:26" s="25" customFormat="1" outlineLevel="1" collapsed="1" x14ac:dyDescent="0.25">
      <c r="A99" s="26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SUM(OSRRefD22_14x_0)</f>
        <v>0</v>
      </c>
      <c r="E99" s="1"/>
      <c r="F99" s="5">
        <f t="shared" si="46"/>
        <v>0</v>
      </c>
      <c r="G99" s="1"/>
      <c r="H99" s="1">
        <f>SUM(OSRRefH22_14x_0)</f>
        <v>-157.22999999999999</v>
      </c>
      <c r="I99" s="1"/>
      <c r="J99" s="5">
        <f t="shared" si="47"/>
        <v>-6.4804163491305239E-4</v>
      </c>
      <c r="K99" s="1"/>
      <c r="L99" s="1">
        <f t="shared" si="48"/>
        <v>157.22999999999999</v>
      </c>
      <c r="M99" s="1"/>
      <c r="N99" s="5">
        <f t="shared" si="49"/>
        <v>-1</v>
      </c>
      <c r="O99" s="13"/>
      <c r="P99" s="1">
        <f>SUM(OSRRefP22_14x_0)</f>
        <v>1875.75</v>
      </c>
      <c r="Q99" s="1"/>
      <c r="R99" s="5">
        <f t="shared" si="50"/>
        <v>8.0094410247937508E-4</v>
      </c>
      <c r="S99" s="1"/>
      <c r="T99" s="1">
        <f>SUM(OSRRefT22_14x_0)</f>
        <v>1266.9100000000001</v>
      </c>
      <c r="U99" s="1"/>
      <c r="V99" s="5">
        <f t="shared" si="51"/>
        <v>5.368208756817073E-4</v>
      </c>
      <c r="W99" s="1"/>
      <c r="X99" s="1">
        <f t="shared" si="52"/>
        <v>608.83999999999992</v>
      </c>
      <c r="Y99" s="1"/>
      <c r="Z99" s="5">
        <f t="shared" si="53"/>
        <v>0.48057083770749293</v>
      </c>
    </row>
    <row r="100" spans="1:26" s="24" customFormat="1" hidden="1" outlineLevel="2" x14ac:dyDescent="0.25">
      <c r="A100" s="27"/>
      <c r="B100" s="11" t="str">
        <f>CONCATENATE("          ", "6376", " - ", "TRAINING")</f>
        <v xml:space="preserve">          6376 - TRAINING</v>
      </c>
      <c r="C100" s="11"/>
      <c r="D100" s="6"/>
      <c r="E100" s="2"/>
      <c r="F100" s="7">
        <f t="shared" si="46"/>
        <v>0</v>
      </c>
      <c r="G100" s="2"/>
      <c r="H100" s="6">
        <v>-157.22999999999999</v>
      </c>
      <c r="I100" s="2"/>
      <c r="J100" s="7">
        <f t="shared" si="47"/>
        <v>-6.4804163491305239E-4</v>
      </c>
      <c r="K100" s="2"/>
      <c r="L100" s="6">
        <f t="shared" si="48"/>
        <v>157.22999999999999</v>
      </c>
      <c r="M100" s="2"/>
      <c r="N100" s="7">
        <f t="shared" si="49"/>
        <v>-1</v>
      </c>
      <c r="O100" s="11"/>
      <c r="P100" s="6">
        <v>1875.75</v>
      </c>
      <c r="Q100" s="2"/>
      <c r="R100" s="7">
        <f t="shared" si="50"/>
        <v>8.0094410247937508E-4</v>
      </c>
      <c r="S100" s="2"/>
      <c r="T100" s="6">
        <v>1266.9100000000001</v>
      </c>
      <c r="U100" s="2"/>
      <c r="V100" s="7">
        <f t="shared" si="51"/>
        <v>5.368208756817073E-4</v>
      </c>
      <c r="W100" s="2"/>
      <c r="X100" s="6">
        <f t="shared" si="52"/>
        <v>608.83999999999992</v>
      </c>
      <c r="Y100" s="2"/>
      <c r="Z100" s="7">
        <f t="shared" si="53"/>
        <v>0.48057083770749293</v>
      </c>
    </row>
    <row r="101" spans="1:26" s="25" customFormat="1" outlineLevel="1" collapsed="1" x14ac:dyDescent="0.25">
      <c r="A101" s="26"/>
      <c r="B101" s="13" t="str">
        <f>CONCATENATE("     ","Travel                                            ")</f>
        <v xml:space="preserve">     Travel                                            </v>
      </c>
      <c r="C101" s="13"/>
      <c r="D101" s="1">
        <f>SUM(OSRRefD22_15x_0)</f>
        <v>0</v>
      </c>
      <c r="E101" s="1"/>
      <c r="F101" s="5">
        <f t="shared" si="46"/>
        <v>0</v>
      </c>
      <c r="G101" s="1"/>
      <c r="H101" s="1">
        <f>SUM(OSRRefH22_15x_0)</f>
        <v>347.07</v>
      </c>
      <c r="I101" s="1"/>
      <c r="J101" s="5">
        <f t="shared" si="47"/>
        <v>1.4304891574716855E-3</v>
      </c>
      <c r="K101" s="1"/>
      <c r="L101" s="1">
        <f t="shared" si="48"/>
        <v>-347.07</v>
      </c>
      <c r="M101" s="1"/>
      <c r="N101" s="5">
        <f t="shared" si="49"/>
        <v>-1</v>
      </c>
      <c r="O101" s="13"/>
      <c r="P101" s="1">
        <f>SUM(OSRRefP22_15x_0)</f>
        <v>-178.06</v>
      </c>
      <c r="Q101" s="1"/>
      <c r="R101" s="5">
        <f t="shared" si="50"/>
        <v>-7.6031511068893793E-5</v>
      </c>
      <c r="S101" s="1"/>
      <c r="T101" s="1">
        <f>SUM(OSRRefT22_15x_0)</f>
        <v>1303.3900000000001</v>
      </c>
      <c r="U101" s="1"/>
      <c r="V101" s="5">
        <f t="shared" si="51"/>
        <v>5.5227834743966071E-4</v>
      </c>
      <c r="W101" s="1"/>
      <c r="X101" s="1">
        <f t="shared" si="52"/>
        <v>-1481.45</v>
      </c>
      <c r="Y101" s="1"/>
      <c r="Z101" s="5">
        <f t="shared" si="53"/>
        <v>-1.1366129861361527</v>
      </c>
    </row>
    <row r="102" spans="1:26" s="24" customFormat="1" hidden="1" outlineLevel="2" x14ac:dyDescent="0.25">
      <c r="A102" s="27"/>
      <c r="B102" s="11" t="str">
        <f>CONCATENATE("          ", "6292", " - ", "TRAVEL/CONFERENCE")</f>
        <v xml:space="preserve">          6292 - TRAVEL/CONFERENCE</v>
      </c>
      <c r="C102" s="11"/>
      <c r="D102" s="6"/>
      <c r="E102" s="2"/>
      <c r="F102" s="7">
        <f t="shared" si="46"/>
        <v>0</v>
      </c>
      <c r="G102" s="2"/>
      <c r="H102" s="6">
        <v>42.51</v>
      </c>
      <c r="I102" s="2"/>
      <c r="J102" s="7">
        <f t="shared" si="47"/>
        <v>1.752098829749657E-4</v>
      </c>
      <c r="K102" s="2"/>
      <c r="L102" s="6">
        <f t="shared" si="48"/>
        <v>-42.51</v>
      </c>
      <c r="M102" s="2"/>
      <c r="N102" s="7">
        <f t="shared" si="49"/>
        <v>-1</v>
      </c>
      <c r="O102" s="11"/>
      <c r="P102" s="6">
        <v>-178.06</v>
      </c>
      <c r="Q102" s="2"/>
      <c r="R102" s="7">
        <f t="shared" si="50"/>
        <v>-7.6031511068893793E-5</v>
      </c>
      <c r="S102" s="2"/>
      <c r="T102" s="6">
        <v>998.83</v>
      </c>
      <c r="U102" s="2"/>
      <c r="V102" s="7">
        <f t="shared" si="51"/>
        <v>4.2322879703937904E-4</v>
      </c>
      <c r="W102" s="2"/>
      <c r="X102" s="6">
        <f t="shared" si="52"/>
        <v>-1176.8900000000001</v>
      </c>
      <c r="Y102" s="2"/>
      <c r="Z102" s="7">
        <f t="shared" si="53"/>
        <v>-1.1782685742318513</v>
      </c>
    </row>
    <row r="103" spans="1:26" s="24" customFormat="1" hidden="1" outlineLevel="2" x14ac:dyDescent="0.25">
      <c r="A103" s="27"/>
      <c r="B103" s="11" t="str">
        <f>CONCATENATE("          ", "6294", " - ", "TRAVEL OPERATIONAL")</f>
        <v xml:space="preserve">          6294 - TRAVEL OPERATIONAL</v>
      </c>
      <c r="C103" s="11"/>
      <c r="D103" s="6"/>
      <c r="E103" s="2"/>
      <c r="F103" s="7">
        <f t="shared" si="46"/>
        <v>0</v>
      </c>
      <c r="G103" s="2"/>
      <c r="H103" s="6">
        <v>304.56</v>
      </c>
      <c r="I103" s="2"/>
      <c r="J103" s="7">
        <f t="shared" si="47"/>
        <v>1.2552792744967198E-3</v>
      </c>
      <c r="K103" s="2"/>
      <c r="L103" s="6">
        <f t="shared" si="48"/>
        <v>-304.56</v>
      </c>
      <c r="M103" s="2"/>
      <c r="N103" s="7">
        <f t="shared" si="49"/>
        <v>-1</v>
      </c>
      <c r="O103" s="11"/>
      <c r="P103" s="6"/>
      <c r="Q103" s="2"/>
      <c r="R103" s="7">
        <f t="shared" si="50"/>
        <v>0</v>
      </c>
      <c r="S103" s="2"/>
      <c r="T103" s="6">
        <v>304.56</v>
      </c>
      <c r="U103" s="2"/>
      <c r="V103" s="7">
        <f t="shared" si="51"/>
        <v>1.2904955040028162E-4</v>
      </c>
      <c r="W103" s="2"/>
      <c r="X103" s="6">
        <f t="shared" si="52"/>
        <v>-304.56</v>
      </c>
      <c r="Y103" s="2"/>
      <c r="Z103" s="7">
        <f t="shared" si="53"/>
        <v>-1</v>
      </c>
    </row>
    <row r="104" spans="1:26" s="53" customFormat="1" x14ac:dyDescent="0.25">
      <c r="A104" s="37"/>
      <c r="B104" s="37"/>
      <c r="C104" s="37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7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25">
      <c r="A105" s="10"/>
      <c r="B105" s="29" t="s">
        <v>0</v>
      </c>
      <c r="C105" s="10"/>
      <c r="D105" s="4">
        <f>SUM(OSRRefD25x_0)</f>
        <v>513.69000000000005</v>
      </c>
      <c r="E105" s="4"/>
      <c r="F105" s="12">
        <f t="shared" ref="F105:F109" si="54">IF(D$12=0,0,D105/D$12)</f>
        <v>1.6920557932743876E-3</v>
      </c>
      <c r="G105" s="4"/>
      <c r="H105" s="4">
        <f>SUM(OSRRefH25x_0)</f>
        <v>-912.6400000000001</v>
      </c>
      <c r="I105" s="4"/>
      <c r="J105" s="12">
        <f t="shared" ref="J105:J109" si="55">IF(H$12=0,0,H105/H$12)</f>
        <v>-3.7615513431727291E-3</v>
      </c>
      <c r="K105" s="4"/>
      <c r="L105" s="4">
        <f t="shared" ref="L105:L109" si="56">+D105-H105</f>
        <v>1426.3300000000002</v>
      </c>
      <c r="M105" s="4"/>
      <c r="N105" s="12">
        <f t="shared" ref="N105:N109" si="57">IF(H105=0,0,L105/H105)</f>
        <v>-1.5628615883590462</v>
      </c>
      <c r="O105" s="10"/>
      <c r="P105" s="4">
        <f>SUM(OSRRefP25x_0)</f>
        <v>13657.330000000002</v>
      </c>
      <c r="Q105" s="4"/>
      <c r="R105" s="12">
        <f t="shared" ref="R105:R109" si="58">IF(P$12=0,0,P105/P$12)</f>
        <v>5.8316715549058488E-3</v>
      </c>
      <c r="S105" s="4"/>
      <c r="T105" s="4">
        <f>SUM(OSRRefT25x_0)</f>
        <v>8886.7099999999991</v>
      </c>
      <c r="U105" s="4"/>
      <c r="V105" s="12">
        <f t="shared" ref="V105:V109" si="59">IF(T$12=0,0,T105/T$12)</f>
        <v>3.7655172381064043E-3</v>
      </c>
      <c r="W105" s="4"/>
      <c r="X105" s="4">
        <f t="shared" ref="X105:X109" si="60">+P105-T105</f>
        <v>4770.6200000000026</v>
      </c>
      <c r="Y105" s="4"/>
      <c r="Z105" s="12">
        <f t="shared" ref="Z105:Z109" si="61">IF(T105=0,0,X105/T105)</f>
        <v>0.53682633955648418</v>
      </c>
    </row>
    <row r="106" spans="1:26" s="24" customFormat="1" hidden="1" outlineLevel="1" x14ac:dyDescent="0.25">
      <c r="A106" s="44"/>
      <c r="B106" s="11" t="str">
        <f>CONCATENATE("          ", "4187", " - ", "NON-TAXABLE SALES-COMPUTER REP")</f>
        <v xml:space="preserve">          4187 - NON-TAXABLE SALES-COMPUTER REP</v>
      </c>
      <c r="C106" s="11"/>
      <c r="D106" s="2">
        <f>--603.69</f>
        <v>603.69000000000005</v>
      </c>
      <c r="E106" s="2"/>
      <c r="F106" s="19">
        <f t="shared" si="54"/>
        <v>1.9885089486690712E-3</v>
      </c>
      <c r="G106" s="2"/>
      <c r="H106" s="2">
        <f>-129.57</f>
        <v>-129.57</v>
      </c>
      <c r="I106" s="2"/>
      <c r="J106" s="19">
        <f t="shared" si="55"/>
        <v>-5.3403774493216436E-4</v>
      </c>
      <c r="K106" s="2"/>
      <c r="L106" s="2">
        <f t="shared" si="56"/>
        <v>733.26</v>
      </c>
      <c r="M106" s="2"/>
      <c r="N106" s="19">
        <f t="shared" si="57"/>
        <v>-5.6591803658254225</v>
      </c>
      <c r="O106" s="11"/>
      <c r="P106" s="2">
        <f>--16183.2</f>
        <v>16183.2</v>
      </c>
      <c r="Q106" s="2"/>
      <c r="R106" s="19">
        <f t="shared" si="58"/>
        <v>6.9102164996637204E-3</v>
      </c>
      <c r="S106" s="2"/>
      <c r="T106" s="2">
        <f>--6832.37</f>
        <v>6832.37</v>
      </c>
      <c r="U106" s="2"/>
      <c r="V106" s="19">
        <f t="shared" si="59"/>
        <v>2.8950429362633702E-3</v>
      </c>
      <c r="W106" s="2"/>
      <c r="X106" s="2">
        <f t="shared" si="60"/>
        <v>9350.8300000000017</v>
      </c>
      <c r="Y106" s="2"/>
      <c r="Z106" s="19">
        <f t="shared" si="61"/>
        <v>1.368607086560008</v>
      </c>
    </row>
    <row r="107" spans="1:26" s="24" customFormat="1" hidden="1" outlineLevel="1" x14ac:dyDescent="0.25">
      <c r="A107" s="44"/>
      <c r="B107" s="11" t="str">
        <f>CONCATENATE("          ", "4387", " - ", "SALES RETURN NON TAXABLE-COMPU")</f>
        <v xml:space="preserve">          4387 - SALES RETURN NON TAXABLE-COMPU</v>
      </c>
      <c r="C107" s="11"/>
      <c r="D107" s="2">
        <f t="shared" ref="D107:D108" si="62">0</f>
        <v>0</v>
      </c>
      <c r="E107" s="2"/>
      <c r="F107" s="19">
        <f t="shared" si="54"/>
        <v>0</v>
      </c>
      <c r="G107" s="2"/>
      <c r="H107" s="2">
        <f t="shared" ref="H107:H108" si="63">0</f>
        <v>0</v>
      </c>
      <c r="I107" s="2"/>
      <c r="J107" s="19">
        <f t="shared" si="55"/>
        <v>0</v>
      </c>
      <c r="K107" s="2"/>
      <c r="L107" s="2">
        <f t="shared" si="56"/>
        <v>0</v>
      </c>
      <c r="M107" s="2"/>
      <c r="N107" s="19">
        <f t="shared" si="57"/>
        <v>0</v>
      </c>
      <c r="O107" s="11"/>
      <c r="P107" s="2">
        <f>-7889</f>
        <v>-7889</v>
      </c>
      <c r="Q107" s="2"/>
      <c r="R107" s="19">
        <f t="shared" si="58"/>
        <v>-3.3685981737757113E-3</v>
      </c>
      <c r="S107" s="2"/>
      <c r="T107" s="2">
        <f>0</f>
        <v>0</v>
      </c>
      <c r="U107" s="2"/>
      <c r="V107" s="19">
        <f t="shared" si="59"/>
        <v>0</v>
      </c>
      <c r="W107" s="2"/>
      <c r="X107" s="2">
        <f t="shared" si="60"/>
        <v>-7889</v>
      </c>
      <c r="Y107" s="2"/>
      <c r="Z107" s="19">
        <f t="shared" si="61"/>
        <v>0</v>
      </c>
    </row>
    <row r="108" spans="1:26" s="24" customFormat="1" hidden="1" outlineLevel="1" x14ac:dyDescent="0.25">
      <c r="A108" s="44"/>
      <c r="B108" s="11" t="str">
        <f>CONCATENATE("          ", "5087", " - ", "PURCHASES @ COST-COMPUTER REPA")</f>
        <v xml:space="preserve">          5087 - PURCHASES @ COST-COMPUTER REPA</v>
      </c>
      <c r="C108" s="11"/>
      <c r="D108" s="2">
        <f t="shared" si="62"/>
        <v>0</v>
      </c>
      <c r="E108" s="2"/>
      <c r="F108" s="19">
        <f t="shared" si="54"/>
        <v>0</v>
      </c>
      <c r="G108" s="2"/>
      <c r="H108" s="2">
        <f t="shared" si="63"/>
        <v>0</v>
      </c>
      <c r="I108" s="2"/>
      <c r="J108" s="19">
        <f t="shared" si="55"/>
        <v>0</v>
      </c>
      <c r="K108" s="2"/>
      <c r="L108" s="2">
        <f t="shared" si="56"/>
        <v>0</v>
      </c>
      <c r="M108" s="2"/>
      <c r="N108" s="19">
        <f t="shared" si="57"/>
        <v>0</v>
      </c>
      <c r="O108" s="11"/>
      <c r="P108" s="2">
        <f>-104.76</f>
        <v>-104.76</v>
      </c>
      <c r="Q108" s="2"/>
      <c r="R108" s="19">
        <f t="shared" si="58"/>
        <v>-4.4732455911363103E-5</v>
      </c>
      <c r="S108" s="2"/>
      <c r="T108" s="2">
        <f>-240.2</f>
        <v>-240.2</v>
      </c>
      <c r="U108" s="2"/>
      <c r="V108" s="19">
        <f t="shared" si="59"/>
        <v>-1.0177863805538363E-4</v>
      </c>
      <c r="W108" s="2"/>
      <c r="X108" s="2">
        <f t="shared" si="60"/>
        <v>135.44</v>
      </c>
      <c r="Y108" s="2"/>
      <c r="Z108" s="19">
        <f t="shared" si="61"/>
        <v>-0.56386344712739389</v>
      </c>
    </row>
    <row r="109" spans="1:26" s="24" customFormat="1" hidden="1" outlineLevel="1" x14ac:dyDescent="0.25">
      <c r="A109" s="44"/>
      <c r="B109" s="11" t="str">
        <f>CONCATENATE("          ", "9150", " - ", "MISC. INCOME")</f>
        <v xml:space="preserve">          9150 - MISC. INCOME</v>
      </c>
      <c r="C109" s="11"/>
      <c r="D109" s="2">
        <f>-90</f>
        <v>-90</v>
      </c>
      <c r="E109" s="2"/>
      <c r="F109" s="19">
        <f t="shared" si="54"/>
        <v>-2.964531553946833E-4</v>
      </c>
      <c r="G109" s="2"/>
      <c r="H109" s="2">
        <f>-783.07</f>
        <v>-783.07</v>
      </c>
      <c r="I109" s="2"/>
      <c r="J109" s="19">
        <f t="shared" si="55"/>
        <v>-3.2275135982405647E-3</v>
      </c>
      <c r="K109" s="2"/>
      <c r="L109" s="2">
        <f t="shared" si="56"/>
        <v>693.07</v>
      </c>
      <c r="M109" s="2"/>
      <c r="N109" s="19">
        <f t="shared" si="57"/>
        <v>-0.88506774617850259</v>
      </c>
      <c r="O109" s="11"/>
      <c r="P109" s="2">
        <f>--5467.89</f>
        <v>5467.89</v>
      </c>
      <c r="Q109" s="2"/>
      <c r="R109" s="19">
        <f t="shared" si="58"/>
        <v>2.3347856849292021E-3</v>
      </c>
      <c r="S109" s="2"/>
      <c r="T109" s="2">
        <f>--2294.54</f>
        <v>2294.54</v>
      </c>
      <c r="U109" s="2"/>
      <c r="V109" s="19">
        <f t="shared" si="59"/>
        <v>9.7225293989841794E-4</v>
      </c>
      <c r="W109" s="2"/>
      <c r="X109" s="2">
        <f t="shared" si="60"/>
        <v>3173.3500000000004</v>
      </c>
      <c r="Y109" s="2"/>
      <c r="Z109" s="19">
        <f t="shared" si="61"/>
        <v>1.3830005142642972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10"/>
      <c r="B111" s="28" t="s">
        <v>3</v>
      </c>
      <c r="C111" s="28"/>
      <c r="D111" s="21">
        <f>+D54-D56+D105</f>
        <v>25046.259999999947</v>
      </c>
      <c r="E111" s="14"/>
      <c r="F111" s="20">
        <f>IF(D$12=0,0,D111/D$12)</f>
        <v>8.250047564261806E-2</v>
      </c>
      <c r="G111" s="14"/>
      <c r="H111" s="21">
        <f>+H54-H56+H105</f>
        <v>28107.870000000021</v>
      </c>
      <c r="I111" s="14"/>
      <c r="J111" s="20">
        <f>IF(H$12=0,0,H111/H$12)</f>
        <v>0.11584983799989539</v>
      </c>
      <c r="K111" s="15"/>
      <c r="L111" s="21">
        <f>+D111-H111</f>
        <v>-3061.6100000000733</v>
      </c>
      <c r="M111" s="15"/>
      <c r="N111" s="20">
        <f>IF(H111=0,0,L111/H111)</f>
        <v>-0.10892358616999691</v>
      </c>
      <c r="O111" s="29"/>
      <c r="P111" s="21">
        <f>+P54-P56+P105</f>
        <v>125283.65999999903</v>
      </c>
      <c r="Q111" s="14"/>
      <c r="R111" s="20">
        <f>IF(P$12=0,0,P111/P$12)</f>
        <v>5.3496046175679282E-2</v>
      </c>
      <c r="S111" s="14"/>
      <c r="T111" s="21">
        <f>+T54-T56+T105</f>
        <v>145813.30999999866</v>
      </c>
      <c r="U111" s="14"/>
      <c r="V111" s="20">
        <f>IF(T$12=0,0,T111/T$12)</f>
        <v>6.1784679859064599E-2</v>
      </c>
      <c r="W111" s="15"/>
      <c r="X111" s="21">
        <f>+P111-T111</f>
        <v>-20529.64999999963</v>
      </c>
      <c r="Y111" s="15"/>
      <c r="Z111" s="20">
        <f>IF(T111=0,0,X111/T111)</f>
        <v>-0.14079407428580984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51"/>
      <c r="B113" s="10" t="s">
        <v>13</v>
      </c>
      <c r="C113" s="10"/>
      <c r="D113" s="4">
        <v>47496.2</v>
      </c>
      <c r="E113" s="4"/>
      <c r="F113" s="12">
        <f>IF(D$12=0,0,D113/D$12)</f>
        <v>0.15644887065841065</v>
      </c>
      <c r="G113" s="4"/>
      <c r="H113" s="4">
        <v>27310.769999999997</v>
      </c>
      <c r="I113" s="4"/>
      <c r="J113" s="12">
        <f>IF(H$12=0,0,H113/H$12)</f>
        <v>0.11256449813352631</v>
      </c>
      <c r="K113" s="4"/>
      <c r="L113" s="4">
        <f>+D113-H113</f>
        <v>20185.43</v>
      </c>
      <c r="M113" s="4"/>
      <c r="N113" s="12">
        <f>IF(H113=0,0,L113/H113)</f>
        <v>0.73910146070579497</v>
      </c>
      <c r="O113" s="10"/>
      <c r="P113" s="4">
        <v>265908.68</v>
      </c>
      <c r="Q113" s="4"/>
      <c r="R113" s="12">
        <f>IF(P$12=0,0,P113/P$12)</f>
        <v>0.11354284368603244</v>
      </c>
      <c r="S113" s="4"/>
      <c r="T113" s="4">
        <v>245344.65</v>
      </c>
      <c r="U113" s="4"/>
      <c r="V113" s="12">
        <f>IF(T$12=0,0,T113/T$12)</f>
        <v>0.10395855258607319</v>
      </c>
      <c r="W113" s="4"/>
      <c r="X113" s="4">
        <f>+P113-T113</f>
        <v>20564.03</v>
      </c>
      <c r="Y113" s="4"/>
      <c r="Z113" s="12">
        <f>IF(T113=0,0,X113/T113)</f>
        <v>8.3816908173868873E-2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4</v>
      </c>
      <c r="C115" s="28"/>
      <c r="D115" s="30">
        <f>+D111-D113</f>
        <v>-22449.94000000005</v>
      </c>
      <c r="E115" s="14"/>
      <c r="F115" s="36">
        <f>IF(D$12=0,0,D115/D$12)</f>
        <v>-7.3948395015792576E-2</v>
      </c>
      <c r="G115" s="14"/>
      <c r="H115" s="30">
        <f>+H111-H113</f>
        <v>797.10000000002401</v>
      </c>
      <c r="I115" s="14"/>
      <c r="J115" s="36">
        <f>IF(H$12=0,0,H115/H$12)</f>
        <v>3.285339866369075E-3</v>
      </c>
      <c r="K115" s="15"/>
      <c r="L115" s="30">
        <f>D115-H115</f>
        <v>-23247.040000000074</v>
      </c>
      <c r="M115" s="15"/>
      <c r="N115" s="36">
        <f>IF(H115=0,0,L115/H115)</f>
        <v>-29.164521390038104</v>
      </c>
      <c r="O115" s="29"/>
      <c r="P115" s="30">
        <f>+P111-P113</f>
        <v>-140625.02000000095</v>
      </c>
      <c r="Q115" s="14"/>
      <c r="R115" s="36">
        <f>IF(P$12=0,0,P115/P$12)</f>
        <v>-6.0046797510353155E-2</v>
      </c>
      <c r="S115" s="14"/>
      <c r="T115" s="30">
        <f>+T111-T113</f>
        <v>-99531.340000001335</v>
      </c>
      <c r="U115" s="14"/>
      <c r="V115" s="36">
        <f>IF(T$12=0,0,T115/T$12)</f>
        <v>-4.2173872727008593E-2</v>
      </c>
      <c r="W115" s="15"/>
      <c r="X115" s="30">
        <f>P115-T115</f>
        <v>-41093.679999999615</v>
      </c>
      <c r="Y115" s="15"/>
      <c r="Z115" s="36">
        <f>IF(T115=0,0,X115/T115)</f>
        <v>0.41287176481296306</v>
      </c>
    </row>
    <row r="116" spans="1:26" ht="15.75" thickTop="1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8" t="s">
        <v>5</v>
      </c>
      <c r="C118" s="28"/>
      <c r="D118" s="31">
        <f>SUM(D115:D117)</f>
        <v>-22449.94000000005</v>
      </c>
      <c r="E118" s="14"/>
      <c r="F118" s="32">
        <f>IF(D$12=0,0,D118/D$12)</f>
        <v>-7.3948395015792576E-2</v>
      </c>
      <c r="G118" s="14"/>
      <c r="H118" s="31">
        <f>SUM(H115:H117)</f>
        <v>797.10000000002401</v>
      </c>
      <c r="I118" s="14"/>
      <c r="J118" s="32">
        <f>IF(H$12=0,0,H118/H$12)</f>
        <v>3.285339866369075E-3</v>
      </c>
      <c r="K118" s="15"/>
      <c r="L118" s="31">
        <f>+D118-H118</f>
        <v>-23247.040000000074</v>
      </c>
      <c r="M118" s="15"/>
      <c r="N118" s="32">
        <f>IF(H118=0,0,L118/H118)</f>
        <v>-29.164521390038104</v>
      </c>
      <c r="O118" s="29"/>
      <c r="P118" s="31">
        <f>SUM(P115:P117)</f>
        <v>-140625.02000000095</v>
      </c>
      <c r="Q118" s="14"/>
      <c r="R118" s="32">
        <f>IF(P$12=0,0,P118/P$12)</f>
        <v>-6.0046797510353155E-2</v>
      </c>
      <c r="S118" s="14"/>
      <c r="T118" s="31">
        <f>SUM(T115:T117)</f>
        <v>-99531.340000001335</v>
      </c>
      <c r="U118" s="14"/>
      <c r="V118" s="32">
        <f>IF(T$12=0,0,T118/T$12)</f>
        <v>-4.2173872727008593E-2</v>
      </c>
      <c r="W118" s="15"/>
      <c r="X118" s="31">
        <f>+P118-T118</f>
        <v>-41093.679999999615</v>
      </c>
      <c r="Y118" s="15"/>
      <c r="Z118" s="32">
        <f>IF(T118=0,0,X118/T118)</f>
        <v>0.41287176481296306</v>
      </c>
    </row>
    <row r="119" spans="1:26" ht="15.75" thickTop="1" x14ac:dyDescent="0.25">
      <c r="A119" s="9"/>
      <c r="C119" s="9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54">
        <v>43965.470676620367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59" t="s">
        <v>313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A122" s="9"/>
      <c r="B122" s="61"/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","317", " - ", "Computer Store")</f>
        <v>Department 317 - Computer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303589.27999999991</v>
      </c>
      <c r="E12" s="4"/>
      <c r="F12" s="12"/>
      <c r="G12" s="4"/>
      <c r="H12" s="4">
        <f>SUM(OSRRefH13x_0)</f>
        <v>242623.30000000002</v>
      </c>
      <c r="I12" s="4"/>
      <c r="J12" s="12"/>
      <c r="K12" s="4"/>
      <c r="L12" s="4">
        <f t="shared" ref="L12:L36" si="0">+D12-H12</f>
        <v>60965.979999999894</v>
      </c>
      <c r="M12" s="4"/>
      <c r="N12" s="12">
        <f t="shared" ref="N12:N36" si="1">IF(H12=0,0,L12/H12)</f>
        <v>0.25127833971428093</v>
      </c>
      <c r="O12" s="10"/>
      <c r="P12" s="4">
        <f>SUM(OSRRefP13x_0)</f>
        <v>2341923.7299999995</v>
      </c>
      <c r="Q12" s="4"/>
      <c r="R12" s="12"/>
      <c r="S12" s="4"/>
      <c r="T12" s="4">
        <f>SUM(OSRRefT13x_0)</f>
        <v>2360023.7199999993</v>
      </c>
      <c r="U12" s="4"/>
      <c r="V12" s="12"/>
      <c r="W12" s="4"/>
      <c r="X12" s="4">
        <f t="shared" ref="X12:X36" si="2">+P12-T12</f>
        <v>-18099.989999999758</v>
      </c>
      <c r="Y12" s="4"/>
      <c r="Z12" s="12">
        <f t="shared" ref="Z12:Z36" si="3">IF(T12=0,0,X12/T12)</f>
        <v>-7.6694102040634421E-3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--705.97</f>
        <v>705.97</v>
      </c>
      <c r="E13" s="2"/>
      <c r="F13" s="19"/>
      <c r="G13" s="2"/>
      <c r="H13" s="2">
        <f>--7766.49</f>
        <v>7766.49</v>
      </c>
      <c r="I13" s="2"/>
      <c r="J13" s="19"/>
      <c r="K13" s="2"/>
      <c r="L13" s="2">
        <f t="shared" si="0"/>
        <v>-7060.5199999999995</v>
      </c>
      <c r="M13" s="2"/>
      <c r="N13" s="19">
        <f t="shared" si="1"/>
        <v>-0.90910050743643522</v>
      </c>
      <c r="O13" s="11"/>
      <c r="P13" s="2">
        <f>--311903.09</f>
        <v>311903.09000000003</v>
      </c>
      <c r="Q13" s="2"/>
      <c r="R13" s="19"/>
      <c r="S13" s="2"/>
      <c r="T13" s="2">
        <f>--225088.39</f>
        <v>225088.39</v>
      </c>
      <c r="U13" s="2"/>
      <c r="V13" s="19"/>
      <c r="W13" s="2"/>
      <c r="X13" s="2">
        <f t="shared" si="2"/>
        <v>86814.700000000012</v>
      </c>
      <c r="Y13" s="2"/>
      <c r="Z13" s="19">
        <f t="shared" si="3"/>
        <v>0.38569159431101713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--265200.65</f>
        <v>265200.65000000002</v>
      </c>
      <c r="E14" s="2"/>
      <c r="F14" s="19"/>
      <c r="G14" s="2"/>
      <c r="H14" s="2">
        <f>--201817.6</f>
        <v>201817.60000000001</v>
      </c>
      <c r="I14" s="2"/>
      <c r="J14" s="19"/>
      <c r="K14" s="2"/>
      <c r="L14" s="2">
        <f t="shared" si="0"/>
        <v>63383.050000000017</v>
      </c>
      <c r="M14" s="2"/>
      <c r="N14" s="19">
        <f t="shared" si="1"/>
        <v>0.31406106305892062</v>
      </c>
      <c r="O14" s="11"/>
      <c r="P14" s="2">
        <f>--1926309.68</f>
        <v>1926309.68</v>
      </c>
      <c r="Q14" s="2"/>
      <c r="R14" s="19"/>
      <c r="S14" s="2"/>
      <c r="T14" s="2">
        <f>--1738512.57</f>
        <v>1738512.57</v>
      </c>
      <c r="U14" s="2"/>
      <c r="V14" s="19"/>
      <c r="W14" s="2"/>
      <c r="X14" s="2">
        <f t="shared" si="2"/>
        <v>187797.10999999987</v>
      </c>
      <c r="Y14" s="2"/>
      <c r="Z14" s="19">
        <f t="shared" si="3"/>
        <v>0.10802171536786752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--2895.75</f>
        <v>2895.75</v>
      </c>
      <c r="E15" s="2"/>
      <c r="F15" s="19"/>
      <c r="G15" s="2"/>
      <c r="H15" s="2">
        <f>--5368.89</f>
        <v>5368.89</v>
      </c>
      <c r="I15" s="2"/>
      <c r="J15" s="19"/>
      <c r="K15" s="2"/>
      <c r="L15" s="2">
        <f t="shared" si="0"/>
        <v>-2473.1400000000003</v>
      </c>
      <c r="M15" s="2"/>
      <c r="N15" s="19">
        <f t="shared" si="1"/>
        <v>-0.46064270268155993</v>
      </c>
      <c r="O15" s="11"/>
      <c r="P15" s="2">
        <f>--102864.07</f>
        <v>102864.07</v>
      </c>
      <c r="Q15" s="2"/>
      <c r="R15" s="19"/>
      <c r="S15" s="2"/>
      <c r="T15" s="2">
        <f>--121851.39</f>
        <v>121851.39</v>
      </c>
      <c r="U15" s="2"/>
      <c r="V15" s="19"/>
      <c r="W15" s="2"/>
      <c r="X15" s="2">
        <f t="shared" si="2"/>
        <v>-18987.319999999992</v>
      </c>
      <c r="Y15" s="2"/>
      <c r="Z15" s="19">
        <f t="shared" si="3"/>
        <v>-0.15582358149545927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0</f>
        <v>0</v>
      </c>
      <c r="E16" s="2"/>
      <c r="F16" s="19"/>
      <c r="G16" s="2"/>
      <c r="H16" s="2">
        <f>--79</f>
        <v>79</v>
      </c>
      <c r="I16" s="2"/>
      <c r="J16" s="19"/>
      <c r="K16" s="2"/>
      <c r="L16" s="2">
        <f t="shared" si="0"/>
        <v>-79</v>
      </c>
      <c r="M16" s="2"/>
      <c r="N16" s="19">
        <f t="shared" si="1"/>
        <v>-1</v>
      </c>
      <c r="O16" s="11"/>
      <c r="P16" s="2">
        <f>--129</f>
        <v>129</v>
      </c>
      <c r="Q16" s="2"/>
      <c r="R16" s="19"/>
      <c r="S16" s="2"/>
      <c r="T16" s="2">
        <f>--1563.99</f>
        <v>1563.99</v>
      </c>
      <c r="U16" s="2"/>
      <c r="V16" s="19"/>
      <c r="W16" s="2"/>
      <c r="X16" s="2">
        <f t="shared" si="2"/>
        <v>-1434.99</v>
      </c>
      <c r="Y16" s="2"/>
      <c r="Z16" s="19">
        <f t="shared" si="3"/>
        <v>-0.91751865421134404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--10</f>
        <v>10</v>
      </c>
      <c r="E17" s="2"/>
      <c r="F17" s="19"/>
      <c r="G17" s="2"/>
      <c r="H17" s="2">
        <f>--1078.91</f>
        <v>1078.9100000000001</v>
      </c>
      <c r="I17" s="2"/>
      <c r="J17" s="19"/>
      <c r="K17" s="2"/>
      <c r="L17" s="2">
        <f t="shared" si="0"/>
        <v>-1068.9100000000001</v>
      </c>
      <c r="M17" s="2"/>
      <c r="N17" s="19">
        <f t="shared" si="1"/>
        <v>-0.99073138630655011</v>
      </c>
      <c r="O17" s="11"/>
      <c r="P17" s="2">
        <f>--4567.93</f>
        <v>4567.93</v>
      </c>
      <c r="Q17" s="2"/>
      <c r="R17" s="19"/>
      <c r="S17" s="2"/>
      <c r="T17" s="2">
        <f>--13358.65</f>
        <v>13358.65</v>
      </c>
      <c r="U17" s="2"/>
      <c r="V17" s="19"/>
      <c r="W17" s="2"/>
      <c r="X17" s="2">
        <f t="shared" si="2"/>
        <v>-8790.7199999999993</v>
      </c>
      <c r="Y17" s="2"/>
      <c r="Z17" s="19">
        <f t="shared" si="3"/>
        <v>-0.65805451898208278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--91.96</f>
        <v>91.96</v>
      </c>
      <c r="E18" s="2"/>
      <c r="F18" s="19"/>
      <c r="G18" s="2"/>
      <c r="H18" s="2">
        <f>--10759.13</f>
        <v>10759.13</v>
      </c>
      <c r="I18" s="2"/>
      <c r="J18" s="19"/>
      <c r="K18" s="2"/>
      <c r="L18" s="2">
        <f t="shared" si="0"/>
        <v>-10667.17</v>
      </c>
      <c r="M18" s="2"/>
      <c r="N18" s="19">
        <f t="shared" si="1"/>
        <v>-0.99145284051777427</v>
      </c>
      <c r="O18" s="11"/>
      <c r="P18" s="2">
        <f>--48358.28</f>
        <v>48358.28</v>
      </c>
      <c r="Q18" s="2"/>
      <c r="R18" s="19"/>
      <c r="S18" s="2"/>
      <c r="T18" s="2">
        <f>--84762.15</f>
        <v>84762.15</v>
      </c>
      <c r="U18" s="2"/>
      <c r="V18" s="19"/>
      <c r="W18" s="2"/>
      <c r="X18" s="2">
        <f t="shared" si="2"/>
        <v>-36403.869999999995</v>
      </c>
      <c r="Y18" s="2"/>
      <c r="Z18" s="19">
        <f t="shared" si="3"/>
        <v>-0.42948261694636108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--379.98</f>
        <v>379.98</v>
      </c>
      <c r="E19" s="2"/>
      <c r="F19" s="19"/>
      <c r="G19" s="2"/>
      <c r="H19" s="2">
        <f>--307</f>
        <v>307</v>
      </c>
      <c r="I19" s="2"/>
      <c r="J19" s="19"/>
      <c r="K19" s="2"/>
      <c r="L19" s="2">
        <f t="shared" si="0"/>
        <v>72.980000000000018</v>
      </c>
      <c r="M19" s="2"/>
      <c r="N19" s="19">
        <f t="shared" si="1"/>
        <v>0.23771986970684045</v>
      </c>
      <c r="O19" s="11"/>
      <c r="P19" s="2">
        <f>--1674.81</f>
        <v>1674.81</v>
      </c>
      <c r="Q19" s="2"/>
      <c r="R19" s="19"/>
      <c r="S19" s="2"/>
      <c r="T19" s="2">
        <f>--2060.78</f>
        <v>2060.7800000000002</v>
      </c>
      <c r="U19" s="2"/>
      <c r="V19" s="19"/>
      <c r="W19" s="2"/>
      <c r="X19" s="2">
        <f t="shared" si="2"/>
        <v>-385.97000000000025</v>
      </c>
      <c r="Y19" s="2"/>
      <c r="Z19" s="19">
        <f t="shared" si="3"/>
        <v>-0.18729316084201139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--154.96</f>
        <v>154.96</v>
      </c>
      <c r="E20" s="2"/>
      <c r="F20" s="19"/>
      <c r="G20" s="2"/>
      <c r="H20" s="2">
        <f>--1610.57</f>
        <v>1610.57</v>
      </c>
      <c r="I20" s="2"/>
      <c r="J20" s="19"/>
      <c r="K20" s="2"/>
      <c r="L20" s="2">
        <f t="shared" si="0"/>
        <v>-1455.61</v>
      </c>
      <c r="M20" s="2"/>
      <c r="N20" s="19">
        <f t="shared" si="1"/>
        <v>-0.90378561627249976</v>
      </c>
      <c r="O20" s="11"/>
      <c r="P20" s="2">
        <f>--2233.33</f>
        <v>2233.33</v>
      </c>
      <c r="Q20" s="2"/>
      <c r="R20" s="19"/>
      <c r="S20" s="2"/>
      <c r="T20" s="2">
        <f>--14517.08</f>
        <v>14517.08</v>
      </c>
      <c r="U20" s="2"/>
      <c r="V20" s="19"/>
      <c r="W20" s="2"/>
      <c r="X20" s="2">
        <f t="shared" si="2"/>
        <v>-12283.75</v>
      </c>
      <c r="Y20" s="2"/>
      <c r="Z20" s="19">
        <f t="shared" si="3"/>
        <v>-0.84615845610825313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--30055.98</f>
        <v>30055.98</v>
      </c>
      <c r="E21" s="2"/>
      <c r="F21" s="19"/>
      <c r="G21" s="2"/>
      <c r="H21" s="2">
        <f>--16809</f>
        <v>16809</v>
      </c>
      <c r="I21" s="2"/>
      <c r="J21" s="19"/>
      <c r="K21" s="2"/>
      <c r="L21" s="2">
        <f t="shared" si="0"/>
        <v>13246.98</v>
      </c>
      <c r="M21" s="2"/>
      <c r="N21" s="19">
        <f t="shared" si="1"/>
        <v>0.78808852400499729</v>
      </c>
      <c r="O21" s="11"/>
      <c r="P21" s="2">
        <f>--148066.94</f>
        <v>148066.94</v>
      </c>
      <c r="Q21" s="2"/>
      <c r="R21" s="19"/>
      <c r="S21" s="2"/>
      <c r="T21" s="2">
        <f>--219678.84</f>
        <v>219678.84</v>
      </c>
      <c r="U21" s="2"/>
      <c r="V21" s="19"/>
      <c r="W21" s="2"/>
      <c r="X21" s="2">
        <f t="shared" si="2"/>
        <v>-71611.899999999994</v>
      </c>
      <c r="Y21" s="2"/>
      <c r="Z21" s="19">
        <f t="shared" si="3"/>
        <v>-0.32598451448487253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--2769.8</f>
        <v>2769.8</v>
      </c>
      <c r="E22" s="2"/>
      <c r="F22" s="19"/>
      <c r="G22" s="2"/>
      <c r="H22" s="2">
        <f>--513.9</f>
        <v>513.9</v>
      </c>
      <c r="I22" s="2"/>
      <c r="J22" s="19"/>
      <c r="K22" s="2"/>
      <c r="L22" s="2">
        <f t="shared" si="0"/>
        <v>2255.9</v>
      </c>
      <c r="M22" s="2"/>
      <c r="N22" s="19">
        <f t="shared" si="1"/>
        <v>4.3897645456314462</v>
      </c>
      <c r="O22" s="11"/>
      <c r="P22" s="2">
        <f>--9532.02</f>
        <v>9532.02</v>
      </c>
      <c r="Q22" s="2"/>
      <c r="R22" s="19"/>
      <c r="S22" s="2"/>
      <c r="T22" s="2">
        <f>--9646.95</f>
        <v>9646.9500000000007</v>
      </c>
      <c r="U22" s="2"/>
      <c r="V22" s="19"/>
      <c r="W22" s="2"/>
      <c r="X22" s="2">
        <f t="shared" si="2"/>
        <v>-114.93000000000029</v>
      </c>
      <c r="Y22" s="2"/>
      <c r="Z22" s="19">
        <f t="shared" si="3"/>
        <v>-1.1913610001088456E-2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--2728</f>
        <v>2728</v>
      </c>
      <c r="Q23" s="2"/>
      <c r="R23" s="19"/>
      <c r="S23" s="2"/>
      <c r="T23" s="2">
        <f>--3840</f>
        <v>3840</v>
      </c>
      <c r="U23" s="2"/>
      <c r="V23" s="19"/>
      <c r="W23" s="2"/>
      <c r="X23" s="2">
        <f t="shared" si="2"/>
        <v>-1112</v>
      </c>
      <c r="Y23" s="2"/>
      <c r="Z23" s="19">
        <f t="shared" si="3"/>
        <v>-0.28958333333333336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--3224.87</f>
        <v>3224.87</v>
      </c>
      <c r="E24" s="2"/>
      <c r="F24" s="19"/>
      <c r="G24" s="2"/>
      <c r="H24" s="2">
        <f>--1442.97</f>
        <v>1442.97</v>
      </c>
      <c r="I24" s="2"/>
      <c r="J24" s="19"/>
      <c r="K24" s="2"/>
      <c r="L24" s="2">
        <f t="shared" si="0"/>
        <v>1781.8999999999999</v>
      </c>
      <c r="M24" s="2"/>
      <c r="N24" s="19">
        <f t="shared" si="1"/>
        <v>1.2348836081138206</v>
      </c>
      <c r="O24" s="11"/>
      <c r="P24" s="2">
        <f>--16347.61</f>
        <v>16347.61</v>
      </c>
      <c r="Q24" s="2"/>
      <c r="R24" s="19"/>
      <c r="S24" s="2"/>
      <c r="T24" s="2">
        <f>--5779.78</f>
        <v>5779.78</v>
      </c>
      <c r="U24" s="2"/>
      <c r="V24" s="19"/>
      <c r="W24" s="2"/>
      <c r="X24" s="2">
        <f t="shared" si="2"/>
        <v>10567.830000000002</v>
      </c>
      <c r="Y24" s="2"/>
      <c r="Z24" s="19">
        <f t="shared" si="3"/>
        <v>1.8284138842654916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--189.97</f>
        <v>189.97</v>
      </c>
      <c r="E25" s="2"/>
      <c r="F25" s="19"/>
      <c r="G25" s="2"/>
      <c r="H25" s="2">
        <f>--533.87</f>
        <v>533.87</v>
      </c>
      <c r="I25" s="2"/>
      <c r="J25" s="19"/>
      <c r="K25" s="2"/>
      <c r="L25" s="2">
        <f t="shared" si="0"/>
        <v>-343.9</v>
      </c>
      <c r="M25" s="2"/>
      <c r="N25" s="19">
        <f t="shared" si="1"/>
        <v>-0.6441643096634011</v>
      </c>
      <c r="O25" s="11"/>
      <c r="P25" s="2">
        <f>--2840.13</f>
        <v>2840.13</v>
      </c>
      <c r="Q25" s="2"/>
      <c r="R25" s="19"/>
      <c r="S25" s="2"/>
      <c r="T25" s="2">
        <f>--6025.42</f>
        <v>6025.42</v>
      </c>
      <c r="U25" s="2"/>
      <c r="V25" s="19"/>
      <c r="W25" s="2"/>
      <c r="X25" s="2">
        <f t="shared" si="2"/>
        <v>-3185.29</v>
      </c>
      <c r="Y25" s="2"/>
      <c r="Z25" s="19">
        <f t="shared" si="3"/>
        <v>-0.52864198678266405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 t="shared" ref="D26:D27" si="4"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 t="shared" si="4"/>
        <v>0</v>
      </c>
      <c r="E27" s="2"/>
      <c r="F27" s="19"/>
      <c r="G27" s="2"/>
      <c r="H27" s="2">
        <f>-75.9</f>
        <v>-75.900000000000006</v>
      </c>
      <c r="I27" s="2"/>
      <c r="J27" s="19"/>
      <c r="K27" s="2"/>
      <c r="L27" s="2">
        <f t="shared" si="0"/>
        <v>75.900000000000006</v>
      </c>
      <c r="M27" s="2"/>
      <c r="N27" s="19">
        <f t="shared" si="1"/>
        <v>-1</v>
      </c>
      <c r="O27" s="11"/>
      <c r="P27" s="2">
        <f>-7781.7</f>
        <v>-7781.7</v>
      </c>
      <c r="Q27" s="2"/>
      <c r="R27" s="19"/>
      <c r="S27" s="2"/>
      <c r="T27" s="2">
        <f>-7066.79</f>
        <v>-7066.79</v>
      </c>
      <c r="U27" s="2"/>
      <c r="V27" s="19"/>
      <c r="W27" s="2"/>
      <c r="X27" s="2">
        <f t="shared" si="2"/>
        <v>-714.90999999999985</v>
      </c>
      <c r="Y27" s="2"/>
      <c r="Z27" s="19">
        <f t="shared" si="3"/>
        <v>0.10116474382286722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-1954.65</f>
        <v>-1954.65</v>
      </c>
      <c r="E28" s="2"/>
      <c r="F28" s="19"/>
      <c r="G28" s="2"/>
      <c r="H28" s="2">
        <f>-3805.21</f>
        <v>-3805.21</v>
      </c>
      <c r="I28" s="2"/>
      <c r="J28" s="19"/>
      <c r="K28" s="2"/>
      <c r="L28" s="2">
        <f t="shared" si="0"/>
        <v>1850.56</v>
      </c>
      <c r="M28" s="2"/>
      <c r="N28" s="19">
        <f t="shared" si="1"/>
        <v>-0.48632269966703545</v>
      </c>
      <c r="O28" s="11"/>
      <c r="P28" s="2">
        <f>-215445.8</f>
        <v>-215445.8</v>
      </c>
      <c r="Q28" s="2"/>
      <c r="R28" s="19"/>
      <c r="S28" s="2"/>
      <c r="T28" s="2">
        <f>-66363.82</f>
        <v>-66363.820000000007</v>
      </c>
      <c r="U28" s="2"/>
      <c r="V28" s="19"/>
      <c r="W28" s="2"/>
      <c r="X28" s="2">
        <f t="shared" si="2"/>
        <v>-149081.97999999998</v>
      </c>
      <c r="Y28" s="2"/>
      <c r="Z28" s="19">
        <f t="shared" si="3"/>
        <v>2.2464345783591115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-135.96</f>
        <v>-135.96</v>
      </c>
      <c r="E29" s="2"/>
      <c r="F29" s="19"/>
      <c r="G29" s="2"/>
      <c r="H29" s="2">
        <f>-655.38</f>
        <v>-655.38</v>
      </c>
      <c r="I29" s="2"/>
      <c r="J29" s="19"/>
      <c r="K29" s="2"/>
      <c r="L29" s="2">
        <f t="shared" si="0"/>
        <v>519.41999999999996</v>
      </c>
      <c r="M29" s="2"/>
      <c r="N29" s="19">
        <f t="shared" si="1"/>
        <v>-0.79254783484390734</v>
      </c>
      <c r="O29" s="11"/>
      <c r="P29" s="2">
        <f>-6589.02</f>
        <v>-6589.02</v>
      </c>
      <c r="Q29" s="2"/>
      <c r="R29" s="19"/>
      <c r="S29" s="2"/>
      <c r="T29" s="2">
        <f>-7315.76</f>
        <v>-7315.76</v>
      </c>
      <c r="U29" s="2"/>
      <c r="V29" s="19"/>
      <c r="W29" s="2"/>
      <c r="X29" s="2">
        <f t="shared" si="2"/>
        <v>726.73999999999978</v>
      </c>
      <c r="Y29" s="2"/>
      <c r="Z29" s="19">
        <f t="shared" si="3"/>
        <v>-9.9338961365599707E-2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6" si="5"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>-599.96</f>
        <v>-599.96</v>
      </c>
      <c r="I31" s="2"/>
      <c r="J31" s="19"/>
      <c r="K31" s="2"/>
      <c r="L31" s="2">
        <f t="shared" si="0"/>
        <v>599.96</v>
      </c>
      <c r="M31" s="2"/>
      <c r="N31" s="19">
        <f t="shared" si="1"/>
        <v>-1</v>
      </c>
      <c r="O31" s="11"/>
      <c r="P31" s="2">
        <f>-805.97</f>
        <v>-805.97</v>
      </c>
      <c r="Q31" s="2"/>
      <c r="R31" s="19"/>
      <c r="S31" s="2"/>
      <c r="T31" s="2">
        <f>-725.94</f>
        <v>-725.94</v>
      </c>
      <c r="U31" s="2"/>
      <c r="V31" s="19"/>
      <c r="W31" s="2"/>
      <c r="X31" s="2">
        <f t="shared" si="2"/>
        <v>-80.029999999999973</v>
      </c>
      <c r="Y31" s="2"/>
      <c r="Z31" s="19">
        <f t="shared" si="3"/>
        <v>0.11024327079372946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 t="shared" si="5"/>
        <v>0</v>
      </c>
      <c r="E32" s="2"/>
      <c r="F32" s="19"/>
      <c r="G32" s="2"/>
      <c r="H32" s="2">
        <f>-232.62</f>
        <v>-232.62</v>
      </c>
      <c r="I32" s="2"/>
      <c r="J32" s="19"/>
      <c r="K32" s="2"/>
      <c r="L32" s="2">
        <f t="shared" si="0"/>
        <v>232.62</v>
      </c>
      <c r="M32" s="2"/>
      <c r="N32" s="19">
        <f t="shared" si="1"/>
        <v>-1</v>
      </c>
      <c r="O32" s="11"/>
      <c r="P32" s="2">
        <f>-3660.86</f>
        <v>-3660.86</v>
      </c>
      <c r="Q32" s="2"/>
      <c r="R32" s="19"/>
      <c r="S32" s="2"/>
      <c r="T32" s="2">
        <f>-4791.23</f>
        <v>-4791.2299999999996</v>
      </c>
      <c r="U32" s="2"/>
      <c r="V32" s="19"/>
      <c r="W32" s="2"/>
      <c r="X32" s="2">
        <f t="shared" si="2"/>
        <v>1130.3699999999994</v>
      </c>
      <c r="Y32" s="2"/>
      <c r="Z32" s="19">
        <f t="shared" si="3"/>
        <v>-0.23592480427781584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si="5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>-16.99</f>
        <v>-16.989999999999998</v>
      </c>
      <c r="U33" s="2"/>
      <c r="V33" s="19"/>
      <c r="W33" s="2"/>
      <c r="X33" s="2">
        <f t="shared" si="2"/>
        <v>12.999999999999998</v>
      </c>
      <c r="Y33" s="2"/>
      <c r="Z33" s="19">
        <f t="shared" si="3"/>
        <v>-0.76515597410241321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5"/>
        <v>0</v>
      </c>
      <c r="E34" s="2"/>
      <c r="F34" s="19"/>
      <c r="G34" s="2"/>
      <c r="H34" s="2">
        <f>-59.98</f>
        <v>-59.98</v>
      </c>
      <c r="I34" s="2"/>
      <c r="J34" s="19"/>
      <c r="K34" s="2"/>
      <c r="L34" s="2">
        <f t="shared" si="0"/>
        <v>59.98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-217.85</f>
        <v>-217.85</v>
      </c>
      <c r="U34" s="2"/>
      <c r="V34" s="19"/>
      <c r="W34" s="2"/>
      <c r="X34" s="2">
        <f t="shared" si="2"/>
        <v>-1061.99</v>
      </c>
      <c r="Y34" s="2"/>
      <c r="Z34" s="19">
        <f t="shared" si="3"/>
        <v>4.8748680284599493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5"/>
        <v>0</v>
      </c>
      <c r="E35" s="2"/>
      <c r="F35" s="19"/>
      <c r="G35" s="2"/>
      <c r="H35" s="2">
        <f>-34.98</f>
        <v>-34.979999999999997</v>
      </c>
      <c r="I35" s="2"/>
      <c r="J35" s="19"/>
      <c r="K35" s="2"/>
      <c r="L35" s="2">
        <f t="shared" si="0"/>
        <v>34.979999999999997</v>
      </c>
      <c r="M35" s="2"/>
      <c r="N35" s="19">
        <f t="shared" si="1"/>
        <v>-1</v>
      </c>
      <c r="O35" s="11"/>
      <c r="P35" s="2">
        <f>-49.98</f>
        <v>-49.98</v>
      </c>
      <c r="Q35" s="2"/>
      <c r="R35" s="19"/>
      <c r="S35" s="2"/>
      <c r="T35" s="2">
        <f>-153.92</f>
        <v>-153.91999999999999</v>
      </c>
      <c r="U35" s="2"/>
      <c r="V35" s="19"/>
      <c r="W35" s="2"/>
      <c r="X35" s="2">
        <f t="shared" si="2"/>
        <v>103.94</v>
      </c>
      <c r="Y35" s="2"/>
      <c r="Z35" s="19">
        <f t="shared" si="3"/>
        <v>-0.67528586278586278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5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-104.96</f>
        <v>-104.96</v>
      </c>
      <c r="Q36" s="2"/>
      <c r="R36" s="19"/>
      <c r="S36" s="2"/>
      <c r="T36" s="2">
        <f>-209.95</f>
        <v>-209.95</v>
      </c>
      <c r="U36" s="2"/>
      <c r="V36" s="19"/>
      <c r="W36" s="2"/>
      <c r="X36" s="2">
        <f t="shared" si="2"/>
        <v>104.99</v>
      </c>
      <c r="Y36" s="2"/>
      <c r="Z36" s="19">
        <f t="shared" si="3"/>
        <v>-0.50007144558228145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255853.70999999996</v>
      </c>
      <c r="E38" s="4"/>
      <c r="F38" s="12">
        <f t="shared" ref="F38:F52" si="6">IF(D$12=0,0,D38/D$12)</f>
        <v>0.84276266276595813</v>
      </c>
      <c r="G38" s="4"/>
      <c r="H38" s="4">
        <f>SUM(OSRRefH16x_0)</f>
        <v>206038.59</v>
      </c>
      <c r="I38" s="4"/>
      <c r="J38" s="12">
        <f t="shared" ref="J38:J52" si="7">IF(H$12=0,0,H38/H$12)</f>
        <v>0.84921188525586777</v>
      </c>
      <c r="K38" s="4"/>
      <c r="L38" s="4">
        <f t="shared" ref="L38:L52" si="8">+D38-H38</f>
        <v>49815.119999999966</v>
      </c>
      <c r="M38" s="4"/>
      <c r="N38" s="12">
        <f t="shared" ref="N38:N52" si="9">IF(H38=0,0,L38/H38)</f>
        <v>0.24177567901236349</v>
      </c>
      <c r="O38" s="10"/>
      <c r="P38" s="4">
        <f>SUM(OSRRefP16x_0)</f>
        <v>2032294.2500000005</v>
      </c>
      <c r="Q38" s="4"/>
      <c r="R38" s="12">
        <f t="shared" ref="R38:R52" si="10">IF(P$12=0,0,P38/P$12)</f>
        <v>0.86778840146087977</v>
      </c>
      <c r="S38" s="4"/>
      <c r="T38" s="4">
        <f>SUM(OSRRefT16x_0)</f>
        <v>1998384.2000000007</v>
      </c>
      <c r="U38" s="4"/>
      <c r="V38" s="12">
        <f t="shared" ref="V38:V52" si="11">IF(T$12=0,0,T38/T$12)</f>
        <v>0.84676445540132173</v>
      </c>
      <c r="W38" s="4"/>
      <c r="X38" s="4">
        <f t="shared" ref="X38:X52" si="12">+P38-T38</f>
        <v>33910.049999999814</v>
      </c>
      <c r="Y38" s="4"/>
      <c r="Z38" s="12">
        <f t="shared" ref="Z38:Z52" si="13">IF(T38=0,0,X38/T38)</f>
        <v>1.6968734040231005E-2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-6200.47</v>
      </c>
      <c r="E39" s="2"/>
      <c r="F39" s="19">
        <f t="shared" si="6"/>
        <v>-2.0423876627000803E-2</v>
      </c>
      <c r="G39" s="2"/>
      <c r="H39" s="2">
        <v>5419.24</v>
      </c>
      <c r="I39" s="2"/>
      <c r="J39" s="19">
        <f t="shared" si="7"/>
        <v>2.2336024610991604E-2</v>
      </c>
      <c r="K39" s="2"/>
      <c r="L39" s="2">
        <f t="shared" si="8"/>
        <v>-11619.71</v>
      </c>
      <c r="M39" s="2"/>
      <c r="N39" s="19">
        <f t="shared" si="9"/>
        <v>-2.1441585905034652</v>
      </c>
      <c r="O39" s="11"/>
      <c r="P39" s="2">
        <v>256824.14</v>
      </c>
      <c r="Q39" s="2"/>
      <c r="R39" s="19">
        <f t="shared" si="10"/>
        <v>0.10966375066364782</v>
      </c>
      <c r="S39" s="2"/>
      <c r="T39" s="2">
        <v>193082.75999999998</v>
      </c>
      <c r="U39" s="2"/>
      <c r="V39" s="19">
        <f t="shared" si="11"/>
        <v>8.1813906514465046E-2</v>
      </c>
      <c r="W39" s="2"/>
      <c r="X39" s="2">
        <f t="shared" si="12"/>
        <v>63741.380000000034</v>
      </c>
      <c r="Y39" s="2"/>
      <c r="Z39" s="19">
        <f t="shared" si="13"/>
        <v>0.33012465742669123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119657.48</v>
      </c>
      <c r="E40" s="2"/>
      <c r="F40" s="19">
        <f t="shared" si="6"/>
        <v>0.39414263902862456</v>
      </c>
      <c r="G40" s="2"/>
      <c r="H40" s="2">
        <v>272016.14</v>
      </c>
      <c r="I40" s="2"/>
      <c r="J40" s="19">
        <f t="shared" si="7"/>
        <v>1.1211459905128649</v>
      </c>
      <c r="K40" s="2"/>
      <c r="L40" s="2">
        <f t="shared" si="8"/>
        <v>-152358.66000000003</v>
      </c>
      <c r="M40" s="2"/>
      <c r="N40" s="19">
        <f t="shared" si="9"/>
        <v>-0.56010889647945161</v>
      </c>
      <c r="O40" s="11"/>
      <c r="P40" s="2">
        <v>1500482.27</v>
      </c>
      <c r="Q40" s="2"/>
      <c r="R40" s="19">
        <f t="shared" si="10"/>
        <v>0.64070501134552338</v>
      </c>
      <c r="S40" s="2"/>
      <c r="T40" s="2">
        <v>1607851.85</v>
      </c>
      <c r="U40" s="2"/>
      <c r="V40" s="19">
        <f t="shared" si="11"/>
        <v>0.68128630927489175</v>
      </c>
      <c r="W40" s="2"/>
      <c r="X40" s="2">
        <f t="shared" si="12"/>
        <v>-107369.58000000007</v>
      </c>
      <c r="Y40" s="2"/>
      <c r="Z40" s="19">
        <f t="shared" si="13"/>
        <v>-6.6778279354531372E-2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2539.54</v>
      </c>
      <c r="E41" s="2"/>
      <c r="F41" s="19">
        <f t="shared" si="6"/>
        <v>8.3650516250112668E-3</v>
      </c>
      <c r="G41" s="2"/>
      <c r="H41" s="2">
        <v>6608.01</v>
      </c>
      <c r="I41" s="2"/>
      <c r="J41" s="19">
        <f t="shared" si="7"/>
        <v>2.7235677694598993E-2</v>
      </c>
      <c r="K41" s="2"/>
      <c r="L41" s="2">
        <f t="shared" si="8"/>
        <v>-4068.4700000000003</v>
      </c>
      <c r="M41" s="2"/>
      <c r="N41" s="19">
        <f t="shared" si="9"/>
        <v>-0.61568762759136264</v>
      </c>
      <c r="O41" s="11"/>
      <c r="P41" s="2">
        <v>80017.27</v>
      </c>
      <c r="Q41" s="2"/>
      <c r="R41" s="19">
        <f t="shared" si="10"/>
        <v>3.4167325338131327E-2</v>
      </c>
      <c r="S41" s="2"/>
      <c r="T41" s="2">
        <v>101176.12000000001</v>
      </c>
      <c r="U41" s="2"/>
      <c r="V41" s="19">
        <f t="shared" si="11"/>
        <v>4.28708064002001E-2</v>
      </c>
      <c r="W41" s="2"/>
      <c r="X41" s="2">
        <f t="shared" si="12"/>
        <v>-21158.850000000006</v>
      </c>
      <c r="Y41" s="2"/>
      <c r="Z41" s="19">
        <f t="shared" si="13"/>
        <v>-0.20912889326058365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6"/>
        <v>0</v>
      </c>
      <c r="G42" s="2"/>
      <c r="H42" s="2">
        <v>79</v>
      </c>
      <c r="I42" s="2"/>
      <c r="J42" s="19">
        <f t="shared" si="7"/>
        <v>3.2560763949711341E-4</v>
      </c>
      <c r="K42" s="2"/>
      <c r="L42" s="2">
        <f t="shared" si="8"/>
        <v>-79</v>
      </c>
      <c r="M42" s="2"/>
      <c r="N42" s="19">
        <f t="shared" si="9"/>
        <v>-1</v>
      </c>
      <c r="O42" s="11"/>
      <c r="P42" s="2">
        <v>2728</v>
      </c>
      <c r="Q42" s="2"/>
      <c r="R42" s="19">
        <f t="shared" si="10"/>
        <v>1.1648543311015514E-3</v>
      </c>
      <c r="S42" s="2"/>
      <c r="T42" s="2">
        <v>5183</v>
      </c>
      <c r="U42" s="2"/>
      <c r="V42" s="19">
        <f t="shared" si="11"/>
        <v>2.1961643673649184E-3</v>
      </c>
      <c r="W42" s="2"/>
      <c r="X42" s="2">
        <f t="shared" si="12"/>
        <v>-2455</v>
      </c>
      <c r="Y42" s="2"/>
      <c r="Z42" s="19">
        <f t="shared" si="13"/>
        <v>-0.47366390121551227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2504.11</v>
      </c>
      <c r="E43" s="2"/>
      <c r="F43" s="19">
        <f t="shared" si="6"/>
        <v>8.2483478995042277E-3</v>
      </c>
      <c r="G43" s="2"/>
      <c r="H43" s="2">
        <v>580.01</v>
      </c>
      <c r="I43" s="2"/>
      <c r="J43" s="19">
        <f t="shared" si="7"/>
        <v>2.390578316262288E-3</v>
      </c>
      <c r="K43" s="2"/>
      <c r="L43" s="2">
        <f t="shared" si="8"/>
        <v>1924.1000000000001</v>
      </c>
      <c r="M43" s="2"/>
      <c r="N43" s="19">
        <f t="shared" si="9"/>
        <v>3.3173565973000469</v>
      </c>
      <c r="O43" s="11"/>
      <c r="P43" s="2">
        <v>11666.5</v>
      </c>
      <c r="Q43" s="2"/>
      <c r="R43" s="19">
        <f t="shared" si="10"/>
        <v>4.9815883628285375E-3</v>
      </c>
      <c r="S43" s="2"/>
      <c r="T43" s="2">
        <v>10860.37</v>
      </c>
      <c r="U43" s="2"/>
      <c r="V43" s="19">
        <f t="shared" si="11"/>
        <v>4.6018054428707197E-3</v>
      </c>
      <c r="W43" s="2"/>
      <c r="X43" s="2">
        <f t="shared" si="12"/>
        <v>806.1299999999992</v>
      </c>
      <c r="Y43" s="2"/>
      <c r="Z43" s="19">
        <f t="shared" si="13"/>
        <v>7.4226752863852621E-2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/>
      <c r="E44" s="2"/>
      <c r="F44" s="19">
        <f t="shared" si="6"/>
        <v>0</v>
      </c>
      <c r="G44" s="2"/>
      <c r="H44" s="2">
        <v>7719.73</v>
      </c>
      <c r="I44" s="2"/>
      <c r="J44" s="19">
        <f t="shared" si="7"/>
        <v>3.1817760289304442E-2</v>
      </c>
      <c r="K44" s="2"/>
      <c r="L44" s="2">
        <f t="shared" si="8"/>
        <v>-7719.73</v>
      </c>
      <c r="M44" s="2"/>
      <c r="N44" s="19">
        <f t="shared" si="9"/>
        <v>-1</v>
      </c>
      <c r="O44" s="11"/>
      <c r="P44" s="2">
        <v>29950.550000000003</v>
      </c>
      <c r="Q44" s="2"/>
      <c r="R44" s="19">
        <f t="shared" si="10"/>
        <v>1.2788866527263042E-2</v>
      </c>
      <c r="S44" s="2"/>
      <c r="T44" s="2">
        <v>55411.68</v>
      </c>
      <c r="U44" s="2"/>
      <c r="V44" s="19">
        <f t="shared" si="11"/>
        <v>2.3479289436972275E-2</v>
      </c>
      <c r="W44" s="2"/>
      <c r="X44" s="2">
        <f t="shared" si="12"/>
        <v>-25461.129999999997</v>
      </c>
      <c r="Y44" s="2"/>
      <c r="Z44" s="19">
        <f t="shared" si="13"/>
        <v>-0.45949030962425247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95.65</v>
      </c>
      <c r="Q45" s="2"/>
      <c r="R45" s="19">
        <f t="shared" si="10"/>
        <v>4.0842491484554037E-5</v>
      </c>
      <c r="S45" s="2"/>
      <c r="T45" s="2">
        <v>0</v>
      </c>
      <c r="U45" s="2"/>
      <c r="V45" s="19">
        <f t="shared" si="11"/>
        <v>0</v>
      </c>
      <c r="W45" s="2"/>
      <c r="X45" s="2">
        <f t="shared" si="12"/>
        <v>95.65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-118540</v>
      </c>
      <c r="E46" s="2"/>
      <c r="F46" s="19">
        <f t="shared" si="6"/>
        <v>-0.39046174489428626</v>
      </c>
      <c r="G46" s="2"/>
      <c r="H46" s="2">
        <v>-292453</v>
      </c>
      <c r="I46" s="2"/>
      <c r="J46" s="19">
        <f t="shared" si="7"/>
        <v>-1.2053788733398647</v>
      </c>
      <c r="K46" s="2"/>
      <c r="L46" s="2">
        <f t="shared" si="8"/>
        <v>173913</v>
      </c>
      <c r="M46" s="2"/>
      <c r="N46" s="19">
        <f t="shared" si="9"/>
        <v>-0.59466991277230874</v>
      </c>
      <c r="O46" s="11"/>
      <c r="P46" s="2">
        <v>-1882420</v>
      </c>
      <c r="Q46" s="2"/>
      <c r="R46" s="19">
        <f t="shared" si="10"/>
        <v>-0.80379218839889388</v>
      </c>
      <c r="S46" s="2"/>
      <c r="T46" s="2">
        <v>-1974033.9999999998</v>
      </c>
      <c r="U46" s="2"/>
      <c r="V46" s="19">
        <f t="shared" si="11"/>
        <v>-0.83644667774779835</v>
      </c>
      <c r="W46" s="2"/>
      <c r="X46" s="2">
        <f t="shared" si="12"/>
        <v>91613.999999999767</v>
      </c>
      <c r="Y46" s="2"/>
      <c r="Z46" s="19">
        <f t="shared" si="13"/>
        <v>-4.6409534992811564E-2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255854</v>
      </c>
      <c r="E47" s="2"/>
      <c r="F47" s="19">
        <f t="shared" si="6"/>
        <v>0.84276361800390343</v>
      </c>
      <c r="G47" s="2"/>
      <c r="H47" s="2">
        <v>206038</v>
      </c>
      <c r="I47" s="2"/>
      <c r="J47" s="19">
        <f t="shared" si="7"/>
        <v>0.84920945350261079</v>
      </c>
      <c r="K47" s="2"/>
      <c r="L47" s="2">
        <f t="shared" si="8"/>
        <v>49816</v>
      </c>
      <c r="M47" s="2"/>
      <c r="N47" s="19">
        <f t="shared" si="9"/>
        <v>0.2417806424057698</v>
      </c>
      <c r="O47" s="11"/>
      <c r="P47" s="2">
        <v>2032292.0000000002</v>
      </c>
      <c r="Q47" s="2"/>
      <c r="R47" s="19">
        <f t="shared" si="10"/>
        <v>0.86778744071225611</v>
      </c>
      <c r="S47" s="2"/>
      <c r="T47" s="2">
        <v>1998371.0000000002</v>
      </c>
      <c r="U47" s="2"/>
      <c r="V47" s="19">
        <f t="shared" si="11"/>
        <v>0.84675886223719854</v>
      </c>
      <c r="W47" s="2"/>
      <c r="X47" s="2">
        <f t="shared" si="12"/>
        <v>33921</v>
      </c>
      <c r="Y47" s="2"/>
      <c r="Z47" s="19">
        <f t="shared" si="13"/>
        <v>1.6974325588191581E-2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/>
      <c r="Q48" s="2"/>
      <c r="R48" s="19">
        <f t="shared" si="10"/>
        <v>0</v>
      </c>
      <c r="S48" s="2"/>
      <c r="T48" s="2">
        <v>14.08</v>
      </c>
      <c r="U48" s="2"/>
      <c r="V48" s="19">
        <f t="shared" si="11"/>
        <v>5.9660417311398909E-6</v>
      </c>
      <c r="W48" s="2"/>
      <c r="X48" s="2">
        <f t="shared" si="12"/>
        <v>-14.08</v>
      </c>
      <c r="Y48" s="2"/>
      <c r="Z48" s="19">
        <f t="shared" si="13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105.75</v>
      </c>
      <c r="Q49" s="2"/>
      <c r="R49" s="19">
        <f t="shared" si="10"/>
        <v>4.5155185305714469E-5</v>
      </c>
      <c r="S49" s="2"/>
      <c r="T49" s="2"/>
      <c r="U49" s="2"/>
      <c r="V49" s="19">
        <f t="shared" si="11"/>
        <v>0</v>
      </c>
      <c r="W49" s="2"/>
      <c r="X49" s="2">
        <f t="shared" si="12"/>
        <v>105.75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154.30000000000001</v>
      </c>
      <c r="Q50" s="2"/>
      <c r="R50" s="19">
        <f t="shared" si="10"/>
        <v>6.5886005604460932E-5</v>
      </c>
      <c r="S50" s="2"/>
      <c r="T50" s="2">
        <v>12</v>
      </c>
      <c r="U50" s="2"/>
      <c r="V50" s="19">
        <f t="shared" si="11"/>
        <v>5.0846946572214976E-6</v>
      </c>
      <c r="W50" s="2"/>
      <c r="X50" s="2">
        <f t="shared" si="12"/>
        <v>142.30000000000001</v>
      </c>
      <c r="Y50" s="2"/>
      <c r="Z50" s="19">
        <f t="shared" si="13"/>
        <v>11.858333333333334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39.049999999999997</v>
      </c>
      <c r="E51" s="2"/>
      <c r="F51" s="19">
        <f t="shared" si="6"/>
        <v>1.2862773020180427E-4</v>
      </c>
      <c r="G51" s="2"/>
      <c r="H51" s="2"/>
      <c r="I51" s="2"/>
      <c r="J51" s="19">
        <f t="shared" si="7"/>
        <v>0</v>
      </c>
      <c r="K51" s="2"/>
      <c r="L51" s="2">
        <f t="shared" si="8"/>
        <v>39.049999999999997</v>
      </c>
      <c r="M51" s="2"/>
      <c r="N51" s="19">
        <f t="shared" si="9"/>
        <v>0</v>
      </c>
      <c r="O51" s="11"/>
      <c r="P51" s="2">
        <v>96.55</v>
      </c>
      <c r="Q51" s="2"/>
      <c r="R51" s="19">
        <f t="shared" si="10"/>
        <v>4.1226790933964368E-5</v>
      </c>
      <c r="S51" s="2"/>
      <c r="T51" s="2">
        <v>89.38</v>
      </c>
      <c r="U51" s="2"/>
      <c r="V51" s="19">
        <f t="shared" si="11"/>
        <v>3.7872500705204789E-5</v>
      </c>
      <c r="W51" s="2"/>
      <c r="X51" s="2">
        <f t="shared" si="12"/>
        <v>7.1700000000000017</v>
      </c>
      <c r="Y51" s="2"/>
      <c r="Z51" s="19">
        <f t="shared" si="13"/>
        <v>8.0219288431416444E-2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6"/>
        <v>0</v>
      </c>
      <c r="G52" s="2"/>
      <c r="H52" s="2">
        <v>31.46</v>
      </c>
      <c r="I52" s="2"/>
      <c r="J52" s="19">
        <f t="shared" si="7"/>
        <v>1.2966602960226819E-4</v>
      </c>
      <c r="K52" s="2"/>
      <c r="L52" s="2">
        <f t="shared" si="8"/>
        <v>-31.46</v>
      </c>
      <c r="M52" s="2"/>
      <c r="N52" s="19">
        <f t="shared" si="9"/>
        <v>-1</v>
      </c>
      <c r="O52" s="11"/>
      <c r="P52" s="2">
        <v>301.27</v>
      </c>
      <c r="Q52" s="2"/>
      <c r="R52" s="19">
        <f t="shared" si="10"/>
        <v>1.2864210569316878E-4</v>
      </c>
      <c r="S52" s="2"/>
      <c r="T52" s="2">
        <v>365.96</v>
      </c>
      <c r="U52" s="2"/>
      <c r="V52" s="19">
        <f t="shared" si="11"/>
        <v>1.5506623806306493E-4</v>
      </c>
      <c r="W52" s="2"/>
      <c r="X52" s="2">
        <f t="shared" si="12"/>
        <v>-64.69</v>
      </c>
      <c r="Y52" s="2"/>
      <c r="Z52" s="19">
        <f t="shared" si="13"/>
        <v>-0.17676795278172477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1">
        <f>D12-D38</f>
        <v>47735.569999999949</v>
      </c>
      <c r="E54" s="14"/>
      <c r="F54" s="20">
        <f>IF(D$12=0,0,D54/D$12)</f>
        <v>0.15723733723404187</v>
      </c>
      <c r="G54" s="14"/>
      <c r="H54" s="21">
        <f>H12-H38</f>
        <v>36584.710000000021</v>
      </c>
      <c r="I54" s="14"/>
      <c r="J54" s="20">
        <f>IF(H$12=0,0,H54/H$12)</f>
        <v>0.15078811474413223</v>
      </c>
      <c r="K54" s="15"/>
      <c r="L54" s="21">
        <f>+D54-H54</f>
        <v>11150.859999999928</v>
      </c>
      <c r="M54" s="15"/>
      <c r="N54" s="20">
        <f>IF(H54=0,0,L54/H54)</f>
        <v>0.30479563730312259</v>
      </c>
      <c r="O54" s="29"/>
      <c r="P54" s="21">
        <f>P12-P38</f>
        <v>309629.47999999905</v>
      </c>
      <c r="Q54" s="14"/>
      <c r="R54" s="20">
        <f>IF(P$12=0,0,P54/P$12)</f>
        <v>0.13221159853912029</v>
      </c>
      <c r="S54" s="14"/>
      <c r="T54" s="21">
        <f>T12-T38</f>
        <v>361639.51999999862</v>
      </c>
      <c r="U54" s="14"/>
      <c r="V54" s="20">
        <f>IF(T$12=0,0,T54/T$12)</f>
        <v>0.15323554459867833</v>
      </c>
      <c r="W54" s="15"/>
      <c r="X54" s="21">
        <f>+P54-T54</f>
        <v>-52010.039999999572</v>
      </c>
      <c r="Y54" s="15"/>
      <c r="Z54" s="20">
        <f>IF(T54=0,0,X54/T54)</f>
        <v>-0.14381735712955201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2">
        <f>SUM(OSRRefD22x_0)</f>
        <v>23203</v>
      </c>
      <c r="E56" s="22"/>
      <c r="F56" s="35">
        <f t="shared" ref="F56:F66" si="14">IF(D$12=0,0,D56/D$12)</f>
        <v>7.6428917384698189E-2</v>
      </c>
      <c r="G56" s="22"/>
      <c r="H56" s="22">
        <f>SUM(OSRRefH22x_0)</f>
        <v>7564.2000000000007</v>
      </c>
      <c r="I56" s="22"/>
      <c r="J56" s="35">
        <f t="shared" ref="J56:J66" si="15">IF(H$12=0,0,H56/H$12)</f>
        <v>3.1176725401064118E-2</v>
      </c>
      <c r="K56" s="4"/>
      <c r="L56" s="22">
        <f t="shared" ref="L56:L66" si="16">+D56-H56</f>
        <v>15638.8</v>
      </c>
      <c r="M56" s="4"/>
      <c r="N56" s="35">
        <f t="shared" ref="N56:N66" si="17">IF(H56=0,0,L56/H56)</f>
        <v>2.0674757409904547</v>
      </c>
      <c r="O56" s="10"/>
      <c r="P56" s="22">
        <f>SUM(OSRRefP22x_0)</f>
        <v>198003.15000000002</v>
      </c>
      <c r="Q56" s="22"/>
      <c r="R56" s="35">
        <f t="shared" ref="R56:R66" si="18">IF(P$12=0,0,P56/P$12)</f>
        <v>8.4547223918346848E-2</v>
      </c>
      <c r="S56" s="22"/>
      <c r="T56" s="22">
        <f>SUM(OSRRefT22x_0)</f>
        <v>224712.91999999995</v>
      </c>
      <c r="U56" s="22"/>
      <c r="V56" s="35">
        <f t="shared" ref="V56:V66" si="19">IF(T$12=0,0,T56/T$12)</f>
        <v>9.521638197772013E-2</v>
      </c>
      <c r="W56" s="4"/>
      <c r="X56" s="22">
        <f t="shared" ref="X56:X66" si="20">+P56-T56</f>
        <v>-26709.769999999931</v>
      </c>
      <c r="Y56" s="4"/>
      <c r="Z56" s="35">
        <f t="shared" ref="Z56:Z66" si="21">IF(T56=0,0,X56/T56)</f>
        <v>-0.11886174591118275</v>
      </c>
    </row>
    <row r="57" spans="1:26" s="25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3072.29</v>
      </c>
      <c r="E57" s="1"/>
      <c r="F57" s="5">
        <f t="shared" si="14"/>
        <v>1.0119889608750352E-2</v>
      </c>
      <c r="G57" s="1"/>
      <c r="H57" s="1">
        <f>SUM(OSRRefH22_0x_0)</f>
        <v>2234.7800000000002</v>
      </c>
      <c r="I57" s="1"/>
      <c r="J57" s="5">
        <f t="shared" si="15"/>
        <v>9.2109043113336609E-3</v>
      </c>
      <c r="K57" s="1"/>
      <c r="L57" s="1">
        <f t="shared" si="16"/>
        <v>837.50999999999976</v>
      </c>
      <c r="M57" s="1"/>
      <c r="N57" s="5">
        <f t="shared" si="17"/>
        <v>0.37476172151173703</v>
      </c>
      <c r="O57" s="13"/>
      <c r="P57" s="1">
        <f>SUM(OSRRefP22_0x_0)</f>
        <v>24408.78</v>
      </c>
      <c r="Q57" s="1"/>
      <c r="R57" s="5">
        <f t="shared" si="18"/>
        <v>1.0422534127531132E-2</v>
      </c>
      <c r="S57" s="1"/>
      <c r="T57" s="1">
        <f>SUM(OSRRefT22_0x_0)</f>
        <v>22843.62</v>
      </c>
      <c r="U57" s="1"/>
      <c r="V57" s="5">
        <f t="shared" si="19"/>
        <v>9.6794027137998458E-3</v>
      </c>
      <c r="W57" s="1"/>
      <c r="X57" s="1">
        <f t="shared" si="20"/>
        <v>1565.1599999999999</v>
      </c>
      <c r="Y57" s="1"/>
      <c r="Z57" s="5">
        <f t="shared" si="21"/>
        <v>6.8516285947673783E-2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6">
        <v>522.94000000000005</v>
      </c>
      <c r="E58" s="2"/>
      <c r="F58" s="7">
        <f t="shared" si="14"/>
        <v>1.7225245898010635E-3</v>
      </c>
      <c r="G58" s="2"/>
      <c r="H58" s="6">
        <v>388.04</v>
      </c>
      <c r="I58" s="2"/>
      <c r="J58" s="7">
        <f t="shared" si="15"/>
        <v>1.5993517522843025E-3</v>
      </c>
      <c r="K58" s="2"/>
      <c r="L58" s="6">
        <f t="shared" si="16"/>
        <v>134.90000000000003</v>
      </c>
      <c r="M58" s="2"/>
      <c r="N58" s="7">
        <f t="shared" si="17"/>
        <v>0.34764457272446148</v>
      </c>
      <c r="O58" s="11"/>
      <c r="P58" s="6">
        <v>7203.39</v>
      </c>
      <c r="Q58" s="2"/>
      <c r="R58" s="7">
        <f t="shared" si="18"/>
        <v>3.0758431232087999E-3</v>
      </c>
      <c r="S58" s="2"/>
      <c r="T58" s="6">
        <v>4702.3500000000004</v>
      </c>
      <c r="U58" s="2"/>
      <c r="V58" s="7">
        <f t="shared" si="19"/>
        <v>1.9925011601154593E-3</v>
      </c>
      <c r="W58" s="2"/>
      <c r="X58" s="6">
        <f t="shared" si="20"/>
        <v>2501.04</v>
      </c>
      <c r="Y58" s="2"/>
      <c r="Z58" s="7">
        <f t="shared" si="21"/>
        <v>0.53187023509521825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6">
        <v>51.53</v>
      </c>
      <c r="E59" s="2"/>
      <c r="F59" s="7">
        <f t="shared" si="14"/>
        <v>1.6973590108320037E-4</v>
      </c>
      <c r="G59" s="2"/>
      <c r="H59" s="6">
        <v>95.7</v>
      </c>
      <c r="I59" s="2"/>
      <c r="J59" s="7">
        <f t="shared" si="15"/>
        <v>3.9443862151738931E-4</v>
      </c>
      <c r="K59" s="2"/>
      <c r="L59" s="6">
        <f t="shared" si="16"/>
        <v>-44.17</v>
      </c>
      <c r="M59" s="2"/>
      <c r="N59" s="7">
        <f t="shared" si="17"/>
        <v>-0.46154649947753396</v>
      </c>
      <c r="O59" s="11"/>
      <c r="P59" s="6">
        <v>1916.71</v>
      </c>
      <c r="Q59" s="2"/>
      <c r="R59" s="7">
        <f t="shared" si="18"/>
        <v>8.1843399742142771E-4</v>
      </c>
      <c r="S59" s="2"/>
      <c r="T59" s="6">
        <v>855.95</v>
      </c>
      <c r="U59" s="2"/>
      <c r="V59" s="7">
        <f t="shared" si="19"/>
        <v>3.6268703265406174E-4</v>
      </c>
      <c r="W59" s="2"/>
      <c r="X59" s="6">
        <f t="shared" si="20"/>
        <v>1060.76</v>
      </c>
      <c r="Y59" s="2"/>
      <c r="Z59" s="7">
        <f t="shared" si="21"/>
        <v>1.2392779952100006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6">
        <v>1035.69</v>
      </c>
      <c r="E60" s="2"/>
      <c r="F60" s="7">
        <f t="shared" si="14"/>
        <v>3.4114840945635508E-3</v>
      </c>
      <c r="G60" s="2"/>
      <c r="H60" s="6">
        <v>964.88</v>
      </c>
      <c r="I60" s="2"/>
      <c r="J60" s="7">
        <f t="shared" si="15"/>
        <v>3.9768645468098076E-3</v>
      </c>
      <c r="K60" s="2"/>
      <c r="L60" s="6">
        <f t="shared" si="16"/>
        <v>70.810000000000059</v>
      </c>
      <c r="M60" s="2"/>
      <c r="N60" s="7">
        <f t="shared" si="17"/>
        <v>7.3387364231821642E-2</v>
      </c>
      <c r="O60" s="11"/>
      <c r="P60" s="6">
        <v>11556</v>
      </c>
      <c r="Q60" s="2"/>
      <c r="R60" s="7">
        <f t="shared" si="18"/>
        <v>4.9344049304287131E-3</v>
      </c>
      <c r="S60" s="2"/>
      <c r="T60" s="6">
        <v>9398.18</v>
      </c>
      <c r="U60" s="2"/>
      <c r="V60" s="7">
        <f t="shared" si="19"/>
        <v>3.9822396361338282E-3</v>
      </c>
      <c r="W60" s="2"/>
      <c r="X60" s="6">
        <f t="shared" si="20"/>
        <v>2157.8199999999997</v>
      </c>
      <c r="Y60" s="2"/>
      <c r="Z60" s="7">
        <f t="shared" si="21"/>
        <v>0.22959977357318115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6">
        <v>12.18</v>
      </c>
      <c r="E61" s="2"/>
      <c r="F61" s="7">
        <f t="shared" si="14"/>
        <v>4.011999369674714E-5</v>
      </c>
      <c r="G61" s="2"/>
      <c r="H61" s="6">
        <v>20.92</v>
      </c>
      <c r="I61" s="2"/>
      <c r="J61" s="7">
        <f t="shared" si="15"/>
        <v>8.6224200231387507E-5</v>
      </c>
      <c r="K61" s="2"/>
      <c r="L61" s="6">
        <f t="shared" si="16"/>
        <v>-8.740000000000002</v>
      </c>
      <c r="M61" s="2"/>
      <c r="N61" s="7">
        <f t="shared" si="17"/>
        <v>-0.41778202676864251</v>
      </c>
      <c r="O61" s="11"/>
      <c r="P61" s="6">
        <v>302.77</v>
      </c>
      <c r="Q61" s="2"/>
      <c r="R61" s="7">
        <f t="shared" si="18"/>
        <v>1.2928260477551934E-4</v>
      </c>
      <c r="S61" s="2"/>
      <c r="T61" s="6">
        <v>245.94</v>
      </c>
      <c r="U61" s="2"/>
      <c r="V61" s="7">
        <f t="shared" si="19"/>
        <v>1.042108169997546E-4</v>
      </c>
      <c r="W61" s="2"/>
      <c r="X61" s="6">
        <f t="shared" si="20"/>
        <v>56.829999999999984</v>
      </c>
      <c r="Y61" s="2"/>
      <c r="Z61" s="7">
        <f t="shared" si="21"/>
        <v>0.23107261933804987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6">
        <v>159.41999999999999</v>
      </c>
      <c r="E62" s="2"/>
      <c r="F62" s="7">
        <f t="shared" si="14"/>
        <v>5.2511735592244903E-4</v>
      </c>
      <c r="G62" s="2"/>
      <c r="H62" s="6">
        <v>174.42</v>
      </c>
      <c r="I62" s="2"/>
      <c r="J62" s="7">
        <f t="shared" si="15"/>
        <v>7.1889220862134833E-4</v>
      </c>
      <c r="K62" s="2"/>
      <c r="L62" s="6">
        <f t="shared" si="16"/>
        <v>-15</v>
      </c>
      <c r="M62" s="2"/>
      <c r="N62" s="7">
        <f t="shared" si="17"/>
        <v>-8.5999312005503967E-2</v>
      </c>
      <c r="O62" s="11"/>
      <c r="P62" s="6">
        <v>2488.86</v>
      </c>
      <c r="Q62" s="2"/>
      <c r="R62" s="7">
        <f t="shared" si="18"/>
        <v>1.062741697399343E-3</v>
      </c>
      <c r="S62" s="2"/>
      <c r="T62" s="6">
        <v>1916.08</v>
      </c>
      <c r="U62" s="2"/>
      <c r="V62" s="7">
        <f t="shared" si="19"/>
        <v>8.1189014490074722E-4</v>
      </c>
      <c r="W62" s="2"/>
      <c r="X62" s="6">
        <f t="shared" si="20"/>
        <v>572.7800000000002</v>
      </c>
      <c r="Y62" s="2"/>
      <c r="Z62" s="7">
        <f t="shared" si="21"/>
        <v>0.29893323869567046</v>
      </c>
    </row>
    <row r="63" spans="1:26" s="24" customFormat="1" hidden="1" outlineLevel="2" x14ac:dyDescent="0.25">
      <c r="A63" s="27"/>
      <c r="B63" s="11" t="str">
        <f>CONCATENATE("          ", "6117", " - ", "RETIREMENT STAFF HOURLY")</f>
        <v xml:space="preserve">          6117 - RETIREMENT STAFF HOURLY</v>
      </c>
      <c r="C63" s="11"/>
      <c r="D63" s="6">
        <v>382.31</v>
      </c>
      <c r="E63" s="2"/>
      <c r="F63" s="7">
        <f t="shared" si="14"/>
        <v>1.2593000648771265E-3</v>
      </c>
      <c r="G63" s="2"/>
      <c r="H63" s="6">
        <v>176.34</v>
      </c>
      <c r="I63" s="2"/>
      <c r="J63" s="7">
        <f t="shared" si="15"/>
        <v>7.268057107458352E-4</v>
      </c>
      <c r="K63" s="2"/>
      <c r="L63" s="6">
        <f t="shared" si="16"/>
        <v>205.97</v>
      </c>
      <c r="M63" s="2"/>
      <c r="N63" s="7">
        <f t="shared" si="17"/>
        <v>1.1680276738119542</v>
      </c>
      <c r="O63" s="11"/>
      <c r="P63" s="6">
        <v>1773.79</v>
      </c>
      <c r="Q63" s="2"/>
      <c r="R63" s="7">
        <f t="shared" si="18"/>
        <v>7.5740724485506632E-4</v>
      </c>
      <c r="S63" s="2"/>
      <c r="T63" s="6">
        <v>1258.78</v>
      </c>
      <c r="U63" s="2"/>
      <c r="V63" s="7">
        <f t="shared" si="19"/>
        <v>5.3337599505143968E-4</v>
      </c>
      <c r="W63" s="2"/>
      <c r="X63" s="6">
        <f t="shared" si="20"/>
        <v>515.01</v>
      </c>
      <c r="Y63" s="2"/>
      <c r="Z63" s="7">
        <f t="shared" si="21"/>
        <v>0.40913424109057978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6">
        <v>386.7</v>
      </c>
      <c r="E64" s="2"/>
      <c r="F64" s="7">
        <f t="shared" si="14"/>
        <v>1.2737603910124894E-3</v>
      </c>
      <c r="G64" s="2"/>
      <c r="H64" s="6">
        <v>146.9</v>
      </c>
      <c r="I64" s="2"/>
      <c r="J64" s="7">
        <f t="shared" si="15"/>
        <v>6.0546534483703752E-4</v>
      </c>
      <c r="K64" s="2"/>
      <c r="L64" s="6">
        <f t="shared" si="16"/>
        <v>239.79999999999998</v>
      </c>
      <c r="M64" s="2"/>
      <c r="N64" s="7">
        <f t="shared" si="17"/>
        <v>1.6324029952348535</v>
      </c>
      <c r="O64" s="11"/>
      <c r="P64" s="6">
        <v>2787.55</v>
      </c>
      <c r="Q64" s="2"/>
      <c r="R64" s="7">
        <f t="shared" si="18"/>
        <v>1.1902821446708688E-3</v>
      </c>
      <c r="S64" s="2"/>
      <c r="T64" s="6">
        <v>1692.37</v>
      </c>
      <c r="U64" s="2"/>
      <c r="V64" s="7">
        <f t="shared" si="19"/>
        <v>7.170987247534955E-4</v>
      </c>
      <c r="W64" s="2"/>
      <c r="X64" s="6">
        <f t="shared" si="20"/>
        <v>1095.1800000000003</v>
      </c>
      <c r="Y64" s="2"/>
      <c r="Z64" s="7">
        <f t="shared" si="21"/>
        <v>0.64712799210574545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6">
        <v>384.86</v>
      </c>
      <c r="E65" s="2"/>
      <c r="F65" s="7">
        <f t="shared" si="14"/>
        <v>1.2676995709466426E-3</v>
      </c>
      <c r="G65" s="2"/>
      <c r="H65" s="6">
        <v>117.58</v>
      </c>
      <c r="I65" s="2"/>
      <c r="J65" s="7">
        <f t="shared" si="15"/>
        <v>4.8461957281102018E-4</v>
      </c>
      <c r="K65" s="2"/>
      <c r="L65" s="6">
        <f t="shared" si="16"/>
        <v>267.28000000000003</v>
      </c>
      <c r="M65" s="2"/>
      <c r="N65" s="7">
        <f t="shared" si="17"/>
        <v>2.2731757101547885</v>
      </c>
      <c r="O65" s="11"/>
      <c r="P65" s="6">
        <v>-5346.7</v>
      </c>
      <c r="Q65" s="2"/>
      <c r="R65" s="7">
        <f t="shared" si="18"/>
        <v>-2.2830376290691587E-3</v>
      </c>
      <c r="S65" s="2"/>
      <c r="T65" s="6">
        <v>1402.66</v>
      </c>
      <c r="U65" s="2"/>
      <c r="V65" s="7">
        <f t="shared" si="19"/>
        <v>5.9434148399152553E-4</v>
      </c>
      <c r="W65" s="2"/>
      <c r="X65" s="6">
        <f t="shared" si="20"/>
        <v>-6749.36</v>
      </c>
      <c r="Y65" s="2"/>
      <c r="Z65" s="7">
        <f t="shared" si="21"/>
        <v>-4.8118289535596643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6">
        <v>136.66</v>
      </c>
      <c r="E66" s="2"/>
      <c r="F66" s="7">
        <f t="shared" si="14"/>
        <v>4.5014764684708249E-4</v>
      </c>
      <c r="G66" s="2"/>
      <c r="H66" s="6">
        <v>150</v>
      </c>
      <c r="I66" s="2"/>
      <c r="J66" s="7">
        <f t="shared" si="15"/>
        <v>6.182423534755318E-4</v>
      </c>
      <c r="K66" s="2"/>
      <c r="L66" s="6">
        <f t="shared" si="16"/>
        <v>-13.340000000000003</v>
      </c>
      <c r="M66" s="2"/>
      <c r="N66" s="7">
        <f t="shared" si="17"/>
        <v>-8.893333333333335E-2</v>
      </c>
      <c r="O66" s="11"/>
      <c r="P66" s="6">
        <v>1726.41</v>
      </c>
      <c r="Q66" s="2"/>
      <c r="R66" s="7">
        <f t="shared" si="18"/>
        <v>7.3717601384055335E-4</v>
      </c>
      <c r="S66" s="2"/>
      <c r="T66" s="6">
        <v>1371.31</v>
      </c>
      <c r="U66" s="2"/>
      <c r="V66" s="7">
        <f t="shared" si="19"/>
        <v>5.8105771919953429E-4</v>
      </c>
      <c r="W66" s="2"/>
      <c r="X66" s="6">
        <f t="shared" si="20"/>
        <v>355.10000000000014</v>
      </c>
      <c r="Y66" s="2"/>
      <c r="Z66" s="7">
        <f t="shared" si="21"/>
        <v>0.25894947167307186</v>
      </c>
    </row>
    <row r="67" spans="1:26" s="25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4242.6400000000003</v>
      </c>
      <c r="E67" s="1"/>
      <c r="F67" s="5">
        <f t="shared" ref="F67:F72" si="22">IF(D$12=0,0,D67/D$12)</f>
        <v>1.3974933502263327E-2</v>
      </c>
      <c r="G67" s="1"/>
      <c r="H67" s="1">
        <f>SUM(OSRRefH22_1x_0)</f>
        <v>8983.32</v>
      </c>
      <c r="I67" s="1"/>
      <c r="J67" s="5">
        <f t="shared" ref="J67:J72" si="23">IF(H$12=0,0,H67/H$12)</f>
        <v>3.7025792658825427E-2</v>
      </c>
      <c r="K67" s="1"/>
      <c r="L67" s="1">
        <f t="shared" ref="L67:L72" si="24">+D67-H67</f>
        <v>-4740.6799999999994</v>
      </c>
      <c r="M67" s="1"/>
      <c r="N67" s="5">
        <f t="shared" ref="N67:N72" si="25">IF(H67=0,0,L67/H67)</f>
        <v>-0.52772026377775694</v>
      </c>
      <c r="O67" s="13"/>
      <c r="P67" s="1">
        <f>SUM(OSRRefP22_1x_0)</f>
        <v>96222.13</v>
      </c>
      <c r="Q67" s="1"/>
      <c r="R67" s="5">
        <f t="shared" ref="R67:R72" si="26">IF(P$12=0,0,P67/P$12)</f>
        <v>4.1086790644544187E-2</v>
      </c>
      <c r="S67" s="1"/>
      <c r="T67" s="1">
        <f>SUM(OSRRefT22_1x_0)</f>
        <v>90712</v>
      </c>
      <c r="U67" s="1"/>
      <c r="V67" s="5">
        <f t="shared" ref="V67:V72" si="27">IF(T$12=0,0,T67/T$12)</f>
        <v>3.8436901812156372E-2</v>
      </c>
      <c r="W67" s="1"/>
      <c r="X67" s="1">
        <f t="shared" ref="X67:X72" si="28">+P67-T67</f>
        <v>5510.1300000000047</v>
      </c>
      <c r="Y67" s="1"/>
      <c r="Z67" s="5">
        <f t="shared" ref="Z67:Z72" si="29">IF(T67=0,0,X67/T67)</f>
        <v>6.0743121086515618E-2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6">
        <v>1825.41</v>
      </c>
      <c r="E68" s="2"/>
      <c r="F68" s="7">
        <f t="shared" si="22"/>
        <v>6.0127617154334323E-3</v>
      </c>
      <c r="G68" s="2"/>
      <c r="H68" s="6">
        <v>2549.1999999999998</v>
      </c>
      <c r="I68" s="2"/>
      <c r="J68" s="7">
        <f t="shared" si="23"/>
        <v>1.0506822716532169E-2</v>
      </c>
      <c r="K68" s="2"/>
      <c r="L68" s="6">
        <f t="shared" si="24"/>
        <v>-723.78999999999974</v>
      </c>
      <c r="M68" s="2"/>
      <c r="N68" s="7">
        <f t="shared" si="25"/>
        <v>-0.28392829122862068</v>
      </c>
      <c r="O68" s="11"/>
      <c r="P68" s="6">
        <v>32397.73</v>
      </c>
      <c r="Q68" s="2"/>
      <c r="R68" s="7">
        <f t="shared" si="26"/>
        <v>1.3833810890160803E-2</v>
      </c>
      <c r="S68" s="2"/>
      <c r="T68" s="6">
        <v>26130</v>
      </c>
      <c r="U68" s="2"/>
      <c r="V68" s="7">
        <f t="shared" si="27"/>
        <v>1.1071922616099811E-2</v>
      </c>
      <c r="W68" s="2"/>
      <c r="X68" s="6">
        <f t="shared" si="28"/>
        <v>6267.73</v>
      </c>
      <c r="Y68" s="2"/>
      <c r="Z68" s="7">
        <f t="shared" si="29"/>
        <v>0.23986720244929199</v>
      </c>
    </row>
    <row r="69" spans="1:26" s="24" customFormat="1" hidden="1" outlineLevel="2" x14ac:dyDescent="0.25">
      <c r="A69" s="27"/>
      <c r="B69" s="11" t="str">
        <f>CONCATENATE("          ", "6004", " - ", "STAFF HOURLY")</f>
        <v xml:space="preserve">          6004 - STAFF HOURLY</v>
      </c>
      <c r="C69" s="11"/>
      <c r="D69" s="6">
        <v>3412.23</v>
      </c>
      <c r="E69" s="2"/>
      <c r="F69" s="7">
        <f t="shared" si="22"/>
        <v>1.1239626115915559E-2</v>
      </c>
      <c r="G69" s="2"/>
      <c r="H69" s="6"/>
      <c r="I69" s="2"/>
      <c r="J69" s="7">
        <f t="shared" si="23"/>
        <v>0</v>
      </c>
      <c r="K69" s="2"/>
      <c r="L69" s="6">
        <f t="shared" si="24"/>
        <v>3412.23</v>
      </c>
      <c r="M69" s="2"/>
      <c r="N69" s="7">
        <f t="shared" si="25"/>
        <v>0</v>
      </c>
      <c r="O69" s="11"/>
      <c r="P69" s="6">
        <v>5831.85</v>
      </c>
      <c r="Q69" s="2"/>
      <c r="R69" s="7">
        <f t="shared" si="26"/>
        <v>2.4901963822707416E-3</v>
      </c>
      <c r="S69" s="2"/>
      <c r="T69" s="6"/>
      <c r="U69" s="2"/>
      <c r="V69" s="7">
        <f t="shared" si="27"/>
        <v>0</v>
      </c>
      <c r="W69" s="2"/>
      <c r="X69" s="6">
        <f t="shared" si="28"/>
        <v>5831.85</v>
      </c>
      <c r="Y69" s="2"/>
      <c r="Z69" s="7">
        <f t="shared" si="29"/>
        <v>0</v>
      </c>
    </row>
    <row r="70" spans="1:26" s="24" customFormat="1" hidden="1" outlineLevel="2" x14ac:dyDescent="0.25">
      <c r="A70" s="27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2"/>
        <v>0</v>
      </c>
      <c r="G70" s="2"/>
      <c r="H70" s="6">
        <v>2522.9899999999998</v>
      </c>
      <c r="I70" s="2"/>
      <c r="J70" s="7">
        <f t="shared" si="23"/>
        <v>1.0398795169301546E-2</v>
      </c>
      <c r="K70" s="2"/>
      <c r="L70" s="6">
        <f t="shared" si="24"/>
        <v>-2522.9899999999998</v>
      </c>
      <c r="M70" s="2"/>
      <c r="N70" s="7">
        <f t="shared" si="25"/>
        <v>-1</v>
      </c>
      <c r="O70" s="11"/>
      <c r="P70" s="6">
        <v>29960.57</v>
      </c>
      <c r="Q70" s="2"/>
      <c r="R70" s="7">
        <f t="shared" si="26"/>
        <v>1.2793145061133143E-2</v>
      </c>
      <c r="S70" s="2"/>
      <c r="T70" s="6">
        <v>23558.21</v>
      </c>
      <c r="U70" s="2"/>
      <c r="V70" s="7">
        <f t="shared" si="27"/>
        <v>9.9821920433918378E-3</v>
      </c>
      <c r="W70" s="2"/>
      <c r="X70" s="6">
        <f t="shared" si="28"/>
        <v>6402.3600000000006</v>
      </c>
      <c r="Y70" s="2"/>
      <c r="Z70" s="7">
        <f t="shared" si="29"/>
        <v>0.27176767674623842</v>
      </c>
    </row>
    <row r="71" spans="1:26" s="24" customFormat="1" hidden="1" outlineLevel="2" x14ac:dyDescent="0.25">
      <c r="A71" s="27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2"/>
        <v>0</v>
      </c>
      <c r="G71" s="2"/>
      <c r="H71" s="6"/>
      <c r="I71" s="2"/>
      <c r="J71" s="7">
        <f t="shared" si="23"/>
        <v>0</v>
      </c>
      <c r="K71" s="2"/>
      <c r="L71" s="6">
        <f t="shared" si="24"/>
        <v>0</v>
      </c>
      <c r="M71" s="2"/>
      <c r="N71" s="7">
        <f t="shared" si="25"/>
        <v>0</v>
      </c>
      <c r="O71" s="11"/>
      <c r="P71" s="6">
        <v>9008.99</v>
      </c>
      <c r="Q71" s="2"/>
      <c r="R71" s="7">
        <f t="shared" si="26"/>
        <v>3.8468332186035801E-3</v>
      </c>
      <c r="S71" s="2"/>
      <c r="T71" s="6"/>
      <c r="U71" s="2"/>
      <c r="V71" s="7">
        <f t="shared" si="27"/>
        <v>0</v>
      </c>
      <c r="W71" s="2"/>
      <c r="X71" s="6">
        <f t="shared" si="28"/>
        <v>9008.99</v>
      </c>
      <c r="Y71" s="2"/>
      <c r="Z71" s="7">
        <f t="shared" si="29"/>
        <v>0</v>
      </c>
    </row>
    <row r="72" spans="1:26" s="24" customFormat="1" hidden="1" outlineLevel="2" x14ac:dyDescent="0.25">
      <c r="A72" s="27"/>
      <c r="B72" s="11" t="str">
        <f>CONCATENATE("          ", "6007", " - ", "STUDENT HOURLY")</f>
        <v xml:space="preserve">          6007 - STUDENT HOURLY</v>
      </c>
      <c r="C72" s="11"/>
      <c r="D72" s="6">
        <v>-995</v>
      </c>
      <c r="E72" s="2"/>
      <c r="F72" s="7">
        <f t="shared" si="22"/>
        <v>-3.2774543290856658E-3</v>
      </c>
      <c r="G72" s="2"/>
      <c r="H72" s="6">
        <v>3911.13</v>
      </c>
      <c r="I72" s="2"/>
      <c r="J72" s="7">
        <f t="shared" si="23"/>
        <v>1.612017477299171E-2</v>
      </c>
      <c r="K72" s="2"/>
      <c r="L72" s="6">
        <f t="shared" si="24"/>
        <v>-4906.13</v>
      </c>
      <c r="M72" s="2"/>
      <c r="N72" s="7">
        <f t="shared" si="25"/>
        <v>-1.2544021804440149</v>
      </c>
      <c r="O72" s="11"/>
      <c r="P72" s="6">
        <v>19022.990000000002</v>
      </c>
      <c r="Q72" s="2"/>
      <c r="R72" s="7">
        <f t="shared" si="26"/>
        <v>8.122805092375918E-3</v>
      </c>
      <c r="S72" s="2"/>
      <c r="T72" s="6">
        <v>41023.79</v>
      </c>
      <c r="U72" s="2"/>
      <c r="V72" s="7">
        <f t="shared" si="27"/>
        <v>1.7382787152664725E-2</v>
      </c>
      <c r="W72" s="2"/>
      <c r="X72" s="6">
        <f t="shared" si="28"/>
        <v>-22000.799999999999</v>
      </c>
      <c r="Y72" s="2"/>
      <c r="Z72" s="7">
        <f t="shared" si="29"/>
        <v>-0.53629369690123707</v>
      </c>
    </row>
    <row r="73" spans="1:26" s="25" customFormat="1" outlineLevel="1" collapsed="1" x14ac:dyDescent="0.25">
      <c r="A73" s="26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5" si="30">IF(D$12=0,0,D73/D$12)</f>
        <v>0</v>
      </c>
      <c r="G73" s="1"/>
      <c r="H73" s="1">
        <f>SUM(OSRRefH22_2x_0)</f>
        <v>1038.1300000000001</v>
      </c>
      <c r="I73" s="1"/>
      <c r="J73" s="5">
        <f t="shared" ref="J73:J85" si="31">IF(H$12=0,0,H73/H$12)</f>
        <v>4.2787728960903592E-3</v>
      </c>
      <c r="K73" s="1"/>
      <c r="L73" s="1">
        <f t="shared" ref="L73:L85" si="32">+D73-H73</f>
        <v>-1038.1300000000001</v>
      </c>
      <c r="M73" s="1"/>
      <c r="N73" s="5">
        <f t="shared" ref="N73:N85" si="33">IF(H73=0,0,L73/H73)</f>
        <v>-1</v>
      </c>
      <c r="O73" s="13"/>
      <c r="P73" s="1">
        <f>SUM(OSRRefP22_2x_0)</f>
        <v>1745.92</v>
      </c>
      <c r="Q73" s="1"/>
      <c r="R73" s="5">
        <f t="shared" ref="R73:R85" si="34">IF(P$12=0,0,P73/P$12)</f>
        <v>7.45506771904993E-4</v>
      </c>
      <c r="S73" s="1"/>
      <c r="T73" s="1">
        <f>SUM(OSRRefT22_2x_0)</f>
        <v>3816.58</v>
      </c>
      <c r="U73" s="1"/>
      <c r="V73" s="5">
        <f t="shared" ref="V73:V85" si="35">IF(T$12=0,0,T73/T$12)</f>
        <v>1.6171786612382019E-3</v>
      </c>
      <c r="W73" s="1"/>
      <c r="X73" s="1">
        <f t="shared" ref="X73:X85" si="36">+P73-T73</f>
        <v>-2070.66</v>
      </c>
      <c r="Y73" s="1"/>
      <c r="Z73" s="5">
        <f t="shared" ref="Z73:Z85" si="37">IF(T73=0,0,X73/T73)</f>
        <v>-0.54254332412788409</v>
      </c>
    </row>
    <row r="74" spans="1:26" s="24" customFormat="1" hidden="1" outlineLevel="2" x14ac:dyDescent="0.25">
      <c r="A74" s="27"/>
      <c r="B74" s="11" t="str">
        <f>CONCATENATE("          ", "6362", " - ", "ADVERTISING EXPENSE")</f>
        <v xml:space="preserve">          6362 - ADVERTISING EXPENSE</v>
      </c>
      <c r="C74" s="11"/>
      <c r="D74" s="6"/>
      <c r="E74" s="2"/>
      <c r="F74" s="7">
        <f t="shared" si="30"/>
        <v>0</v>
      </c>
      <c r="G74" s="2"/>
      <c r="H74" s="6">
        <v>1038.1300000000001</v>
      </c>
      <c r="I74" s="2"/>
      <c r="J74" s="7">
        <f t="shared" si="31"/>
        <v>4.2787728960903592E-3</v>
      </c>
      <c r="K74" s="2"/>
      <c r="L74" s="6">
        <f t="shared" si="32"/>
        <v>-1038.1300000000001</v>
      </c>
      <c r="M74" s="2"/>
      <c r="N74" s="7">
        <f t="shared" si="33"/>
        <v>-1</v>
      </c>
      <c r="O74" s="11"/>
      <c r="P74" s="6">
        <v>1745.92</v>
      </c>
      <c r="Q74" s="2"/>
      <c r="R74" s="7">
        <f t="shared" si="34"/>
        <v>7.45506771904993E-4</v>
      </c>
      <c r="S74" s="2"/>
      <c r="T74" s="6">
        <v>3816.58</v>
      </c>
      <c r="U74" s="2"/>
      <c r="V74" s="7">
        <f t="shared" si="35"/>
        <v>1.6171786612382019E-3</v>
      </c>
      <c r="W74" s="2"/>
      <c r="X74" s="6">
        <f t="shared" si="36"/>
        <v>-2070.66</v>
      </c>
      <c r="Y74" s="2"/>
      <c r="Z74" s="7">
        <f t="shared" si="37"/>
        <v>-0.54254332412788409</v>
      </c>
    </row>
    <row r="75" spans="1:26" s="25" customFormat="1" outlineLevel="1" collapsed="1" x14ac:dyDescent="0.25">
      <c r="A75" s="26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0"/>
        <v>9.2374803220983328E-4</v>
      </c>
      <c r="G75" s="1"/>
      <c r="H75" s="1">
        <f>SUM(OSRRefH22_3x_0)</f>
        <v>280.44</v>
      </c>
      <c r="I75" s="1"/>
      <c r="J75" s="5">
        <f t="shared" si="31"/>
        <v>1.1558659040578542E-3</v>
      </c>
      <c r="K75" s="1"/>
      <c r="L75" s="1">
        <f t="shared" si="32"/>
        <v>0</v>
      </c>
      <c r="M75" s="1"/>
      <c r="N75" s="5">
        <f t="shared" si="33"/>
        <v>0</v>
      </c>
      <c r="O75" s="13"/>
      <c r="P75" s="1">
        <f>SUM(OSRRefP22_3x_0)</f>
        <v>2804.4</v>
      </c>
      <c r="Q75" s="1"/>
      <c r="R75" s="5">
        <f t="shared" si="34"/>
        <v>1.1974770843626067E-3</v>
      </c>
      <c r="S75" s="1"/>
      <c r="T75" s="1">
        <f>SUM(OSRRefT22_3x_0)</f>
        <v>2804.4</v>
      </c>
      <c r="U75" s="1"/>
      <c r="V75" s="5">
        <f t="shared" si="35"/>
        <v>1.1882931413926641E-3</v>
      </c>
      <c r="W75" s="1"/>
      <c r="X75" s="1">
        <f t="shared" si="36"/>
        <v>0</v>
      </c>
      <c r="Y75" s="1"/>
      <c r="Z75" s="5">
        <f t="shared" si="37"/>
        <v>0</v>
      </c>
    </row>
    <row r="76" spans="1:26" s="24" customFormat="1" hidden="1" outlineLevel="2" x14ac:dyDescent="0.25">
      <c r="A76" s="27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0"/>
        <v>9.2374803220983328E-4</v>
      </c>
      <c r="G76" s="2"/>
      <c r="H76" s="6">
        <v>280.44</v>
      </c>
      <c r="I76" s="2"/>
      <c r="J76" s="7">
        <f t="shared" si="31"/>
        <v>1.1558659040578542E-3</v>
      </c>
      <c r="K76" s="2"/>
      <c r="L76" s="6">
        <f t="shared" si="32"/>
        <v>0</v>
      </c>
      <c r="M76" s="2"/>
      <c r="N76" s="7">
        <f t="shared" si="33"/>
        <v>0</v>
      </c>
      <c r="O76" s="11"/>
      <c r="P76" s="6">
        <v>2804.4</v>
      </c>
      <c r="Q76" s="2"/>
      <c r="R76" s="7">
        <f t="shared" si="34"/>
        <v>1.1974770843626067E-3</v>
      </c>
      <c r="S76" s="2"/>
      <c r="T76" s="6">
        <v>2804.4</v>
      </c>
      <c r="U76" s="2"/>
      <c r="V76" s="7">
        <f t="shared" si="35"/>
        <v>1.1882931413926641E-3</v>
      </c>
      <c r="W76" s="2"/>
      <c r="X76" s="6">
        <f t="shared" si="36"/>
        <v>0</v>
      </c>
      <c r="Y76" s="2"/>
      <c r="Z76" s="7">
        <f t="shared" si="37"/>
        <v>0</v>
      </c>
    </row>
    <row r="77" spans="1:26" s="25" customFormat="1" outlineLevel="1" collapsed="1" x14ac:dyDescent="0.25">
      <c r="A77" s="26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15043.910000000002</v>
      </c>
      <c r="E77" s="1"/>
      <c r="F77" s="5">
        <f t="shared" si="30"/>
        <v>4.9553495433040343E-2</v>
      </c>
      <c r="G77" s="1"/>
      <c r="H77" s="1">
        <f>SUM(OSRRefH22_4x_0)</f>
        <v>-1777</v>
      </c>
      <c r="I77" s="1"/>
      <c r="J77" s="5">
        <f t="shared" si="31"/>
        <v>-7.3241110808401335E-3</v>
      </c>
      <c r="K77" s="1"/>
      <c r="L77" s="1">
        <f t="shared" si="32"/>
        <v>16820.910000000003</v>
      </c>
      <c r="M77" s="1"/>
      <c r="N77" s="5">
        <f t="shared" si="33"/>
        <v>-9.4659032076533496</v>
      </c>
      <c r="O77" s="13"/>
      <c r="P77" s="1">
        <f>SUM(OSRRefP22_4x_0)</f>
        <v>69760.240000000005</v>
      </c>
      <c r="Q77" s="1"/>
      <c r="R77" s="5">
        <f t="shared" si="34"/>
        <v>2.9787579803036549E-2</v>
      </c>
      <c r="S77" s="1"/>
      <c r="T77" s="1">
        <f>SUM(OSRRefT22_4x_0)</f>
        <v>85947.37</v>
      </c>
      <c r="U77" s="1"/>
      <c r="V77" s="5">
        <f t="shared" si="35"/>
        <v>3.6418011086769932E-2</v>
      </c>
      <c r="W77" s="1"/>
      <c r="X77" s="1">
        <f t="shared" si="36"/>
        <v>-16187.12999999999</v>
      </c>
      <c r="Y77" s="1"/>
      <c r="Z77" s="5">
        <f t="shared" si="37"/>
        <v>-0.18833770015301213</v>
      </c>
    </row>
    <row r="78" spans="1:26" s="24" customFormat="1" hidden="1" outlineLevel="2" x14ac:dyDescent="0.25">
      <c r="A78" s="27"/>
      <c r="B78" s="11" t="str">
        <f>CONCATENATE("          ", "6382", " - ", "DISCOUNTS/MARK DOWNS")</f>
        <v xml:space="preserve">          6382 - DISCOUNTS/MARK DOWNS</v>
      </c>
      <c r="C78" s="11"/>
      <c r="D78" s="6">
        <v>15043.910000000002</v>
      </c>
      <c r="E78" s="2"/>
      <c r="F78" s="7">
        <f t="shared" si="30"/>
        <v>4.9553495433040343E-2</v>
      </c>
      <c r="G78" s="2"/>
      <c r="H78" s="6">
        <v>-1777</v>
      </c>
      <c r="I78" s="2"/>
      <c r="J78" s="7">
        <f t="shared" si="31"/>
        <v>-7.3241110808401335E-3</v>
      </c>
      <c r="K78" s="2"/>
      <c r="L78" s="6">
        <f t="shared" si="32"/>
        <v>16820.910000000003</v>
      </c>
      <c r="M78" s="2"/>
      <c r="N78" s="7">
        <f t="shared" si="33"/>
        <v>-9.4659032076533496</v>
      </c>
      <c r="O78" s="11"/>
      <c r="P78" s="6">
        <v>69760.240000000005</v>
      </c>
      <c r="Q78" s="2"/>
      <c r="R78" s="7">
        <f t="shared" si="34"/>
        <v>2.9787579803036549E-2</v>
      </c>
      <c r="S78" s="2"/>
      <c r="T78" s="6">
        <v>85947.37</v>
      </c>
      <c r="U78" s="2"/>
      <c r="V78" s="7">
        <f t="shared" si="35"/>
        <v>3.6418011086769932E-2</v>
      </c>
      <c r="W78" s="2"/>
      <c r="X78" s="6">
        <f t="shared" si="36"/>
        <v>-16187.12999999999</v>
      </c>
      <c r="Y78" s="2"/>
      <c r="Z78" s="7">
        <f t="shared" si="37"/>
        <v>-0.18833770015301213</v>
      </c>
    </row>
    <row r="79" spans="1:26" s="25" customFormat="1" outlineLevel="1" collapsed="1" x14ac:dyDescent="0.25">
      <c r="A79" s="26"/>
      <c r="B79" s="13" t="str">
        <f>CONCATENATE("     ","Donations                                         ")</f>
        <v xml:space="preserve">     Donations                                         </v>
      </c>
      <c r="C79" s="13"/>
      <c r="D79" s="1">
        <f>SUM(OSRRefD22_5x_0)</f>
        <v>0</v>
      </c>
      <c r="E79" s="1"/>
      <c r="F79" s="5">
        <f t="shared" si="30"/>
        <v>0</v>
      </c>
      <c r="G79" s="1"/>
      <c r="H79" s="1">
        <f>SUM(OSRRefH22_5x_0)</f>
        <v>0</v>
      </c>
      <c r="I79" s="1"/>
      <c r="J79" s="5">
        <f t="shared" si="31"/>
        <v>0</v>
      </c>
      <c r="K79" s="1"/>
      <c r="L79" s="1">
        <f t="shared" si="32"/>
        <v>0</v>
      </c>
      <c r="M79" s="1"/>
      <c r="N79" s="5">
        <f t="shared" si="33"/>
        <v>0</v>
      </c>
      <c r="O79" s="13"/>
      <c r="P79" s="1">
        <f>SUM(OSRRefP22_5x_0)</f>
        <v>0</v>
      </c>
      <c r="Q79" s="1"/>
      <c r="R79" s="5">
        <f t="shared" si="34"/>
        <v>0</v>
      </c>
      <c r="S79" s="1"/>
      <c r="T79" s="1">
        <f>SUM(OSRRefT22_5x_0)</f>
        <v>0</v>
      </c>
      <c r="U79" s="1"/>
      <c r="V79" s="5">
        <f t="shared" si="35"/>
        <v>0</v>
      </c>
      <c r="W79" s="1"/>
      <c r="X79" s="1">
        <f t="shared" si="36"/>
        <v>0</v>
      </c>
      <c r="Y79" s="1"/>
      <c r="Z79" s="5">
        <f t="shared" si="37"/>
        <v>0</v>
      </c>
    </row>
    <row r="80" spans="1:26" s="24" customFormat="1" hidden="1" outlineLevel="2" x14ac:dyDescent="0.25">
      <c r="A80" s="27"/>
      <c r="B80" s="11" t="str">
        <f>CONCATENATE("          ", "6399", " - ", "DONATION-ON CAMPUS")</f>
        <v xml:space="preserve">          6399 - DONATION-ON CAMPUS</v>
      </c>
      <c r="C80" s="11"/>
      <c r="D80" s="6"/>
      <c r="E80" s="2"/>
      <c r="F80" s="7">
        <f t="shared" si="30"/>
        <v>0</v>
      </c>
      <c r="G80" s="2"/>
      <c r="H80" s="6"/>
      <c r="I80" s="2"/>
      <c r="J80" s="7">
        <f t="shared" si="31"/>
        <v>0</v>
      </c>
      <c r="K80" s="2"/>
      <c r="L80" s="6">
        <f t="shared" si="32"/>
        <v>0</v>
      </c>
      <c r="M80" s="2"/>
      <c r="N80" s="7">
        <f t="shared" si="33"/>
        <v>0</v>
      </c>
      <c r="O80" s="11"/>
      <c r="P80" s="6"/>
      <c r="Q80" s="2"/>
      <c r="R80" s="7">
        <f t="shared" si="34"/>
        <v>0</v>
      </c>
      <c r="S80" s="2"/>
      <c r="T80" s="6">
        <v>0</v>
      </c>
      <c r="U80" s="2"/>
      <c r="V80" s="7">
        <f t="shared" si="35"/>
        <v>0</v>
      </c>
      <c r="W80" s="2"/>
      <c r="X80" s="6">
        <f t="shared" si="36"/>
        <v>0</v>
      </c>
      <c r="Y80" s="2"/>
      <c r="Z80" s="7">
        <f t="shared" si="37"/>
        <v>0</v>
      </c>
    </row>
    <row r="81" spans="1:26" s="25" customFormat="1" outlineLevel="1" collapsed="1" x14ac:dyDescent="0.25">
      <c r="A81" s="26"/>
      <c r="B81" s="13" t="str">
        <f>CONCATENATE("     ","Employees' Appreciation                           ")</f>
        <v xml:space="preserve">     Employees' Appreciation                           </v>
      </c>
      <c r="C81" s="13"/>
      <c r="D81" s="1">
        <f>SUM(OSRRefD22_6x_0)</f>
        <v>0</v>
      </c>
      <c r="E81" s="1"/>
      <c r="F81" s="5">
        <f t="shared" si="30"/>
        <v>0</v>
      </c>
      <c r="G81" s="1"/>
      <c r="H81" s="1">
        <f>SUM(OSRRefH22_6x_0)</f>
        <v>84.31</v>
      </c>
      <c r="I81" s="1"/>
      <c r="J81" s="5">
        <f t="shared" si="31"/>
        <v>3.4749341881014725E-4</v>
      </c>
      <c r="K81" s="1"/>
      <c r="L81" s="1">
        <f t="shared" si="32"/>
        <v>-84.31</v>
      </c>
      <c r="M81" s="1"/>
      <c r="N81" s="5">
        <f t="shared" si="33"/>
        <v>-1</v>
      </c>
      <c r="O81" s="13"/>
      <c r="P81" s="1">
        <f>SUM(OSRRefP22_6x_0)</f>
        <v>0</v>
      </c>
      <c r="Q81" s="1"/>
      <c r="R81" s="5">
        <f t="shared" si="34"/>
        <v>0</v>
      </c>
      <c r="S81" s="1"/>
      <c r="T81" s="1">
        <f>SUM(OSRRefT22_6x_0)</f>
        <v>266.14999999999998</v>
      </c>
      <c r="U81" s="1"/>
      <c r="V81" s="5">
        <f t="shared" si="35"/>
        <v>1.1277429025162512E-4</v>
      </c>
      <c r="W81" s="1"/>
      <c r="X81" s="1">
        <f t="shared" si="36"/>
        <v>-266.14999999999998</v>
      </c>
      <c r="Y81" s="1"/>
      <c r="Z81" s="5">
        <f t="shared" si="37"/>
        <v>-1</v>
      </c>
    </row>
    <row r="82" spans="1:26" s="24" customFormat="1" hidden="1" outlineLevel="2" x14ac:dyDescent="0.25">
      <c r="A82" s="27"/>
      <c r="B82" s="11" t="str">
        <f>CONCATENATE("          ", "6277", " - ", "EMPLOYEE APPRECIATION")</f>
        <v xml:space="preserve">          6277 - EMPLOYEE APPRECIATION</v>
      </c>
      <c r="C82" s="11"/>
      <c r="D82" s="6"/>
      <c r="E82" s="2"/>
      <c r="F82" s="7">
        <f t="shared" si="30"/>
        <v>0</v>
      </c>
      <c r="G82" s="2"/>
      <c r="H82" s="6">
        <v>84.31</v>
      </c>
      <c r="I82" s="2"/>
      <c r="J82" s="7">
        <f t="shared" si="31"/>
        <v>3.4749341881014725E-4</v>
      </c>
      <c r="K82" s="2"/>
      <c r="L82" s="6">
        <f t="shared" si="32"/>
        <v>-84.31</v>
      </c>
      <c r="M82" s="2"/>
      <c r="N82" s="7">
        <f t="shared" si="33"/>
        <v>-1</v>
      </c>
      <c r="O82" s="11"/>
      <c r="P82" s="6"/>
      <c r="Q82" s="2"/>
      <c r="R82" s="7">
        <f t="shared" si="34"/>
        <v>0</v>
      </c>
      <c r="S82" s="2"/>
      <c r="T82" s="6">
        <v>266.14999999999998</v>
      </c>
      <c r="U82" s="2"/>
      <c r="V82" s="7">
        <f t="shared" si="35"/>
        <v>1.1277429025162512E-4</v>
      </c>
      <c r="W82" s="2"/>
      <c r="X82" s="6">
        <f t="shared" si="36"/>
        <v>-266.14999999999998</v>
      </c>
      <c r="Y82" s="2"/>
      <c r="Z82" s="7">
        <f t="shared" si="37"/>
        <v>-1</v>
      </c>
    </row>
    <row r="83" spans="1:26" s="25" customFormat="1" outlineLevel="1" collapsed="1" x14ac:dyDescent="0.25">
      <c r="A83" s="26"/>
      <c r="B83" s="13" t="str">
        <f>CONCATENATE("     ","Freight out/Postage                               ")</f>
        <v xml:space="preserve">     Freight out/Postage                               </v>
      </c>
      <c r="C83" s="13"/>
      <c r="D83" s="1">
        <f>SUM(OSRRefD22_7x_0)</f>
        <v>70.87</v>
      </c>
      <c r="E83" s="1"/>
      <c r="F83" s="5">
        <f t="shared" si="30"/>
        <v>2.3344039025356898E-4</v>
      </c>
      <c r="G83" s="1"/>
      <c r="H83" s="1">
        <f>SUM(OSRRefH22_7x_0)</f>
        <v>160.59</v>
      </c>
      <c r="I83" s="1"/>
      <c r="J83" s="5">
        <f t="shared" si="31"/>
        <v>6.6189026363090437E-4</v>
      </c>
      <c r="K83" s="1"/>
      <c r="L83" s="1">
        <f t="shared" si="32"/>
        <v>-89.72</v>
      </c>
      <c r="M83" s="1"/>
      <c r="N83" s="5">
        <f t="shared" si="33"/>
        <v>-0.55868983124727567</v>
      </c>
      <c r="O83" s="13"/>
      <c r="P83" s="1">
        <f>SUM(OSRRefP22_7x_0)</f>
        <v>120.59</v>
      </c>
      <c r="Q83" s="1"/>
      <c r="R83" s="5">
        <f t="shared" si="34"/>
        <v>5.149185622710268E-5</v>
      </c>
      <c r="S83" s="1"/>
      <c r="T83" s="1">
        <f>SUM(OSRRefT22_7x_0)</f>
        <v>272.76</v>
      </c>
      <c r="U83" s="1"/>
      <c r="V83" s="5">
        <f t="shared" si="35"/>
        <v>1.1557510955864463E-4</v>
      </c>
      <c r="W83" s="1"/>
      <c r="X83" s="1">
        <f t="shared" si="36"/>
        <v>-152.16999999999999</v>
      </c>
      <c r="Y83" s="1"/>
      <c r="Z83" s="5">
        <f t="shared" si="37"/>
        <v>-0.55788971990027858</v>
      </c>
    </row>
    <row r="84" spans="1:26" s="24" customFormat="1" hidden="1" outlineLevel="2" x14ac:dyDescent="0.25">
      <c r="A84" s="27"/>
      <c r="B84" s="11" t="str">
        <f>CONCATENATE("          ", "6305", " - ", "FREIGHT OUT")</f>
        <v xml:space="preserve">          6305 - FREIGHT OUT</v>
      </c>
      <c r="C84" s="11"/>
      <c r="D84" s="6">
        <v>70.87</v>
      </c>
      <c r="E84" s="2"/>
      <c r="F84" s="7">
        <f t="shared" si="30"/>
        <v>2.3344039025356898E-4</v>
      </c>
      <c r="G84" s="2"/>
      <c r="H84" s="6">
        <v>160.59</v>
      </c>
      <c r="I84" s="2"/>
      <c r="J84" s="7">
        <f t="shared" si="31"/>
        <v>6.6189026363090437E-4</v>
      </c>
      <c r="K84" s="2"/>
      <c r="L84" s="6">
        <f t="shared" si="32"/>
        <v>-89.72</v>
      </c>
      <c r="M84" s="2"/>
      <c r="N84" s="7">
        <f t="shared" si="33"/>
        <v>-0.55868983124727567</v>
      </c>
      <c r="O84" s="11"/>
      <c r="P84" s="6">
        <v>120.59</v>
      </c>
      <c r="Q84" s="2"/>
      <c r="R84" s="7">
        <f t="shared" si="34"/>
        <v>5.149185622710268E-5</v>
      </c>
      <c r="S84" s="2"/>
      <c r="T84" s="6">
        <v>251.93</v>
      </c>
      <c r="U84" s="2"/>
      <c r="V84" s="7">
        <f t="shared" si="35"/>
        <v>1.0674892708281766E-4</v>
      </c>
      <c r="W84" s="2"/>
      <c r="X84" s="6">
        <f t="shared" si="36"/>
        <v>-131.34</v>
      </c>
      <c r="Y84" s="2"/>
      <c r="Z84" s="7">
        <f t="shared" si="37"/>
        <v>-0.52133529154923985</v>
      </c>
    </row>
    <row r="85" spans="1:26" s="24" customFormat="1" hidden="1" outlineLevel="2" x14ac:dyDescent="0.25">
      <c r="A85" s="27"/>
      <c r="B85" s="11" t="str">
        <f>CONCATENATE("          ", "6307", " - ", "POSTAGE")</f>
        <v xml:space="preserve">          6307 - POSTAGE</v>
      </c>
      <c r="C85" s="11"/>
      <c r="D85" s="6"/>
      <c r="E85" s="2"/>
      <c r="F85" s="7">
        <f t="shared" si="30"/>
        <v>0</v>
      </c>
      <c r="G85" s="2"/>
      <c r="H85" s="6"/>
      <c r="I85" s="2"/>
      <c r="J85" s="7">
        <f t="shared" si="31"/>
        <v>0</v>
      </c>
      <c r="K85" s="2"/>
      <c r="L85" s="6">
        <f t="shared" si="32"/>
        <v>0</v>
      </c>
      <c r="M85" s="2"/>
      <c r="N85" s="7">
        <f t="shared" si="33"/>
        <v>0</v>
      </c>
      <c r="O85" s="11"/>
      <c r="P85" s="6"/>
      <c r="Q85" s="2"/>
      <c r="R85" s="7">
        <f t="shared" si="34"/>
        <v>0</v>
      </c>
      <c r="S85" s="2"/>
      <c r="T85" s="6">
        <v>20.83</v>
      </c>
      <c r="U85" s="2"/>
      <c r="V85" s="7">
        <f t="shared" si="35"/>
        <v>8.8261824758269815E-6</v>
      </c>
      <c r="W85" s="2"/>
      <c r="X85" s="6">
        <f t="shared" si="36"/>
        <v>-20.83</v>
      </c>
      <c r="Y85" s="2"/>
      <c r="Z85" s="7">
        <f t="shared" si="37"/>
        <v>-1</v>
      </c>
    </row>
    <row r="86" spans="1:26" s="25" customFormat="1" outlineLevel="1" collapsed="1" x14ac:dyDescent="0.25">
      <c r="A86" s="26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SUM(OSRRefD22_8x_0)</f>
        <v>285</v>
      </c>
      <c r="E86" s="1"/>
      <c r="F86" s="5">
        <f t="shared" ref="F86:F96" si="38">IF(D$12=0,0,D86/D$12)</f>
        <v>9.3876832541649722E-4</v>
      </c>
      <c r="G86" s="1"/>
      <c r="H86" s="1">
        <f>SUM(OSRRefH22_8x_0)</f>
        <v>285</v>
      </c>
      <c r="I86" s="1"/>
      <c r="J86" s="5">
        <f t="shared" ref="J86:J96" si="39">IF(H$12=0,0,H86/H$12)</f>
        <v>1.1746604716035105E-3</v>
      </c>
      <c r="K86" s="1"/>
      <c r="L86" s="1">
        <f t="shared" ref="L86:L96" si="40">+D86-H86</f>
        <v>0</v>
      </c>
      <c r="M86" s="1"/>
      <c r="N86" s="5">
        <f t="shared" ref="N86:N96" si="41">IF(H86=0,0,L86/H86)</f>
        <v>0</v>
      </c>
      <c r="O86" s="13"/>
      <c r="P86" s="1">
        <f>SUM(OSRRefP22_8x_0)</f>
        <v>285</v>
      </c>
      <c r="Q86" s="1"/>
      <c r="R86" s="5">
        <f t="shared" ref="R86:R96" si="42">IF(P$12=0,0,P86/P$12)</f>
        <v>1.2169482564660637E-4</v>
      </c>
      <c r="S86" s="1"/>
      <c r="T86" s="1">
        <f>SUM(OSRRefT22_8x_0)</f>
        <v>597.39</v>
      </c>
      <c r="U86" s="1"/>
      <c r="V86" s="5">
        <f t="shared" ref="V86:V96" si="43">IF(T$12=0,0,T86/T$12)</f>
        <v>2.5312881177312922E-4</v>
      </c>
      <c r="W86" s="1"/>
      <c r="X86" s="1">
        <f t="shared" ref="X86:X96" si="44">+P86-T86</f>
        <v>-312.39</v>
      </c>
      <c r="Y86" s="1"/>
      <c r="Z86" s="5">
        <f t="shared" ref="Z86:Z96" si="45">IF(T86=0,0,X86/T86)</f>
        <v>-0.52292472254306233</v>
      </c>
    </row>
    <row r="87" spans="1:26" s="24" customFormat="1" hidden="1" outlineLevel="2" x14ac:dyDescent="0.25">
      <c r="A87" s="27"/>
      <c r="B87" s="11" t="str">
        <f>CONCATENATE("          ", "6279", " - ", "GENERAL EXPENSE")</f>
        <v xml:space="preserve">          6279 - GENERAL EXPENSE</v>
      </c>
      <c r="C87" s="11"/>
      <c r="D87" s="6">
        <v>285</v>
      </c>
      <c r="E87" s="2"/>
      <c r="F87" s="7">
        <f t="shared" si="38"/>
        <v>9.3876832541649722E-4</v>
      </c>
      <c r="G87" s="2"/>
      <c r="H87" s="6">
        <v>285</v>
      </c>
      <c r="I87" s="2"/>
      <c r="J87" s="7">
        <f t="shared" si="39"/>
        <v>1.1746604716035105E-3</v>
      </c>
      <c r="K87" s="2"/>
      <c r="L87" s="6">
        <f t="shared" si="40"/>
        <v>0</v>
      </c>
      <c r="M87" s="2"/>
      <c r="N87" s="7">
        <f t="shared" si="41"/>
        <v>0</v>
      </c>
      <c r="O87" s="11"/>
      <c r="P87" s="6">
        <v>285</v>
      </c>
      <c r="Q87" s="2"/>
      <c r="R87" s="7">
        <f t="shared" si="42"/>
        <v>1.2169482564660637E-4</v>
      </c>
      <c r="S87" s="2"/>
      <c r="T87" s="6">
        <v>597.39</v>
      </c>
      <c r="U87" s="2"/>
      <c r="V87" s="7">
        <f t="shared" si="43"/>
        <v>2.5312881177312922E-4</v>
      </c>
      <c r="W87" s="2"/>
      <c r="X87" s="6">
        <f t="shared" si="44"/>
        <v>-312.39</v>
      </c>
      <c r="Y87" s="2"/>
      <c r="Z87" s="7">
        <f t="shared" si="45"/>
        <v>-0.52292472254306233</v>
      </c>
    </row>
    <row r="88" spans="1:26" s="25" customFormat="1" outlineLevel="1" collapsed="1" x14ac:dyDescent="0.25">
      <c r="A88" s="26"/>
      <c r="B88" s="13" t="str">
        <f>CONCATENATE("     ","Inventory Adjustment                              ")</f>
        <v xml:space="preserve">     Inventory Adjustment                              </v>
      </c>
      <c r="C88" s="13"/>
      <c r="D88" s="1">
        <f>SUM(OSRRefD22_9x_0)</f>
        <v>0</v>
      </c>
      <c r="E88" s="1"/>
      <c r="F88" s="5">
        <f t="shared" si="38"/>
        <v>0</v>
      </c>
      <c r="G88" s="1"/>
      <c r="H88" s="1">
        <f>SUM(OSRRefH22_9x_0)</f>
        <v>1250</v>
      </c>
      <c r="I88" s="1"/>
      <c r="J88" s="5">
        <f t="shared" si="39"/>
        <v>5.1520196122960982E-3</v>
      </c>
      <c r="K88" s="1"/>
      <c r="L88" s="1">
        <f t="shared" si="40"/>
        <v>-1250</v>
      </c>
      <c r="M88" s="1"/>
      <c r="N88" s="5">
        <f t="shared" si="41"/>
        <v>-1</v>
      </c>
      <c r="O88" s="13"/>
      <c r="P88" s="1">
        <f>SUM(OSRRefP22_9x_0)</f>
        <v>0</v>
      </c>
      <c r="Q88" s="1"/>
      <c r="R88" s="5">
        <f t="shared" si="42"/>
        <v>0</v>
      </c>
      <c r="S88" s="1"/>
      <c r="T88" s="1">
        <f>SUM(OSRRefT22_9x_0)</f>
        <v>12900</v>
      </c>
      <c r="U88" s="1"/>
      <c r="V88" s="5">
        <f t="shared" si="43"/>
        <v>5.4660467565131095E-3</v>
      </c>
      <c r="W88" s="1"/>
      <c r="X88" s="1">
        <f t="shared" si="44"/>
        <v>-12900</v>
      </c>
      <c r="Y88" s="1"/>
      <c r="Z88" s="5">
        <f t="shared" si="45"/>
        <v>-1</v>
      </c>
    </row>
    <row r="89" spans="1:26" s="24" customFormat="1" hidden="1" outlineLevel="2" x14ac:dyDescent="0.25">
      <c r="A89" s="27"/>
      <c r="B89" s="11" t="str">
        <f>CONCATENATE("          ", "6408", " - ", "INVENTORY ADJUSTMENT")</f>
        <v xml:space="preserve">          6408 - INVENTORY ADJUSTMENT</v>
      </c>
      <c r="C89" s="11"/>
      <c r="D89" s="6"/>
      <c r="E89" s="2"/>
      <c r="F89" s="7">
        <f t="shared" si="38"/>
        <v>0</v>
      </c>
      <c r="G89" s="2"/>
      <c r="H89" s="6">
        <v>1250</v>
      </c>
      <c r="I89" s="2"/>
      <c r="J89" s="7">
        <f t="shared" si="39"/>
        <v>5.1520196122960982E-3</v>
      </c>
      <c r="K89" s="2"/>
      <c r="L89" s="6">
        <f t="shared" si="40"/>
        <v>-1250</v>
      </c>
      <c r="M89" s="2"/>
      <c r="N89" s="7">
        <f t="shared" si="41"/>
        <v>-1</v>
      </c>
      <c r="O89" s="11"/>
      <c r="P89" s="6"/>
      <c r="Q89" s="2"/>
      <c r="R89" s="7">
        <f t="shared" si="42"/>
        <v>0</v>
      </c>
      <c r="S89" s="2"/>
      <c r="T89" s="6">
        <v>12900</v>
      </c>
      <c r="U89" s="2"/>
      <c r="V89" s="7">
        <f t="shared" si="43"/>
        <v>5.4660467565131095E-3</v>
      </c>
      <c r="W89" s="2"/>
      <c r="X89" s="6">
        <f t="shared" si="44"/>
        <v>-12900</v>
      </c>
      <c r="Y89" s="2"/>
      <c r="Z89" s="7">
        <f t="shared" si="45"/>
        <v>-1</v>
      </c>
    </row>
    <row r="90" spans="1:26" s="25" customFormat="1" outlineLevel="1" collapsed="1" x14ac:dyDescent="0.25">
      <c r="A90" s="26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SUM(OSRRefD22_10x_0)</f>
        <v>0</v>
      </c>
      <c r="E90" s="1"/>
      <c r="F90" s="5">
        <f t="shared" si="38"/>
        <v>0</v>
      </c>
      <c r="G90" s="1"/>
      <c r="H90" s="1">
        <f>SUM(OSRRefH22_10x_0)</f>
        <v>0</v>
      </c>
      <c r="I90" s="1"/>
      <c r="J90" s="5">
        <f t="shared" si="39"/>
        <v>0</v>
      </c>
      <c r="K90" s="1"/>
      <c r="L90" s="1">
        <f t="shared" si="40"/>
        <v>0</v>
      </c>
      <c r="M90" s="1"/>
      <c r="N90" s="5">
        <f t="shared" si="41"/>
        <v>0</v>
      </c>
      <c r="O90" s="13"/>
      <c r="P90" s="1">
        <f>SUM(OSRRefP22_10x_0)</f>
        <v>197.18</v>
      </c>
      <c r="Q90" s="1"/>
      <c r="R90" s="5">
        <f t="shared" si="42"/>
        <v>8.4195739371922265E-5</v>
      </c>
      <c r="S90" s="1"/>
      <c r="T90" s="1">
        <f>SUM(OSRRefT22_10x_0)</f>
        <v>0</v>
      </c>
      <c r="U90" s="1"/>
      <c r="V90" s="5">
        <f t="shared" si="43"/>
        <v>0</v>
      </c>
      <c r="W90" s="1"/>
      <c r="X90" s="1">
        <f t="shared" si="44"/>
        <v>197.18</v>
      </c>
      <c r="Y90" s="1"/>
      <c r="Z90" s="5">
        <f t="shared" si="45"/>
        <v>0</v>
      </c>
    </row>
    <row r="91" spans="1:26" s="24" customFormat="1" hidden="1" outlineLevel="2" x14ac:dyDescent="0.25">
      <c r="A91" s="27"/>
      <c r="B91" s="11" t="str">
        <f>CONCATENATE("          ", "6375", " - ", "OUTSIDE REPAIRS &amp; MAINTENANCE")</f>
        <v xml:space="preserve">          6375 - OUTSIDE REPAIRS &amp; MAINTENANCE</v>
      </c>
      <c r="C91" s="11"/>
      <c r="D91" s="6"/>
      <c r="E91" s="2"/>
      <c r="F91" s="7">
        <f t="shared" si="38"/>
        <v>0</v>
      </c>
      <c r="G91" s="2"/>
      <c r="H91" s="6"/>
      <c r="I91" s="2"/>
      <c r="J91" s="7">
        <f t="shared" si="39"/>
        <v>0</v>
      </c>
      <c r="K91" s="2"/>
      <c r="L91" s="6">
        <f t="shared" si="40"/>
        <v>0</v>
      </c>
      <c r="M91" s="2"/>
      <c r="N91" s="7">
        <f t="shared" si="41"/>
        <v>0</v>
      </c>
      <c r="O91" s="11"/>
      <c r="P91" s="6">
        <v>197.18</v>
      </c>
      <c r="Q91" s="2"/>
      <c r="R91" s="7">
        <f t="shared" si="42"/>
        <v>8.4195739371922265E-5</v>
      </c>
      <c r="S91" s="2"/>
      <c r="T91" s="6"/>
      <c r="U91" s="2"/>
      <c r="V91" s="7">
        <f t="shared" si="43"/>
        <v>0</v>
      </c>
      <c r="W91" s="2"/>
      <c r="X91" s="6">
        <f t="shared" si="44"/>
        <v>197.18</v>
      </c>
      <c r="Y91" s="2"/>
      <c r="Z91" s="7">
        <f t="shared" si="45"/>
        <v>0</v>
      </c>
    </row>
    <row r="92" spans="1:26" s="25" customFormat="1" outlineLevel="1" collapsed="1" x14ac:dyDescent="0.25">
      <c r="A92" s="26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SUM(OSRRefD22_11x_0)</f>
        <v>0</v>
      </c>
      <c r="E92" s="1"/>
      <c r="F92" s="5">
        <f t="shared" si="38"/>
        <v>0</v>
      </c>
      <c r="G92" s="1"/>
      <c r="H92" s="1">
        <f>SUM(OSRRefH22_11x_0)</f>
        <v>-5533.45</v>
      </c>
      <c r="I92" s="1"/>
      <c r="J92" s="5">
        <f t="shared" si="39"/>
        <v>-2.2806754338927874E-2</v>
      </c>
      <c r="K92" s="1"/>
      <c r="L92" s="1">
        <f t="shared" si="40"/>
        <v>5533.45</v>
      </c>
      <c r="M92" s="1"/>
      <c r="N92" s="5">
        <f t="shared" si="41"/>
        <v>-1</v>
      </c>
      <c r="O92" s="13"/>
      <c r="P92" s="1">
        <f>SUM(OSRRefP22_11x_0)</f>
        <v>-4886.5</v>
      </c>
      <c r="Q92" s="1"/>
      <c r="R92" s="5">
        <f t="shared" si="42"/>
        <v>-2.0865325106040073E-3</v>
      </c>
      <c r="S92" s="1"/>
      <c r="T92" s="1">
        <f>SUM(OSRRefT22_11x_0)</f>
        <v>-3152.96</v>
      </c>
      <c r="U92" s="1"/>
      <c r="V92" s="5">
        <f t="shared" si="43"/>
        <v>-1.3359865722027578E-3</v>
      </c>
      <c r="W92" s="1"/>
      <c r="X92" s="1">
        <f t="shared" si="44"/>
        <v>-1733.54</v>
      </c>
      <c r="Y92" s="1"/>
      <c r="Z92" s="5">
        <f t="shared" si="45"/>
        <v>0.54981350857606814</v>
      </c>
    </row>
    <row r="93" spans="1:26" s="24" customFormat="1" hidden="1" outlineLevel="2" x14ac:dyDescent="0.25">
      <c r="A93" s="27"/>
      <c r="B93" s="11" t="str">
        <f>CONCATENATE("          ", "6258", " - ", "MEMBERSHIP DUES")</f>
        <v xml:space="preserve">          6258 - MEMBERSHIP DUES</v>
      </c>
      <c r="C93" s="11"/>
      <c r="D93" s="6"/>
      <c r="E93" s="2"/>
      <c r="F93" s="7">
        <f t="shared" si="38"/>
        <v>0</v>
      </c>
      <c r="G93" s="2"/>
      <c r="H93" s="6">
        <v>-5533.45</v>
      </c>
      <c r="I93" s="2"/>
      <c r="J93" s="7">
        <f t="shared" si="39"/>
        <v>-2.2806754338927874E-2</v>
      </c>
      <c r="K93" s="2"/>
      <c r="L93" s="6">
        <f t="shared" si="40"/>
        <v>5533.45</v>
      </c>
      <c r="M93" s="2"/>
      <c r="N93" s="7">
        <f t="shared" si="41"/>
        <v>-1</v>
      </c>
      <c r="O93" s="11"/>
      <c r="P93" s="6">
        <v>-4886.5</v>
      </c>
      <c r="Q93" s="2"/>
      <c r="R93" s="7">
        <f t="shared" si="42"/>
        <v>-2.0865325106040073E-3</v>
      </c>
      <c r="S93" s="2"/>
      <c r="T93" s="6">
        <v>-3152.96</v>
      </c>
      <c r="U93" s="2"/>
      <c r="V93" s="7">
        <f t="shared" si="43"/>
        <v>-1.3359865722027578E-3</v>
      </c>
      <c r="W93" s="2"/>
      <c r="X93" s="6">
        <f t="shared" si="44"/>
        <v>-1733.54</v>
      </c>
      <c r="Y93" s="2"/>
      <c r="Z93" s="7">
        <f t="shared" si="45"/>
        <v>0.54981350857606814</v>
      </c>
    </row>
    <row r="94" spans="1:26" s="25" customFormat="1" outlineLevel="1" collapsed="1" x14ac:dyDescent="0.25">
      <c r="A94" s="26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SUM(OSRRefD22_12x_0)</f>
        <v>0</v>
      </c>
      <c r="E94" s="1"/>
      <c r="F94" s="5">
        <f t="shared" si="38"/>
        <v>0</v>
      </c>
      <c r="G94" s="1"/>
      <c r="H94" s="1">
        <f>SUM(OSRRefH22_12x_0)</f>
        <v>148.09</v>
      </c>
      <c r="I94" s="1"/>
      <c r="J94" s="5">
        <f t="shared" si="39"/>
        <v>6.1037006750794341E-4</v>
      </c>
      <c r="K94" s="1"/>
      <c r="L94" s="1">
        <f t="shared" si="40"/>
        <v>-148.09</v>
      </c>
      <c r="M94" s="1"/>
      <c r="N94" s="5">
        <f t="shared" si="41"/>
        <v>-1</v>
      </c>
      <c r="O94" s="13"/>
      <c r="P94" s="1">
        <f>SUM(OSRRefP22_12x_0)</f>
        <v>3135.2700000000004</v>
      </c>
      <c r="Q94" s="1"/>
      <c r="R94" s="5">
        <f t="shared" si="42"/>
        <v>1.3387583719474934E-3</v>
      </c>
      <c r="S94" s="1"/>
      <c r="T94" s="1">
        <f>SUM(OSRRefT22_12x_0)</f>
        <v>2171.7399999999998</v>
      </c>
      <c r="U94" s="1"/>
      <c r="V94" s="5">
        <f t="shared" si="43"/>
        <v>9.2021956457285115E-4</v>
      </c>
      <c r="W94" s="1"/>
      <c r="X94" s="1">
        <f t="shared" si="44"/>
        <v>963.53000000000065</v>
      </c>
      <c r="Y94" s="1"/>
      <c r="Z94" s="5">
        <f t="shared" si="45"/>
        <v>0.44366728982290732</v>
      </c>
    </row>
    <row r="95" spans="1:26" s="24" customFormat="1" hidden="1" outlineLevel="2" x14ac:dyDescent="0.25">
      <c r="A95" s="27"/>
      <c r="B95" s="11" t="str">
        <f>CONCATENATE("          ", "6241", " - ", "OFFICE EXPENSE")</f>
        <v xml:space="preserve">          6241 - OFFICE EXPENSE</v>
      </c>
      <c r="C95" s="11"/>
      <c r="D95" s="6"/>
      <c r="E95" s="2"/>
      <c r="F95" s="7">
        <f t="shared" si="38"/>
        <v>0</v>
      </c>
      <c r="G95" s="2"/>
      <c r="H95" s="6"/>
      <c r="I95" s="2"/>
      <c r="J95" s="7">
        <f t="shared" si="39"/>
        <v>0</v>
      </c>
      <c r="K95" s="2"/>
      <c r="L95" s="6">
        <f t="shared" si="40"/>
        <v>0</v>
      </c>
      <c r="M95" s="2"/>
      <c r="N95" s="7">
        <f t="shared" si="41"/>
        <v>0</v>
      </c>
      <c r="O95" s="11"/>
      <c r="P95" s="6">
        <v>1125.8900000000001</v>
      </c>
      <c r="Q95" s="2"/>
      <c r="R95" s="7">
        <f t="shared" si="42"/>
        <v>4.8075434121844793E-4</v>
      </c>
      <c r="S95" s="2"/>
      <c r="T95" s="6">
        <v>1502.46</v>
      </c>
      <c r="U95" s="2"/>
      <c r="V95" s="7">
        <f t="shared" si="43"/>
        <v>6.3662919455741759E-4</v>
      </c>
      <c r="W95" s="2"/>
      <c r="X95" s="6">
        <f t="shared" si="44"/>
        <v>-376.56999999999994</v>
      </c>
      <c r="Y95" s="2"/>
      <c r="Z95" s="7">
        <f t="shared" si="45"/>
        <v>-0.25063562424290825</v>
      </c>
    </row>
    <row r="96" spans="1:26" s="24" customFormat="1" hidden="1" outlineLevel="2" x14ac:dyDescent="0.25">
      <c r="A96" s="27"/>
      <c r="B96" s="11" t="str">
        <f>CONCATENATE("          ", "6247", " - ", "STORE SUPPLIES")</f>
        <v xml:space="preserve">          6247 - STORE SUPPLIES</v>
      </c>
      <c r="C96" s="11"/>
      <c r="D96" s="6"/>
      <c r="E96" s="2"/>
      <c r="F96" s="7">
        <f t="shared" si="38"/>
        <v>0</v>
      </c>
      <c r="G96" s="2"/>
      <c r="H96" s="6">
        <v>148.09</v>
      </c>
      <c r="I96" s="2"/>
      <c r="J96" s="7">
        <f t="shared" si="39"/>
        <v>6.1037006750794341E-4</v>
      </c>
      <c r="K96" s="2"/>
      <c r="L96" s="6">
        <f t="shared" si="40"/>
        <v>-148.09</v>
      </c>
      <c r="M96" s="2"/>
      <c r="N96" s="7">
        <f t="shared" si="41"/>
        <v>-1</v>
      </c>
      <c r="O96" s="11"/>
      <c r="P96" s="6">
        <v>2009.38</v>
      </c>
      <c r="Q96" s="2"/>
      <c r="R96" s="7">
        <f t="shared" si="42"/>
        <v>8.5800403072904539E-4</v>
      </c>
      <c r="S96" s="2"/>
      <c r="T96" s="6">
        <v>669.28</v>
      </c>
      <c r="U96" s="2"/>
      <c r="V96" s="7">
        <f t="shared" si="43"/>
        <v>2.8359037001543367E-4</v>
      </c>
      <c r="W96" s="2"/>
      <c r="X96" s="6">
        <f t="shared" si="44"/>
        <v>1340.1000000000001</v>
      </c>
      <c r="Y96" s="2"/>
      <c r="Z96" s="7">
        <f t="shared" si="45"/>
        <v>2.0023009801577816</v>
      </c>
    </row>
    <row r="97" spans="1:26" s="25" customFormat="1" outlineLevel="1" collapsed="1" x14ac:dyDescent="0.25">
      <c r="A97" s="26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SUM(OSRRefD22_13x_0)</f>
        <v>207.85</v>
      </c>
      <c r="E97" s="1"/>
      <c r="F97" s="5">
        <f t="shared" ref="F97:F103" si="46">IF(D$12=0,0,D97/D$12)</f>
        <v>6.8464209276427701E-4</v>
      </c>
      <c r="G97" s="1"/>
      <c r="H97" s="1">
        <f>SUM(OSRRefH22_13x_0)</f>
        <v>220.15</v>
      </c>
      <c r="I97" s="1"/>
      <c r="J97" s="5">
        <f t="shared" ref="J97:J103" si="47">IF(H$12=0,0,H97/H$12)</f>
        <v>9.0737369411758887E-4</v>
      </c>
      <c r="K97" s="1"/>
      <c r="L97" s="1">
        <f t="shared" ref="L97:L103" si="48">+D97-H97</f>
        <v>-12.300000000000011</v>
      </c>
      <c r="M97" s="1"/>
      <c r="N97" s="5">
        <f t="shared" ref="N97:N103" si="49">IF(H97=0,0,L97/H97)</f>
        <v>-5.5870997047467688E-2</v>
      </c>
      <c r="O97" s="13"/>
      <c r="P97" s="1">
        <f>SUM(OSRRefP22_13x_0)</f>
        <v>2512.4499999999998</v>
      </c>
      <c r="Q97" s="1"/>
      <c r="R97" s="5">
        <f t="shared" ref="R97:R103" si="50">IF(P$12=0,0,P97/P$12)</f>
        <v>1.072814612967776E-3</v>
      </c>
      <c r="S97" s="1"/>
      <c r="T97" s="1">
        <f>SUM(OSRRefT22_13x_0)</f>
        <v>2963.57</v>
      </c>
      <c r="U97" s="1"/>
      <c r="V97" s="5">
        <f t="shared" ref="V97:V103" si="51">IF(T$12=0,0,T97/T$12)</f>
        <v>1.2557373787751595E-3</v>
      </c>
      <c r="W97" s="1"/>
      <c r="X97" s="1">
        <f t="shared" ref="X97:X103" si="52">+P97-T97</f>
        <v>-451.12000000000035</v>
      </c>
      <c r="Y97" s="1"/>
      <c r="Z97" s="5">
        <f t="shared" ref="Z97:Z103" si="53">IF(T97=0,0,X97/T97)</f>
        <v>-0.15222181355594783</v>
      </c>
    </row>
    <row r="98" spans="1:26" s="24" customFormat="1" hidden="1" outlineLevel="2" x14ac:dyDescent="0.25">
      <c r="A98" s="27"/>
      <c r="B98" s="11" t="str">
        <f>CONCATENATE("          ", "6309", " - ", "TELEPHONE")</f>
        <v xml:space="preserve">          6309 - TELEPHONE</v>
      </c>
      <c r="C98" s="11"/>
      <c r="D98" s="6">
        <v>207.85</v>
      </c>
      <c r="E98" s="2"/>
      <c r="F98" s="7">
        <f t="shared" si="46"/>
        <v>6.8464209276427701E-4</v>
      </c>
      <c r="G98" s="2"/>
      <c r="H98" s="6">
        <v>220.15</v>
      </c>
      <c r="I98" s="2"/>
      <c r="J98" s="7">
        <f t="shared" si="47"/>
        <v>9.0737369411758887E-4</v>
      </c>
      <c r="K98" s="2"/>
      <c r="L98" s="6">
        <f t="shared" si="48"/>
        <v>-12.300000000000011</v>
      </c>
      <c r="M98" s="2"/>
      <c r="N98" s="7">
        <f t="shared" si="49"/>
        <v>-5.5870997047467688E-2</v>
      </c>
      <c r="O98" s="11"/>
      <c r="P98" s="6">
        <v>2512.4499999999998</v>
      </c>
      <c r="Q98" s="2"/>
      <c r="R98" s="7">
        <f t="shared" si="50"/>
        <v>1.072814612967776E-3</v>
      </c>
      <c r="S98" s="2"/>
      <c r="T98" s="6">
        <v>2963.57</v>
      </c>
      <c r="U98" s="2"/>
      <c r="V98" s="7">
        <f t="shared" si="51"/>
        <v>1.2557373787751595E-3</v>
      </c>
      <c r="W98" s="2"/>
      <c r="X98" s="6">
        <f t="shared" si="52"/>
        <v>-451.12000000000035</v>
      </c>
      <c r="Y98" s="2"/>
      <c r="Z98" s="7">
        <f t="shared" si="53"/>
        <v>-0.15222181355594783</v>
      </c>
    </row>
    <row r="99" spans="1:26" s="25" customFormat="1" outlineLevel="1" collapsed="1" x14ac:dyDescent="0.25">
      <c r="A99" s="26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SUM(OSRRefD22_14x_0)</f>
        <v>0</v>
      </c>
      <c r="E99" s="1"/>
      <c r="F99" s="5">
        <f t="shared" si="46"/>
        <v>0</v>
      </c>
      <c r="G99" s="1"/>
      <c r="H99" s="1">
        <f>SUM(OSRRefH22_14x_0)</f>
        <v>-157.22999999999999</v>
      </c>
      <c r="I99" s="1"/>
      <c r="J99" s="5">
        <f t="shared" si="47"/>
        <v>-6.4804163491305239E-4</v>
      </c>
      <c r="K99" s="1"/>
      <c r="L99" s="1">
        <f t="shared" si="48"/>
        <v>157.22999999999999</v>
      </c>
      <c r="M99" s="1"/>
      <c r="N99" s="5">
        <f t="shared" si="49"/>
        <v>-1</v>
      </c>
      <c r="O99" s="13"/>
      <c r="P99" s="1">
        <f>SUM(OSRRefP22_14x_0)</f>
        <v>1875.75</v>
      </c>
      <c r="Q99" s="1"/>
      <c r="R99" s="5">
        <f t="shared" si="50"/>
        <v>8.0094410247937508E-4</v>
      </c>
      <c r="S99" s="1"/>
      <c r="T99" s="1">
        <f>SUM(OSRRefT22_14x_0)</f>
        <v>1266.9100000000001</v>
      </c>
      <c r="U99" s="1"/>
      <c r="V99" s="5">
        <f t="shared" si="51"/>
        <v>5.368208756817073E-4</v>
      </c>
      <c r="W99" s="1"/>
      <c r="X99" s="1">
        <f t="shared" si="52"/>
        <v>608.83999999999992</v>
      </c>
      <c r="Y99" s="1"/>
      <c r="Z99" s="5">
        <f t="shared" si="53"/>
        <v>0.48057083770749293</v>
      </c>
    </row>
    <row r="100" spans="1:26" s="24" customFormat="1" hidden="1" outlineLevel="2" x14ac:dyDescent="0.25">
      <c r="A100" s="27"/>
      <c r="B100" s="11" t="str">
        <f>CONCATENATE("          ", "6376", " - ", "TRAINING")</f>
        <v xml:space="preserve">          6376 - TRAINING</v>
      </c>
      <c r="C100" s="11"/>
      <c r="D100" s="6"/>
      <c r="E100" s="2"/>
      <c r="F100" s="7">
        <f t="shared" si="46"/>
        <v>0</v>
      </c>
      <c r="G100" s="2"/>
      <c r="H100" s="6">
        <v>-157.22999999999999</v>
      </c>
      <c r="I100" s="2"/>
      <c r="J100" s="7">
        <f t="shared" si="47"/>
        <v>-6.4804163491305239E-4</v>
      </c>
      <c r="K100" s="2"/>
      <c r="L100" s="6">
        <f t="shared" si="48"/>
        <v>157.22999999999999</v>
      </c>
      <c r="M100" s="2"/>
      <c r="N100" s="7">
        <f t="shared" si="49"/>
        <v>-1</v>
      </c>
      <c r="O100" s="11"/>
      <c r="P100" s="6">
        <v>1875.75</v>
      </c>
      <c r="Q100" s="2"/>
      <c r="R100" s="7">
        <f t="shared" si="50"/>
        <v>8.0094410247937508E-4</v>
      </c>
      <c r="S100" s="2"/>
      <c r="T100" s="6">
        <v>1266.9100000000001</v>
      </c>
      <c r="U100" s="2"/>
      <c r="V100" s="7">
        <f t="shared" si="51"/>
        <v>5.368208756817073E-4</v>
      </c>
      <c r="W100" s="2"/>
      <c r="X100" s="6">
        <f t="shared" si="52"/>
        <v>608.83999999999992</v>
      </c>
      <c r="Y100" s="2"/>
      <c r="Z100" s="7">
        <f t="shared" si="53"/>
        <v>0.48057083770749293</v>
      </c>
    </row>
    <row r="101" spans="1:26" s="25" customFormat="1" outlineLevel="1" collapsed="1" x14ac:dyDescent="0.25">
      <c r="A101" s="26"/>
      <c r="B101" s="13" t="str">
        <f>CONCATENATE("     ","Travel                                            ")</f>
        <v xml:space="preserve">     Travel                                            </v>
      </c>
      <c r="C101" s="13"/>
      <c r="D101" s="1">
        <f>SUM(OSRRefD22_15x_0)</f>
        <v>0</v>
      </c>
      <c r="E101" s="1"/>
      <c r="F101" s="5">
        <f t="shared" si="46"/>
        <v>0</v>
      </c>
      <c r="G101" s="1"/>
      <c r="H101" s="1">
        <f>SUM(OSRRefH22_15x_0)</f>
        <v>347.07</v>
      </c>
      <c r="I101" s="1"/>
      <c r="J101" s="5">
        <f t="shared" si="47"/>
        <v>1.4304891574716855E-3</v>
      </c>
      <c r="K101" s="1"/>
      <c r="L101" s="1">
        <f t="shared" si="48"/>
        <v>-347.07</v>
      </c>
      <c r="M101" s="1"/>
      <c r="N101" s="5">
        <f t="shared" si="49"/>
        <v>-1</v>
      </c>
      <c r="O101" s="13"/>
      <c r="P101" s="1">
        <f>SUM(OSRRefP22_15x_0)</f>
        <v>-178.06</v>
      </c>
      <c r="Q101" s="1"/>
      <c r="R101" s="5">
        <f t="shared" si="50"/>
        <v>-7.6031511068893793E-5</v>
      </c>
      <c r="S101" s="1"/>
      <c r="T101" s="1">
        <f>SUM(OSRRefT22_15x_0)</f>
        <v>1303.3900000000001</v>
      </c>
      <c r="U101" s="1"/>
      <c r="V101" s="5">
        <f t="shared" si="51"/>
        <v>5.5227834743966071E-4</v>
      </c>
      <c r="W101" s="1"/>
      <c r="X101" s="1">
        <f t="shared" si="52"/>
        <v>-1481.45</v>
      </c>
      <c r="Y101" s="1"/>
      <c r="Z101" s="5">
        <f t="shared" si="53"/>
        <v>-1.1366129861361527</v>
      </c>
    </row>
    <row r="102" spans="1:26" s="24" customFormat="1" hidden="1" outlineLevel="2" x14ac:dyDescent="0.25">
      <c r="A102" s="27"/>
      <c r="B102" s="11" t="str">
        <f>CONCATENATE("          ", "6292", " - ", "TRAVEL/CONFERENCE")</f>
        <v xml:space="preserve">          6292 - TRAVEL/CONFERENCE</v>
      </c>
      <c r="C102" s="11"/>
      <c r="D102" s="6"/>
      <c r="E102" s="2"/>
      <c r="F102" s="7">
        <f t="shared" si="46"/>
        <v>0</v>
      </c>
      <c r="G102" s="2"/>
      <c r="H102" s="6">
        <v>42.51</v>
      </c>
      <c r="I102" s="2"/>
      <c r="J102" s="7">
        <f t="shared" si="47"/>
        <v>1.752098829749657E-4</v>
      </c>
      <c r="K102" s="2"/>
      <c r="L102" s="6">
        <f t="shared" si="48"/>
        <v>-42.51</v>
      </c>
      <c r="M102" s="2"/>
      <c r="N102" s="7">
        <f t="shared" si="49"/>
        <v>-1</v>
      </c>
      <c r="O102" s="11"/>
      <c r="P102" s="6">
        <v>-178.06</v>
      </c>
      <c r="Q102" s="2"/>
      <c r="R102" s="7">
        <f t="shared" si="50"/>
        <v>-7.6031511068893793E-5</v>
      </c>
      <c r="S102" s="2"/>
      <c r="T102" s="6">
        <v>998.83</v>
      </c>
      <c r="U102" s="2"/>
      <c r="V102" s="7">
        <f t="shared" si="51"/>
        <v>4.2322879703937904E-4</v>
      </c>
      <c r="W102" s="2"/>
      <c r="X102" s="6">
        <f t="shared" si="52"/>
        <v>-1176.8900000000001</v>
      </c>
      <c r="Y102" s="2"/>
      <c r="Z102" s="7">
        <f t="shared" si="53"/>
        <v>-1.1782685742318513</v>
      </c>
    </row>
    <row r="103" spans="1:26" s="24" customFormat="1" hidden="1" outlineLevel="2" x14ac:dyDescent="0.25">
      <c r="A103" s="27"/>
      <c r="B103" s="11" t="str">
        <f>CONCATENATE("          ", "6294", " - ", "TRAVEL OPERATIONAL")</f>
        <v xml:space="preserve">          6294 - TRAVEL OPERATIONAL</v>
      </c>
      <c r="C103" s="11"/>
      <c r="D103" s="6"/>
      <c r="E103" s="2"/>
      <c r="F103" s="7">
        <f t="shared" si="46"/>
        <v>0</v>
      </c>
      <c r="G103" s="2"/>
      <c r="H103" s="6">
        <v>304.56</v>
      </c>
      <c r="I103" s="2"/>
      <c r="J103" s="7">
        <f t="shared" si="47"/>
        <v>1.2552792744967198E-3</v>
      </c>
      <c r="K103" s="2"/>
      <c r="L103" s="6">
        <f t="shared" si="48"/>
        <v>-304.56</v>
      </c>
      <c r="M103" s="2"/>
      <c r="N103" s="7">
        <f t="shared" si="49"/>
        <v>-1</v>
      </c>
      <c r="O103" s="11"/>
      <c r="P103" s="6"/>
      <c r="Q103" s="2"/>
      <c r="R103" s="7">
        <f t="shared" si="50"/>
        <v>0</v>
      </c>
      <c r="S103" s="2"/>
      <c r="T103" s="6">
        <v>304.56</v>
      </c>
      <c r="U103" s="2"/>
      <c r="V103" s="7">
        <f t="shared" si="51"/>
        <v>1.2904955040028162E-4</v>
      </c>
      <c r="W103" s="2"/>
      <c r="X103" s="6">
        <f t="shared" si="52"/>
        <v>-304.56</v>
      </c>
      <c r="Y103" s="2"/>
      <c r="Z103" s="7">
        <f t="shared" si="53"/>
        <v>-1</v>
      </c>
    </row>
    <row r="104" spans="1:26" s="53" customFormat="1" x14ac:dyDescent="0.25">
      <c r="A104" s="37"/>
      <c r="B104" s="37"/>
      <c r="C104" s="37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7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25">
      <c r="A105" s="10"/>
      <c r="B105" s="29" t="s">
        <v>0</v>
      </c>
      <c r="C105" s="10"/>
      <c r="D105" s="4">
        <f>SUM(OSRRefD25x_0)</f>
        <v>513.69000000000005</v>
      </c>
      <c r="E105" s="4"/>
      <c r="F105" s="12">
        <f t="shared" ref="F105:F109" si="54">IF(D$12=0,0,D105/D$12)</f>
        <v>1.6920557932743876E-3</v>
      </c>
      <c r="G105" s="4"/>
      <c r="H105" s="4">
        <f>SUM(OSRRefH25x_0)</f>
        <v>-912.6400000000001</v>
      </c>
      <c r="I105" s="4"/>
      <c r="J105" s="12">
        <f t="shared" ref="J105:J109" si="55">IF(H$12=0,0,H105/H$12)</f>
        <v>-3.7615513431727291E-3</v>
      </c>
      <c r="K105" s="4"/>
      <c r="L105" s="4">
        <f t="shared" ref="L105:L109" si="56">+D105-H105</f>
        <v>1426.3300000000002</v>
      </c>
      <c r="M105" s="4"/>
      <c r="N105" s="12">
        <f t="shared" ref="N105:N109" si="57">IF(H105=0,0,L105/H105)</f>
        <v>-1.5628615883590462</v>
      </c>
      <c r="O105" s="10"/>
      <c r="P105" s="4">
        <f>SUM(OSRRefP25x_0)</f>
        <v>13657.330000000002</v>
      </c>
      <c r="Q105" s="4"/>
      <c r="R105" s="12">
        <f t="shared" ref="R105:R109" si="58">IF(P$12=0,0,P105/P$12)</f>
        <v>5.8316715549058488E-3</v>
      </c>
      <c r="S105" s="4"/>
      <c r="T105" s="4">
        <f>SUM(OSRRefT25x_0)</f>
        <v>8886.7099999999991</v>
      </c>
      <c r="U105" s="4"/>
      <c r="V105" s="12">
        <f t="shared" ref="V105:V109" si="59">IF(T$12=0,0,T105/T$12)</f>
        <v>3.7655172381064043E-3</v>
      </c>
      <c r="W105" s="4"/>
      <c r="X105" s="4">
        <f t="shared" ref="X105:X109" si="60">+P105-T105</f>
        <v>4770.6200000000026</v>
      </c>
      <c r="Y105" s="4"/>
      <c r="Z105" s="12">
        <f t="shared" ref="Z105:Z109" si="61">IF(T105=0,0,X105/T105)</f>
        <v>0.53682633955648418</v>
      </c>
    </row>
    <row r="106" spans="1:26" s="24" customFormat="1" hidden="1" outlineLevel="1" x14ac:dyDescent="0.25">
      <c r="A106" s="44"/>
      <c r="B106" s="11" t="str">
        <f>CONCATENATE("          ", "4187", " - ", "NON-TAXABLE SALES-COMPUTER REP")</f>
        <v xml:space="preserve">          4187 - NON-TAXABLE SALES-COMPUTER REP</v>
      </c>
      <c r="C106" s="11"/>
      <c r="D106" s="2">
        <f>--603.69</f>
        <v>603.69000000000005</v>
      </c>
      <c r="E106" s="2"/>
      <c r="F106" s="19">
        <f t="shared" si="54"/>
        <v>1.9885089486690712E-3</v>
      </c>
      <c r="G106" s="2"/>
      <c r="H106" s="2">
        <f>-129.57</f>
        <v>-129.57</v>
      </c>
      <c r="I106" s="2"/>
      <c r="J106" s="19">
        <f t="shared" si="55"/>
        <v>-5.3403774493216436E-4</v>
      </c>
      <c r="K106" s="2"/>
      <c r="L106" s="2">
        <f t="shared" si="56"/>
        <v>733.26</v>
      </c>
      <c r="M106" s="2"/>
      <c r="N106" s="19">
        <f t="shared" si="57"/>
        <v>-5.6591803658254225</v>
      </c>
      <c r="O106" s="11"/>
      <c r="P106" s="2">
        <f>--16183.2</f>
        <v>16183.2</v>
      </c>
      <c r="Q106" s="2"/>
      <c r="R106" s="19">
        <f t="shared" si="58"/>
        <v>6.9102164996637204E-3</v>
      </c>
      <c r="S106" s="2"/>
      <c r="T106" s="2">
        <f>--6832.37</f>
        <v>6832.37</v>
      </c>
      <c r="U106" s="2"/>
      <c r="V106" s="19">
        <f t="shared" si="59"/>
        <v>2.8950429362633702E-3</v>
      </c>
      <c r="W106" s="2"/>
      <c r="X106" s="2">
        <f t="shared" si="60"/>
        <v>9350.8300000000017</v>
      </c>
      <c r="Y106" s="2"/>
      <c r="Z106" s="19">
        <f t="shared" si="61"/>
        <v>1.368607086560008</v>
      </c>
    </row>
    <row r="107" spans="1:26" s="24" customFormat="1" hidden="1" outlineLevel="1" x14ac:dyDescent="0.25">
      <c r="A107" s="44"/>
      <c r="B107" s="11" t="str">
        <f>CONCATENATE("          ", "4387", " - ", "SALES RETURN NON TAXABLE-COMPU")</f>
        <v xml:space="preserve">          4387 - SALES RETURN NON TAXABLE-COMPU</v>
      </c>
      <c r="C107" s="11"/>
      <c r="D107" s="2">
        <f t="shared" ref="D107:D108" si="62">0</f>
        <v>0</v>
      </c>
      <c r="E107" s="2"/>
      <c r="F107" s="19">
        <f t="shared" si="54"/>
        <v>0</v>
      </c>
      <c r="G107" s="2"/>
      <c r="H107" s="2">
        <f t="shared" ref="H107:H108" si="63">0</f>
        <v>0</v>
      </c>
      <c r="I107" s="2"/>
      <c r="J107" s="19">
        <f t="shared" si="55"/>
        <v>0</v>
      </c>
      <c r="K107" s="2"/>
      <c r="L107" s="2">
        <f t="shared" si="56"/>
        <v>0</v>
      </c>
      <c r="M107" s="2"/>
      <c r="N107" s="19">
        <f t="shared" si="57"/>
        <v>0</v>
      </c>
      <c r="O107" s="11"/>
      <c r="P107" s="2">
        <f>-7889</f>
        <v>-7889</v>
      </c>
      <c r="Q107" s="2"/>
      <c r="R107" s="19">
        <f t="shared" si="58"/>
        <v>-3.3685981737757113E-3</v>
      </c>
      <c r="S107" s="2"/>
      <c r="T107" s="2">
        <f>0</f>
        <v>0</v>
      </c>
      <c r="U107" s="2"/>
      <c r="V107" s="19">
        <f t="shared" si="59"/>
        <v>0</v>
      </c>
      <c r="W107" s="2"/>
      <c r="X107" s="2">
        <f t="shared" si="60"/>
        <v>-7889</v>
      </c>
      <c r="Y107" s="2"/>
      <c r="Z107" s="19">
        <f t="shared" si="61"/>
        <v>0</v>
      </c>
    </row>
    <row r="108" spans="1:26" s="24" customFormat="1" hidden="1" outlineLevel="1" x14ac:dyDescent="0.25">
      <c r="A108" s="44"/>
      <c r="B108" s="11" t="str">
        <f>CONCATENATE("          ", "5087", " - ", "PURCHASES @ COST-COMPUTER REPA")</f>
        <v xml:space="preserve">          5087 - PURCHASES @ COST-COMPUTER REPA</v>
      </c>
      <c r="C108" s="11"/>
      <c r="D108" s="2">
        <f t="shared" si="62"/>
        <v>0</v>
      </c>
      <c r="E108" s="2"/>
      <c r="F108" s="19">
        <f t="shared" si="54"/>
        <v>0</v>
      </c>
      <c r="G108" s="2"/>
      <c r="H108" s="2">
        <f t="shared" si="63"/>
        <v>0</v>
      </c>
      <c r="I108" s="2"/>
      <c r="J108" s="19">
        <f t="shared" si="55"/>
        <v>0</v>
      </c>
      <c r="K108" s="2"/>
      <c r="L108" s="2">
        <f t="shared" si="56"/>
        <v>0</v>
      </c>
      <c r="M108" s="2"/>
      <c r="N108" s="19">
        <f t="shared" si="57"/>
        <v>0</v>
      </c>
      <c r="O108" s="11"/>
      <c r="P108" s="2">
        <f>-104.76</f>
        <v>-104.76</v>
      </c>
      <c r="Q108" s="2"/>
      <c r="R108" s="19">
        <f t="shared" si="58"/>
        <v>-4.4732455911363103E-5</v>
      </c>
      <c r="S108" s="2"/>
      <c r="T108" s="2">
        <f>-240.2</f>
        <v>-240.2</v>
      </c>
      <c r="U108" s="2"/>
      <c r="V108" s="19">
        <f t="shared" si="59"/>
        <v>-1.0177863805538363E-4</v>
      </c>
      <c r="W108" s="2"/>
      <c r="X108" s="2">
        <f t="shared" si="60"/>
        <v>135.44</v>
      </c>
      <c r="Y108" s="2"/>
      <c r="Z108" s="19">
        <f t="shared" si="61"/>
        <v>-0.56386344712739389</v>
      </c>
    </row>
    <row r="109" spans="1:26" s="24" customFormat="1" hidden="1" outlineLevel="1" x14ac:dyDescent="0.25">
      <c r="A109" s="44"/>
      <c r="B109" s="11" t="str">
        <f>CONCATENATE("          ", "9150", " - ", "MISC. INCOME")</f>
        <v xml:space="preserve">          9150 - MISC. INCOME</v>
      </c>
      <c r="C109" s="11"/>
      <c r="D109" s="2">
        <f>-90</f>
        <v>-90</v>
      </c>
      <c r="E109" s="2"/>
      <c r="F109" s="19">
        <f t="shared" si="54"/>
        <v>-2.964531553946833E-4</v>
      </c>
      <c r="G109" s="2"/>
      <c r="H109" s="2">
        <f>-783.07</f>
        <v>-783.07</v>
      </c>
      <c r="I109" s="2"/>
      <c r="J109" s="19">
        <f t="shared" si="55"/>
        <v>-3.2275135982405647E-3</v>
      </c>
      <c r="K109" s="2"/>
      <c r="L109" s="2">
        <f t="shared" si="56"/>
        <v>693.07</v>
      </c>
      <c r="M109" s="2"/>
      <c r="N109" s="19">
        <f t="shared" si="57"/>
        <v>-0.88506774617850259</v>
      </c>
      <c r="O109" s="11"/>
      <c r="P109" s="2">
        <f>--5467.89</f>
        <v>5467.89</v>
      </c>
      <c r="Q109" s="2"/>
      <c r="R109" s="19">
        <f t="shared" si="58"/>
        <v>2.3347856849292021E-3</v>
      </c>
      <c r="S109" s="2"/>
      <c r="T109" s="2">
        <f>--2294.54</f>
        <v>2294.54</v>
      </c>
      <c r="U109" s="2"/>
      <c r="V109" s="19">
        <f t="shared" si="59"/>
        <v>9.7225293989841794E-4</v>
      </c>
      <c r="W109" s="2"/>
      <c r="X109" s="2">
        <f t="shared" si="60"/>
        <v>3173.3500000000004</v>
      </c>
      <c r="Y109" s="2"/>
      <c r="Z109" s="19">
        <f t="shared" si="61"/>
        <v>1.3830005142642972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10"/>
      <c r="B111" s="28" t="s">
        <v>3</v>
      </c>
      <c r="C111" s="28"/>
      <c r="D111" s="21">
        <f>+D54-D56+D105</f>
        <v>25046.259999999947</v>
      </c>
      <c r="E111" s="14"/>
      <c r="F111" s="20">
        <f>IF(D$12=0,0,D111/D$12)</f>
        <v>8.250047564261806E-2</v>
      </c>
      <c r="G111" s="14"/>
      <c r="H111" s="21">
        <f>+H54-H56+H105</f>
        <v>28107.870000000021</v>
      </c>
      <c r="I111" s="14"/>
      <c r="J111" s="20">
        <f>IF(H$12=0,0,H111/H$12)</f>
        <v>0.11584983799989539</v>
      </c>
      <c r="K111" s="15"/>
      <c r="L111" s="21">
        <f>+D111-H111</f>
        <v>-3061.6100000000733</v>
      </c>
      <c r="M111" s="15"/>
      <c r="N111" s="20">
        <f>IF(H111=0,0,L111/H111)</f>
        <v>-0.10892358616999691</v>
      </c>
      <c r="O111" s="29"/>
      <c r="P111" s="21">
        <f>+P54-P56+P105</f>
        <v>125283.65999999903</v>
      </c>
      <c r="Q111" s="14"/>
      <c r="R111" s="20">
        <f>IF(P$12=0,0,P111/P$12)</f>
        <v>5.3496046175679282E-2</v>
      </c>
      <c r="S111" s="14"/>
      <c r="T111" s="21">
        <f>+T54-T56+T105</f>
        <v>145813.30999999866</v>
      </c>
      <c r="U111" s="14"/>
      <c r="V111" s="20">
        <f>IF(T$12=0,0,T111/T$12)</f>
        <v>6.1784679859064599E-2</v>
      </c>
      <c r="W111" s="15"/>
      <c r="X111" s="21">
        <f>+P111-T111</f>
        <v>-20529.64999999963</v>
      </c>
      <c r="Y111" s="15"/>
      <c r="Z111" s="20">
        <f>IF(T111=0,0,X111/T111)</f>
        <v>-0.14079407428580984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51"/>
      <c r="B113" s="10" t="s">
        <v>13</v>
      </c>
      <c r="C113" s="10"/>
      <c r="D113" s="4">
        <v>47496.2</v>
      </c>
      <c r="E113" s="4"/>
      <c r="F113" s="12">
        <f>IF(D$12=0,0,D113/D$12)</f>
        <v>0.15644887065841065</v>
      </c>
      <c r="G113" s="4"/>
      <c r="H113" s="4">
        <v>27310.769999999997</v>
      </c>
      <c r="I113" s="4"/>
      <c r="J113" s="12">
        <f>IF(H$12=0,0,H113/H$12)</f>
        <v>0.11256449813352631</v>
      </c>
      <c r="K113" s="4"/>
      <c r="L113" s="4">
        <f>+D113-H113</f>
        <v>20185.43</v>
      </c>
      <c r="M113" s="4"/>
      <c r="N113" s="12">
        <f>IF(H113=0,0,L113/H113)</f>
        <v>0.73910146070579497</v>
      </c>
      <c r="O113" s="10"/>
      <c r="P113" s="4">
        <v>265908.68</v>
      </c>
      <c r="Q113" s="4"/>
      <c r="R113" s="12">
        <f>IF(P$12=0,0,P113/P$12)</f>
        <v>0.11354284368603244</v>
      </c>
      <c r="S113" s="4"/>
      <c r="T113" s="4">
        <v>245344.65</v>
      </c>
      <c r="U113" s="4"/>
      <c r="V113" s="12">
        <f>IF(T$12=0,0,T113/T$12)</f>
        <v>0.10395855258607319</v>
      </c>
      <c r="W113" s="4"/>
      <c r="X113" s="4">
        <f>+P113-T113</f>
        <v>20564.03</v>
      </c>
      <c r="Y113" s="4"/>
      <c r="Z113" s="12">
        <f>IF(T113=0,0,X113/T113)</f>
        <v>8.3816908173868873E-2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4</v>
      </c>
      <c r="C115" s="28"/>
      <c r="D115" s="30">
        <f>+D111-D113</f>
        <v>-22449.94000000005</v>
      </c>
      <c r="E115" s="14"/>
      <c r="F115" s="36">
        <f>IF(D$12=0,0,D115/D$12)</f>
        <v>-7.3948395015792576E-2</v>
      </c>
      <c r="G115" s="14"/>
      <c r="H115" s="30">
        <f>+H111-H113</f>
        <v>797.10000000002401</v>
      </c>
      <c r="I115" s="14"/>
      <c r="J115" s="36">
        <f>IF(H$12=0,0,H115/H$12)</f>
        <v>3.285339866369075E-3</v>
      </c>
      <c r="K115" s="15"/>
      <c r="L115" s="30">
        <f>D115-H115</f>
        <v>-23247.040000000074</v>
      </c>
      <c r="M115" s="15"/>
      <c r="N115" s="36">
        <f>IF(H115=0,0,L115/H115)</f>
        <v>-29.164521390038104</v>
      </c>
      <c r="O115" s="29"/>
      <c r="P115" s="30">
        <f>+P111-P113</f>
        <v>-140625.02000000095</v>
      </c>
      <c r="Q115" s="14"/>
      <c r="R115" s="36">
        <f>IF(P$12=0,0,P115/P$12)</f>
        <v>-6.0046797510353155E-2</v>
      </c>
      <c r="S115" s="14"/>
      <c r="T115" s="30">
        <f>+T111-T113</f>
        <v>-99531.340000001335</v>
      </c>
      <c r="U115" s="14"/>
      <c r="V115" s="36">
        <f>IF(T$12=0,0,T115/T$12)</f>
        <v>-4.2173872727008593E-2</v>
      </c>
      <c r="W115" s="15"/>
      <c r="X115" s="30">
        <f>P115-T115</f>
        <v>-41093.679999999615</v>
      </c>
      <c r="Y115" s="15"/>
      <c r="Z115" s="36">
        <f>IF(T115=0,0,X115/T115)</f>
        <v>0.41287176481296306</v>
      </c>
    </row>
    <row r="116" spans="1:26" ht="15.75" thickTop="1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8" t="s">
        <v>5</v>
      </c>
      <c r="C118" s="28"/>
      <c r="D118" s="31">
        <f>SUM(D115:D117)</f>
        <v>-22449.94000000005</v>
      </c>
      <c r="E118" s="14"/>
      <c r="F118" s="32">
        <f>IF(D$12=0,0,D118/D$12)</f>
        <v>-7.3948395015792576E-2</v>
      </c>
      <c r="G118" s="14"/>
      <c r="H118" s="31">
        <f>SUM(H115:H117)</f>
        <v>797.10000000002401</v>
      </c>
      <c r="I118" s="14"/>
      <c r="J118" s="32">
        <f>IF(H$12=0,0,H118/H$12)</f>
        <v>3.285339866369075E-3</v>
      </c>
      <c r="K118" s="15"/>
      <c r="L118" s="31">
        <f>+D118-H118</f>
        <v>-23247.040000000074</v>
      </c>
      <c r="M118" s="15"/>
      <c r="N118" s="32">
        <f>IF(H118=0,0,L118/H118)</f>
        <v>-29.164521390038104</v>
      </c>
      <c r="O118" s="29"/>
      <c r="P118" s="31">
        <f>SUM(P115:P117)</f>
        <v>-140625.02000000095</v>
      </c>
      <c r="Q118" s="14"/>
      <c r="R118" s="32">
        <f>IF(P$12=0,0,P118/P$12)</f>
        <v>-6.0046797510353155E-2</v>
      </c>
      <c r="S118" s="14"/>
      <c r="T118" s="31">
        <f>SUM(T115:T117)</f>
        <v>-99531.340000001335</v>
      </c>
      <c r="U118" s="14"/>
      <c r="V118" s="32">
        <f>IF(T$12=0,0,T118/T$12)</f>
        <v>-4.2173872727008593E-2</v>
      </c>
      <c r="W118" s="15"/>
      <c r="X118" s="31">
        <f>+P118-T118</f>
        <v>-41093.679999999615</v>
      </c>
      <c r="Y118" s="15"/>
      <c r="Z118" s="32">
        <f>IF(T118=0,0,X118/T118)</f>
        <v>0.41287176481296306</v>
      </c>
    </row>
    <row r="119" spans="1:26" ht="15.75" thickTop="1" x14ac:dyDescent="0.25">
      <c r="A119" s="9"/>
      <c r="C119" s="9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54">
        <v>43965.471045520833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59" t="s">
        <v>313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A122" s="9"/>
      <c r="B122" s="61"/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45.309999999999995</v>
      </c>
      <c r="E12" s="4"/>
      <c r="F12" s="12"/>
      <c r="G12" s="4"/>
      <c r="H12" s="4">
        <f>SUM(OSRRefH13x_0)</f>
        <v>342991.45999999996</v>
      </c>
      <c r="I12" s="4"/>
      <c r="J12" s="12"/>
      <c r="K12" s="4"/>
      <c r="L12" s="4">
        <f t="shared" ref="L12:L23" si="0">+D12-H12</f>
        <v>-342946.14999999997</v>
      </c>
      <c r="M12" s="4"/>
      <c r="N12" s="12">
        <f t="shared" ref="N12:N23" si="1">IF(H12=0,0,L12/H12)</f>
        <v>-0.99986789758555505</v>
      </c>
      <c r="O12" s="10"/>
      <c r="P12" s="4">
        <f>SUM(OSRRefP13x_0)</f>
        <v>2364580.8899999997</v>
      </c>
      <c r="Q12" s="4"/>
      <c r="R12" s="12"/>
      <c r="S12" s="4"/>
      <c r="T12" s="4">
        <f>SUM(OSRRefT13x_0)</f>
        <v>2772395.19</v>
      </c>
      <c r="U12" s="4"/>
      <c r="V12" s="12"/>
      <c r="W12" s="4"/>
      <c r="X12" s="4">
        <f t="shared" ref="X12:X23" si="2">+P12-T12</f>
        <v>-407814.30000000028</v>
      </c>
      <c r="Y12" s="4"/>
      <c r="Z12" s="12">
        <f t="shared" ref="Z12:Z23" si="3">IF(T12=0,0,X12/T12)</f>
        <v>-0.14709818480099163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--1.35</f>
        <v>1.35</v>
      </c>
      <c r="E13" s="2"/>
      <c r="F13" s="19"/>
      <c r="G13" s="2"/>
      <c r="H13" s="2">
        <f>--35301</f>
        <v>35301</v>
      </c>
      <c r="I13" s="2"/>
      <c r="J13" s="19"/>
      <c r="K13" s="2"/>
      <c r="L13" s="2">
        <f t="shared" si="0"/>
        <v>-35299.65</v>
      </c>
      <c r="M13" s="2"/>
      <c r="N13" s="19">
        <f t="shared" si="1"/>
        <v>-0.99996175745729587</v>
      </c>
      <c r="O13" s="11"/>
      <c r="P13" s="2">
        <f>--275749.46</f>
        <v>275749.46000000002</v>
      </c>
      <c r="Q13" s="2"/>
      <c r="R13" s="19"/>
      <c r="S13" s="2"/>
      <c r="T13" s="2">
        <f>--341356.98</f>
        <v>341356.98</v>
      </c>
      <c r="U13" s="2"/>
      <c r="V13" s="19"/>
      <c r="W13" s="2"/>
      <c r="X13" s="2">
        <f t="shared" si="2"/>
        <v>-65607.51999999996</v>
      </c>
      <c r="Y13" s="2"/>
      <c r="Z13" s="19">
        <f t="shared" si="3"/>
        <v>-0.19219621640664844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--3.4</f>
        <v>3.4</v>
      </c>
      <c r="E15" s="2"/>
      <c r="F15" s="19"/>
      <c r="G15" s="2"/>
      <c r="H15" s="2">
        <f>--313.84</f>
        <v>313.83999999999997</v>
      </c>
      <c r="I15" s="2"/>
      <c r="J15" s="19"/>
      <c r="K15" s="2"/>
      <c r="L15" s="2">
        <f t="shared" si="0"/>
        <v>-310.44</v>
      </c>
      <c r="M15" s="2"/>
      <c r="N15" s="19">
        <f t="shared" si="1"/>
        <v>-0.98916645424420091</v>
      </c>
      <c r="O15" s="11"/>
      <c r="P15" s="2">
        <f>--3121.95</f>
        <v>3121.95</v>
      </c>
      <c r="Q15" s="2"/>
      <c r="R15" s="19"/>
      <c r="S15" s="2"/>
      <c r="T15" s="2">
        <f>--2439.27</f>
        <v>2439.27</v>
      </c>
      <c r="U15" s="2"/>
      <c r="V15" s="19"/>
      <c r="W15" s="2"/>
      <c r="X15" s="2">
        <f t="shared" si="2"/>
        <v>682.67999999999984</v>
      </c>
      <c r="Y15" s="2"/>
      <c r="Z15" s="19">
        <f t="shared" si="3"/>
        <v>0.27987061702886512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0</f>
        <v>0</v>
      </c>
      <c r="E16" s="2"/>
      <c r="F16" s="19"/>
      <c r="G16" s="2"/>
      <c r="H16" s="2">
        <f>--23761.75</f>
        <v>23761.75</v>
      </c>
      <c r="I16" s="2"/>
      <c r="J16" s="19"/>
      <c r="K16" s="2"/>
      <c r="L16" s="2">
        <f t="shared" si="0"/>
        <v>-23761.75</v>
      </c>
      <c r="M16" s="2"/>
      <c r="N16" s="19">
        <f t="shared" si="1"/>
        <v>-1</v>
      </c>
      <c r="O16" s="11"/>
      <c r="P16" s="2">
        <f>--149404.53</f>
        <v>149404.53</v>
      </c>
      <c r="Q16" s="2"/>
      <c r="R16" s="19"/>
      <c r="S16" s="2"/>
      <c r="T16" s="2">
        <f>--214233.5</f>
        <v>214233.5</v>
      </c>
      <c r="U16" s="2"/>
      <c r="V16" s="19"/>
      <c r="W16" s="2"/>
      <c r="X16" s="2">
        <f t="shared" si="2"/>
        <v>-64828.97</v>
      </c>
      <c r="Y16" s="2"/>
      <c r="Z16" s="19">
        <f t="shared" si="3"/>
        <v>-0.30260892904237668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>--0.05</f>
        <v>0.05</v>
      </c>
      <c r="E17" s="2"/>
      <c r="F17" s="19"/>
      <c r="G17" s="2"/>
      <c r="H17" s="2">
        <f>--152811.44</f>
        <v>152811.44</v>
      </c>
      <c r="I17" s="2"/>
      <c r="J17" s="19"/>
      <c r="K17" s="2"/>
      <c r="L17" s="2">
        <f t="shared" si="0"/>
        <v>-152811.39000000001</v>
      </c>
      <c r="M17" s="2"/>
      <c r="N17" s="19">
        <f t="shared" si="1"/>
        <v>-0.99999967279936641</v>
      </c>
      <c r="O17" s="11"/>
      <c r="P17" s="2">
        <f>--1093778.15</f>
        <v>1093778.1499999999</v>
      </c>
      <c r="Q17" s="2"/>
      <c r="R17" s="19"/>
      <c r="S17" s="2"/>
      <c r="T17" s="2">
        <f>--1219149.18</f>
        <v>1219149.18</v>
      </c>
      <c r="U17" s="2"/>
      <c r="V17" s="19"/>
      <c r="W17" s="2"/>
      <c r="X17" s="2">
        <f t="shared" si="2"/>
        <v>-125371.03000000003</v>
      </c>
      <c r="Y17" s="2"/>
      <c r="Z17" s="19">
        <f t="shared" si="3"/>
        <v>-0.10283485569829939</v>
      </c>
    </row>
    <row r="18" spans="1:26" s="24" customFormat="1" hidden="1" outlineLevel="1" x14ac:dyDescent="0.25">
      <c r="A18" s="44"/>
      <c r="B18" s="11" t="str">
        <f>CONCATENATE("          ", "4133", " - ", "NON-TAXABLE SALES-CANDY")</f>
        <v xml:space="preserve">          4133 - NON-TAXABLE SALES-CANDY</v>
      </c>
      <c r="C18" s="11"/>
      <c r="D18" s="2">
        <f>0</f>
        <v>0</v>
      </c>
      <c r="E18" s="2"/>
      <c r="F18" s="19"/>
      <c r="G18" s="2"/>
      <c r="H18" s="2">
        <f t="shared" ref="H18:H19" si="4"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--1.59</f>
        <v>1.59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1.59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--35.86</f>
        <v>35.86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35.86</v>
      </c>
      <c r="M19" s="2"/>
      <c r="N19" s="19">
        <f t="shared" si="1"/>
        <v>0</v>
      </c>
      <c r="O19" s="11"/>
      <c r="P19" s="2">
        <f>--71.2</f>
        <v>71.2</v>
      </c>
      <c r="Q19" s="2"/>
      <c r="R19" s="19"/>
      <c r="S19" s="2"/>
      <c r="T19" s="2">
        <f>--53.94</f>
        <v>53.94</v>
      </c>
      <c r="U19" s="2"/>
      <c r="V19" s="19"/>
      <c r="W19" s="2"/>
      <c r="X19" s="2">
        <f t="shared" si="2"/>
        <v>17.260000000000005</v>
      </c>
      <c r="Y19" s="2"/>
      <c r="Z19" s="19">
        <f t="shared" si="3"/>
        <v>0.31998516870596971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--4.65</f>
        <v>4.6500000000000004</v>
      </c>
      <c r="E20" s="2"/>
      <c r="F20" s="19"/>
      <c r="G20" s="2"/>
      <c r="H20" s="2">
        <f>--195.5</f>
        <v>195.5</v>
      </c>
      <c r="I20" s="2"/>
      <c r="J20" s="19"/>
      <c r="K20" s="2"/>
      <c r="L20" s="2">
        <f t="shared" si="0"/>
        <v>-190.85</v>
      </c>
      <c r="M20" s="2"/>
      <c r="N20" s="19">
        <f t="shared" si="1"/>
        <v>-0.97621483375959073</v>
      </c>
      <c r="O20" s="11"/>
      <c r="P20" s="2">
        <f>--1573.44</f>
        <v>1573.44</v>
      </c>
      <c r="Q20" s="2"/>
      <c r="R20" s="19"/>
      <c r="S20" s="2"/>
      <c r="T20" s="2">
        <f>--2127.79</f>
        <v>2127.79</v>
      </c>
      <c r="U20" s="2"/>
      <c r="V20" s="19"/>
      <c r="W20" s="2"/>
      <c r="X20" s="2">
        <f t="shared" si="2"/>
        <v>-554.34999999999991</v>
      </c>
      <c r="Y20" s="2"/>
      <c r="Z20" s="19">
        <f t="shared" si="3"/>
        <v>-0.26052852960113543</v>
      </c>
    </row>
    <row r="21" spans="1:26" s="24" customFormat="1" hidden="1" outlineLevel="1" x14ac:dyDescent="0.25">
      <c r="A21" s="44"/>
      <c r="B21" s="11" t="str">
        <f>CONCATENATE("          ", "4151", " - ", "NON-TAXABLE SALES-FOOD")</f>
        <v xml:space="preserve">          4151 - NON-TAXABLE SALES-FOOD</v>
      </c>
      <c r="C21" s="11"/>
      <c r="D21" s="2">
        <f t="shared" ref="D21:D23" si="5">0</f>
        <v>0</v>
      </c>
      <c r="E21" s="2"/>
      <c r="F21" s="19"/>
      <c r="G21" s="2"/>
      <c r="H21" s="2">
        <f>--129532.68</f>
        <v>129532.68</v>
      </c>
      <c r="I21" s="2"/>
      <c r="J21" s="19"/>
      <c r="K21" s="2"/>
      <c r="L21" s="2">
        <f t="shared" si="0"/>
        <v>-129532.68</v>
      </c>
      <c r="M21" s="2"/>
      <c r="N21" s="19">
        <f t="shared" si="1"/>
        <v>-1</v>
      </c>
      <c r="O21" s="11"/>
      <c r="P21" s="2">
        <f>--828068.07</f>
        <v>828068.07</v>
      </c>
      <c r="Q21" s="2"/>
      <c r="R21" s="19"/>
      <c r="S21" s="2"/>
      <c r="T21" s="2">
        <f>--980249.98</f>
        <v>980249.98</v>
      </c>
      <c r="U21" s="2"/>
      <c r="V21" s="19"/>
      <c r="W21" s="2"/>
      <c r="X21" s="2">
        <f t="shared" si="2"/>
        <v>-152181.91000000003</v>
      </c>
      <c r="Y21" s="2"/>
      <c r="Z21" s="19">
        <f t="shared" si="3"/>
        <v>-0.15524806233609925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 t="shared" si="5"/>
        <v>0</v>
      </c>
      <c r="E22" s="2"/>
      <c r="F22" s="19"/>
      <c r="G22" s="2"/>
      <c r="H22" s="2">
        <f>--1075.25</f>
        <v>1075.25</v>
      </c>
      <c r="I22" s="2"/>
      <c r="J22" s="19"/>
      <c r="K22" s="2"/>
      <c r="L22" s="2">
        <f t="shared" si="0"/>
        <v>-1075.25</v>
      </c>
      <c r="M22" s="2"/>
      <c r="N22" s="19">
        <f t="shared" si="1"/>
        <v>-1</v>
      </c>
      <c r="O22" s="11"/>
      <c r="P22" s="2">
        <f>--12812.5</f>
        <v>12812.5</v>
      </c>
      <c r="Q22" s="2"/>
      <c r="R22" s="19"/>
      <c r="S22" s="2"/>
      <c r="T22" s="2">
        <f>--12766.25</f>
        <v>12766.25</v>
      </c>
      <c r="U22" s="2"/>
      <c r="V22" s="19"/>
      <c r="W22" s="2"/>
      <c r="X22" s="2">
        <f t="shared" si="2"/>
        <v>46.25</v>
      </c>
      <c r="Y22" s="2"/>
      <c r="Z22" s="19">
        <f t="shared" si="3"/>
        <v>3.622833643395672E-3</v>
      </c>
    </row>
    <row r="23" spans="1:26" s="24" customFormat="1" hidden="1" outlineLevel="1" x14ac:dyDescent="0.25">
      <c r="A23" s="44"/>
      <c r="B23" s="11" t="str">
        <f>CONCATENATE("          ", "4233", " - ", "SALES RETURN TAXABLE-CANDY")</f>
        <v xml:space="preserve">          4233 - SALES RETURN TAXABLE-CANDY</v>
      </c>
      <c r="C23" s="11"/>
      <c r="D23" s="2">
        <f t="shared" si="5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-1.69</f>
        <v>-1.69</v>
      </c>
      <c r="U23" s="2"/>
      <c r="V23" s="19"/>
      <c r="W23" s="2"/>
      <c r="X23" s="2">
        <f t="shared" si="2"/>
        <v>1.69</v>
      </c>
      <c r="Y23" s="2"/>
      <c r="Z23" s="19">
        <f t="shared" si="3"/>
        <v>-1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103825.58</v>
      </c>
      <c r="E25" s="4"/>
      <c r="F25" s="12">
        <f t="shared" ref="F25:F27" si="6">IF(D$12=0,0,D25/D$12)</f>
        <v>2291.4495696314284</v>
      </c>
      <c r="G25" s="4"/>
      <c r="H25" s="4">
        <f>SUM(OSRRefH16x_0)</f>
        <v>165413.49</v>
      </c>
      <c r="I25" s="4"/>
      <c r="J25" s="12">
        <f t="shared" ref="J25:J27" si="7">IF(H$12=0,0,H25/H$12)</f>
        <v>0.48226708035237964</v>
      </c>
      <c r="K25" s="4"/>
      <c r="L25" s="4">
        <f t="shared" ref="L25:L27" si="8">+D25-H25</f>
        <v>-61587.909999999989</v>
      </c>
      <c r="M25" s="4"/>
      <c r="N25" s="12">
        <f t="shared" ref="N25:N27" si="9">IF(H25=0,0,L25/H25)</f>
        <v>-0.37232700912120281</v>
      </c>
      <c r="O25" s="10"/>
      <c r="P25" s="4">
        <f>SUM(OSRRefP16x_0)</f>
        <v>1234087.2200000002</v>
      </c>
      <c r="Q25" s="4"/>
      <c r="R25" s="12">
        <f t="shared" ref="R25:R27" si="10">IF(P$12=0,0,P25/P$12)</f>
        <v>0.52190526668766246</v>
      </c>
      <c r="S25" s="4"/>
      <c r="T25" s="4">
        <f>SUM(OSRRefT16x_0)</f>
        <v>1312707.1599999999</v>
      </c>
      <c r="U25" s="4"/>
      <c r="V25" s="12">
        <f t="shared" ref="V25:V27" si="11">IF(T$12=0,0,T25/T$12)</f>
        <v>0.47349207816220457</v>
      </c>
      <c r="W25" s="4"/>
      <c r="X25" s="4">
        <f t="shared" ref="X25:X27" si="12">+P25-T25</f>
        <v>-78619.939999999711</v>
      </c>
      <c r="Y25" s="4"/>
      <c r="Z25" s="12">
        <f t="shared" ref="Z25:Z27" si="13">IF(T25=0,0,X25/T25)</f>
        <v>-5.989145362778376E-2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-1745.37</v>
      </c>
      <c r="E26" s="2"/>
      <c r="F26" s="19">
        <f t="shared" si="6"/>
        <v>-38.520635621275659</v>
      </c>
      <c r="G26" s="2"/>
      <c r="H26" s="2">
        <v>170754.5</v>
      </c>
      <c r="I26" s="2"/>
      <c r="J26" s="19">
        <f t="shared" si="7"/>
        <v>0.49783892578549921</v>
      </c>
      <c r="K26" s="2"/>
      <c r="L26" s="2">
        <f t="shared" si="8"/>
        <v>-172499.87</v>
      </c>
      <c r="M26" s="2"/>
      <c r="N26" s="19">
        <f t="shared" si="9"/>
        <v>-1.0102215168560711</v>
      </c>
      <c r="O26" s="11"/>
      <c r="P26" s="2">
        <v>1160260.4200000002</v>
      </c>
      <c r="Q26" s="2"/>
      <c r="R26" s="19">
        <f t="shared" si="10"/>
        <v>0.49068332781797974</v>
      </c>
      <c r="S26" s="2"/>
      <c r="T26" s="2">
        <v>1291937.02</v>
      </c>
      <c r="U26" s="2"/>
      <c r="V26" s="19">
        <f t="shared" si="11"/>
        <v>0.46600031072770692</v>
      </c>
      <c r="W26" s="2"/>
      <c r="X26" s="2">
        <f t="shared" si="12"/>
        <v>-131676.59999999986</v>
      </c>
      <c r="Y26" s="2"/>
      <c r="Z26" s="19">
        <f t="shared" si="13"/>
        <v>-0.10192184136034732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105570.95</v>
      </c>
      <c r="E27" s="2"/>
      <c r="F27" s="19">
        <f t="shared" si="6"/>
        <v>2329.9702052527036</v>
      </c>
      <c r="G27" s="2"/>
      <c r="H27" s="2">
        <v>-5341.01</v>
      </c>
      <c r="I27" s="2"/>
      <c r="J27" s="19">
        <f t="shared" si="7"/>
        <v>-1.5571845433119532E-2</v>
      </c>
      <c r="K27" s="2"/>
      <c r="L27" s="2">
        <f t="shared" si="8"/>
        <v>110911.95999999999</v>
      </c>
      <c r="M27" s="2"/>
      <c r="N27" s="19">
        <f t="shared" si="9"/>
        <v>-20.766102291514148</v>
      </c>
      <c r="O27" s="11"/>
      <c r="P27" s="2">
        <v>73826.8</v>
      </c>
      <c r="Q27" s="2"/>
      <c r="R27" s="19">
        <f t="shared" si="10"/>
        <v>3.1221938869682744E-2</v>
      </c>
      <c r="S27" s="2"/>
      <c r="T27" s="2">
        <v>20770.14</v>
      </c>
      <c r="U27" s="2"/>
      <c r="V27" s="19">
        <f t="shared" si="11"/>
        <v>7.4917674344976773E-3</v>
      </c>
      <c r="W27" s="2"/>
      <c r="X27" s="2">
        <f t="shared" si="12"/>
        <v>53056.66</v>
      </c>
      <c r="Y27" s="2"/>
      <c r="Z27" s="19">
        <f t="shared" si="13"/>
        <v>2.5544680969892357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1">
        <f>D12-D25</f>
        <v>-103780.27</v>
      </c>
      <c r="E29" s="14"/>
      <c r="F29" s="20">
        <f>IF(D$12=0,0,D29/D$12)</f>
        <v>-2290.4495696314284</v>
      </c>
      <c r="G29" s="14"/>
      <c r="H29" s="21">
        <f>H12-H25</f>
        <v>177577.96999999997</v>
      </c>
      <c r="I29" s="14"/>
      <c r="J29" s="20">
        <f>IF(H$12=0,0,H29/H$12)</f>
        <v>0.51773291964762036</v>
      </c>
      <c r="K29" s="15"/>
      <c r="L29" s="21">
        <f>+D29-H29</f>
        <v>-281358.24</v>
      </c>
      <c r="M29" s="15"/>
      <c r="N29" s="20">
        <f>IF(H29=0,0,L29/H29)</f>
        <v>-1.5844208603127969</v>
      </c>
      <c r="O29" s="29"/>
      <c r="P29" s="21">
        <f>P12-P25</f>
        <v>1130493.6699999995</v>
      </c>
      <c r="Q29" s="14"/>
      <c r="R29" s="20">
        <f>IF(P$12=0,0,P29/P$12)</f>
        <v>0.47809473331233748</v>
      </c>
      <c r="S29" s="14"/>
      <c r="T29" s="21">
        <f>T12-T25</f>
        <v>1459688.03</v>
      </c>
      <c r="U29" s="14"/>
      <c r="V29" s="20">
        <f>IF(T$12=0,0,T29/T$12)</f>
        <v>0.52650792183779549</v>
      </c>
      <c r="W29" s="15"/>
      <c r="X29" s="21">
        <f>+P29-T29</f>
        <v>-329194.36000000057</v>
      </c>
      <c r="Y29" s="15"/>
      <c r="Z29" s="20">
        <f>IF(T29=0,0,X29/T29)</f>
        <v>-0.22552377852958111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2">
        <f>SUM(OSRRefD22x_0)</f>
        <v>34561.15</v>
      </c>
      <c r="E31" s="22"/>
      <c r="F31" s="35">
        <f t="shared" ref="F31:F40" si="14">IF(D$12=0,0,D31/D$12)</f>
        <v>762.77091149856551</v>
      </c>
      <c r="G31" s="22"/>
      <c r="H31" s="22">
        <f>SUM(OSRRefH22x_0)</f>
        <v>100561.43000000001</v>
      </c>
      <c r="I31" s="22"/>
      <c r="J31" s="35">
        <f t="shared" ref="J31:J40" si="15">IF(H$12=0,0,H31/H$12)</f>
        <v>0.29318931147731786</v>
      </c>
      <c r="K31" s="4"/>
      <c r="L31" s="22">
        <f t="shared" ref="L31:L40" si="16">+D31-H31</f>
        <v>-66000.28</v>
      </c>
      <c r="M31" s="4"/>
      <c r="N31" s="35">
        <f t="shared" ref="N31:N40" si="17">IF(H31=0,0,L31/H31)</f>
        <v>-0.65631803366360242</v>
      </c>
      <c r="O31" s="10"/>
      <c r="P31" s="22">
        <f>SUM(OSRRefP22x_0)</f>
        <v>996208.81999999983</v>
      </c>
      <c r="Q31" s="22"/>
      <c r="R31" s="35">
        <f t="shared" ref="R31:R40" si="18">IF(P$12=0,0,P31/P$12)</f>
        <v>0.42130460590840685</v>
      </c>
      <c r="S31" s="22"/>
      <c r="T31" s="22">
        <f>SUM(OSRRefT22x_0)</f>
        <v>1039970.5799999997</v>
      </c>
      <c r="U31" s="22"/>
      <c r="V31" s="35">
        <f t="shared" ref="V31:V40" si="19">IF(T$12=0,0,T31/T$12)</f>
        <v>0.37511628347616621</v>
      </c>
      <c r="W31" s="4"/>
      <c r="X31" s="22">
        <f t="shared" ref="X31:X40" si="20">+P31-T31</f>
        <v>-43761.759999999893</v>
      </c>
      <c r="Y31" s="4"/>
      <c r="Z31" s="35">
        <f t="shared" ref="Z31:Z40" si="21">IF(T31=0,0,X31/T31)</f>
        <v>-4.2079805757582009E-2</v>
      </c>
    </row>
    <row r="32" spans="1:26" s="25" customFormat="1" outlineLevel="1" collapsed="1" x14ac:dyDescent="0.25">
      <c r="A32" s="26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10088.52</v>
      </c>
      <c r="E32" s="1"/>
      <c r="F32" s="5">
        <f t="shared" si="14"/>
        <v>222.65548444052089</v>
      </c>
      <c r="G32" s="1"/>
      <c r="H32" s="1">
        <f>SUM(OSRRefH22_0x_0)</f>
        <v>13022.54</v>
      </c>
      <c r="I32" s="1"/>
      <c r="J32" s="5">
        <f t="shared" si="15"/>
        <v>3.7967534235400502E-2</v>
      </c>
      <c r="K32" s="1"/>
      <c r="L32" s="1">
        <f t="shared" si="16"/>
        <v>-2934.0200000000004</v>
      </c>
      <c r="M32" s="1"/>
      <c r="N32" s="5">
        <f t="shared" si="17"/>
        <v>-0.22530320505830662</v>
      </c>
      <c r="O32" s="13"/>
      <c r="P32" s="1">
        <f>SUM(OSRRefP22_0x_0)</f>
        <v>128424.46</v>
      </c>
      <c r="Q32" s="1"/>
      <c r="R32" s="5">
        <f t="shared" si="18"/>
        <v>5.4311722023601412E-2</v>
      </c>
      <c r="S32" s="1"/>
      <c r="T32" s="1">
        <f>SUM(OSRRefT22_0x_0)</f>
        <v>133134.76999999999</v>
      </c>
      <c r="U32" s="1"/>
      <c r="V32" s="5">
        <f t="shared" si="19"/>
        <v>4.8021570113891299E-2</v>
      </c>
      <c r="W32" s="1"/>
      <c r="X32" s="1">
        <f t="shared" si="20"/>
        <v>-4710.3099999999831</v>
      </c>
      <c r="Y32" s="1"/>
      <c r="Z32" s="5">
        <f t="shared" si="21"/>
        <v>-3.5380013801052747E-2</v>
      </c>
    </row>
    <row r="33" spans="1:26" s="24" customFormat="1" hidden="1" outlineLevel="2" x14ac:dyDescent="0.25">
      <c r="A33" s="27"/>
      <c r="B33" s="11" t="str">
        <f>CONCATENATE("          ", "6111", " - ", "F.I.C.A.")</f>
        <v xml:space="preserve">          6111 - F.I.C.A.</v>
      </c>
      <c r="C33" s="11"/>
      <c r="D33" s="6">
        <v>1491.24</v>
      </c>
      <c r="E33" s="2"/>
      <c r="F33" s="7">
        <f t="shared" si="14"/>
        <v>32.911939969101745</v>
      </c>
      <c r="G33" s="2"/>
      <c r="H33" s="6">
        <v>1963.52</v>
      </c>
      <c r="I33" s="2"/>
      <c r="J33" s="7">
        <f t="shared" si="15"/>
        <v>5.7246906380701143E-3</v>
      </c>
      <c r="K33" s="2"/>
      <c r="L33" s="6">
        <f t="shared" si="16"/>
        <v>-472.28</v>
      </c>
      <c r="M33" s="2"/>
      <c r="N33" s="7">
        <f t="shared" si="17"/>
        <v>-0.24052721642764013</v>
      </c>
      <c r="O33" s="11"/>
      <c r="P33" s="6">
        <v>22056.720000000001</v>
      </c>
      <c r="Q33" s="2"/>
      <c r="R33" s="7">
        <f t="shared" si="18"/>
        <v>9.3279617091044011E-3</v>
      </c>
      <c r="S33" s="2"/>
      <c r="T33" s="6">
        <v>21895.98</v>
      </c>
      <c r="U33" s="2"/>
      <c r="V33" s="7">
        <f t="shared" si="19"/>
        <v>7.8978567265513104E-3</v>
      </c>
      <c r="W33" s="2"/>
      <c r="X33" s="6">
        <f t="shared" si="20"/>
        <v>160.7400000000016</v>
      </c>
      <c r="Y33" s="2"/>
      <c r="Z33" s="7">
        <f t="shared" si="21"/>
        <v>7.3410735669287974E-3</v>
      </c>
    </row>
    <row r="34" spans="1:26" s="24" customFormat="1" hidden="1" outlineLevel="2" x14ac:dyDescent="0.25">
      <c r="A34" s="27"/>
      <c r="B34" s="11" t="str">
        <f>CONCATENATE("          ", "6112", " - ", "COMPENSATION INSURANCE")</f>
        <v xml:space="preserve">          6112 - COMPENSATION INSURANCE</v>
      </c>
      <c r="C34" s="11"/>
      <c r="D34" s="6">
        <v>246.92</v>
      </c>
      <c r="E34" s="2"/>
      <c r="F34" s="7">
        <f t="shared" si="14"/>
        <v>5.4495696314279414</v>
      </c>
      <c r="G34" s="2"/>
      <c r="H34" s="6">
        <v>714.4</v>
      </c>
      <c r="I34" s="2"/>
      <c r="J34" s="7">
        <f t="shared" si="15"/>
        <v>2.0828506925507709E-3</v>
      </c>
      <c r="K34" s="2"/>
      <c r="L34" s="6">
        <f t="shared" si="16"/>
        <v>-467.48</v>
      </c>
      <c r="M34" s="2"/>
      <c r="N34" s="7">
        <f t="shared" si="17"/>
        <v>-0.65436730123180298</v>
      </c>
      <c r="O34" s="11"/>
      <c r="P34" s="6">
        <v>8898.92</v>
      </c>
      <c r="Q34" s="2"/>
      <c r="R34" s="7">
        <f t="shared" si="18"/>
        <v>3.7634238006550081E-3</v>
      </c>
      <c r="S34" s="2"/>
      <c r="T34" s="6">
        <v>6762.25</v>
      </c>
      <c r="U34" s="2"/>
      <c r="V34" s="7">
        <f t="shared" si="19"/>
        <v>2.4391363916628351E-3</v>
      </c>
      <c r="W34" s="2"/>
      <c r="X34" s="6">
        <f t="shared" si="20"/>
        <v>2136.67</v>
      </c>
      <c r="Y34" s="2"/>
      <c r="Z34" s="7">
        <f t="shared" si="21"/>
        <v>0.31597027616547746</v>
      </c>
    </row>
    <row r="35" spans="1:26" s="24" customFormat="1" hidden="1" outlineLevel="2" x14ac:dyDescent="0.25">
      <c r="A35" s="27"/>
      <c r="B35" s="11" t="str">
        <f>CONCATENATE("          ", "6113", " - ", "GROUP INSURANCE")</f>
        <v xml:space="preserve">          6113 - GROUP INSURANCE</v>
      </c>
      <c r="C35" s="11"/>
      <c r="D35" s="6">
        <v>4620.57</v>
      </c>
      <c r="E35" s="2"/>
      <c r="F35" s="7">
        <f t="shared" si="14"/>
        <v>101.97682630765836</v>
      </c>
      <c r="G35" s="2"/>
      <c r="H35" s="6">
        <v>6378.17</v>
      </c>
      <c r="I35" s="2"/>
      <c r="J35" s="7">
        <f t="shared" si="15"/>
        <v>1.8595710808659786E-2</v>
      </c>
      <c r="K35" s="2"/>
      <c r="L35" s="6">
        <f t="shared" si="16"/>
        <v>-1757.6000000000004</v>
      </c>
      <c r="M35" s="2"/>
      <c r="N35" s="7">
        <f t="shared" si="17"/>
        <v>-0.27556493476969107</v>
      </c>
      <c r="O35" s="11"/>
      <c r="P35" s="6">
        <v>55317.71</v>
      </c>
      <c r="Q35" s="2"/>
      <c r="R35" s="7">
        <f t="shared" si="18"/>
        <v>2.3394298006020005E-2</v>
      </c>
      <c r="S35" s="2"/>
      <c r="T35" s="6">
        <v>61621.7</v>
      </c>
      <c r="U35" s="2"/>
      <c r="V35" s="7">
        <f t="shared" si="19"/>
        <v>2.2226881731099813E-2</v>
      </c>
      <c r="W35" s="2"/>
      <c r="X35" s="6">
        <f t="shared" si="20"/>
        <v>-6303.989999999998</v>
      </c>
      <c r="Y35" s="2"/>
      <c r="Z35" s="7">
        <f t="shared" si="21"/>
        <v>-0.10230146198498254</v>
      </c>
    </row>
    <row r="36" spans="1:26" s="24" customFormat="1" hidden="1" outlineLevel="2" x14ac:dyDescent="0.25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6">
        <v>33.799999999999997</v>
      </c>
      <c r="E36" s="2"/>
      <c r="F36" s="7">
        <f t="shared" si="14"/>
        <v>0.74597219156919004</v>
      </c>
      <c r="G36" s="2"/>
      <c r="H36" s="6">
        <v>143.72999999999999</v>
      </c>
      <c r="I36" s="2"/>
      <c r="J36" s="7">
        <f t="shared" si="15"/>
        <v>4.1904833432295955E-4</v>
      </c>
      <c r="K36" s="2"/>
      <c r="L36" s="6">
        <f t="shared" si="16"/>
        <v>-109.92999999999999</v>
      </c>
      <c r="M36" s="2"/>
      <c r="N36" s="7">
        <f t="shared" si="17"/>
        <v>-0.7648368468656509</v>
      </c>
      <c r="O36" s="11"/>
      <c r="P36" s="6">
        <v>1351.01</v>
      </c>
      <c r="Q36" s="2"/>
      <c r="R36" s="7">
        <f t="shared" si="18"/>
        <v>5.7135283707718709E-4</v>
      </c>
      <c r="S36" s="2"/>
      <c r="T36" s="6">
        <v>1479.01</v>
      </c>
      <c r="U36" s="2"/>
      <c r="V36" s="7">
        <f t="shared" si="19"/>
        <v>5.3347733589164108E-4</v>
      </c>
      <c r="W36" s="2"/>
      <c r="X36" s="6">
        <f t="shared" si="20"/>
        <v>-128</v>
      </c>
      <c r="Y36" s="2"/>
      <c r="Z36" s="7">
        <f t="shared" si="21"/>
        <v>-8.6544377658027999E-2</v>
      </c>
    </row>
    <row r="37" spans="1:26" s="24" customFormat="1" hidden="1" outlineLevel="2" x14ac:dyDescent="0.25">
      <c r="A37" s="27"/>
      <c r="B37" s="11" t="str">
        <f>CONCATENATE("          ", "6115", " - ", "P.E.R.S.")</f>
        <v xml:space="preserve">          6115 - P.E.R.S.</v>
      </c>
      <c r="C37" s="11"/>
      <c r="D37" s="6">
        <v>1284.74</v>
      </c>
      <c r="E37" s="2"/>
      <c r="F37" s="7">
        <f t="shared" si="14"/>
        <v>28.35444714191128</v>
      </c>
      <c r="G37" s="2"/>
      <c r="H37" s="6">
        <v>1395.28</v>
      </c>
      <c r="I37" s="2"/>
      <c r="J37" s="7">
        <f t="shared" si="15"/>
        <v>4.0679730043424412E-3</v>
      </c>
      <c r="K37" s="2"/>
      <c r="L37" s="6">
        <f t="shared" si="16"/>
        <v>-110.53999999999996</v>
      </c>
      <c r="M37" s="2"/>
      <c r="N37" s="7">
        <f t="shared" si="17"/>
        <v>-7.9224241729258613E-2</v>
      </c>
      <c r="O37" s="11"/>
      <c r="P37" s="6">
        <v>15405.470000000001</v>
      </c>
      <c r="Q37" s="2"/>
      <c r="R37" s="7">
        <f t="shared" si="18"/>
        <v>6.5150953664351082E-3</v>
      </c>
      <c r="S37" s="2"/>
      <c r="T37" s="6">
        <v>15760.289999999999</v>
      </c>
      <c r="U37" s="2"/>
      <c r="V37" s="7">
        <f t="shared" si="19"/>
        <v>5.6847198613124124E-3</v>
      </c>
      <c r="W37" s="2"/>
      <c r="X37" s="6">
        <f t="shared" si="20"/>
        <v>-354.81999999999789</v>
      </c>
      <c r="Y37" s="2"/>
      <c r="Z37" s="7">
        <f t="shared" si="21"/>
        <v>-2.2513545118776235E-2</v>
      </c>
    </row>
    <row r="38" spans="1:26" s="24" customFormat="1" hidden="1" outlineLevel="2" x14ac:dyDescent="0.25">
      <c r="A38" s="27"/>
      <c r="B38" s="11" t="str">
        <f>CONCATENATE("          ", "6118", " - ", "VACATION")</f>
        <v xml:space="preserve">          6118 - VACATION</v>
      </c>
      <c r="C38" s="11"/>
      <c r="D38" s="6">
        <v>1426.47</v>
      </c>
      <c r="E38" s="2"/>
      <c r="F38" s="7">
        <f t="shared" si="14"/>
        <v>31.482454204369901</v>
      </c>
      <c r="G38" s="2"/>
      <c r="H38" s="6">
        <v>1045.1199999999999</v>
      </c>
      <c r="I38" s="2"/>
      <c r="J38" s="7">
        <f t="shared" si="15"/>
        <v>3.0470729504460548E-3</v>
      </c>
      <c r="K38" s="2"/>
      <c r="L38" s="6">
        <f t="shared" si="16"/>
        <v>381.35000000000014</v>
      </c>
      <c r="M38" s="2"/>
      <c r="N38" s="7">
        <f t="shared" si="17"/>
        <v>0.36488632884262112</v>
      </c>
      <c r="O38" s="11"/>
      <c r="P38" s="6">
        <v>12076.99</v>
      </c>
      <c r="Q38" s="2"/>
      <c r="R38" s="7">
        <f t="shared" si="18"/>
        <v>5.1074547929717906E-3</v>
      </c>
      <c r="S38" s="2"/>
      <c r="T38" s="6">
        <v>11193.83</v>
      </c>
      <c r="U38" s="2"/>
      <c r="V38" s="7">
        <f t="shared" si="19"/>
        <v>4.0376025901271316E-3</v>
      </c>
      <c r="W38" s="2"/>
      <c r="X38" s="6">
        <f t="shared" si="20"/>
        <v>883.15999999999985</v>
      </c>
      <c r="Y38" s="2"/>
      <c r="Z38" s="7">
        <f t="shared" si="21"/>
        <v>7.889703524173583E-2</v>
      </c>
    </row>
    <row r="39" spans="1:26" s="24" customFormat="1" hidden="1" outlineLevel="2" x14ac:dyDescent="0.25">
      <c r="A39" s="27"/>
      <c r="B39" s="11" t="str">
        <f>CONCATENATE("          ", "6119", " - ", "SICK LEAVE")</f>
        <v xml:space="preserve">          6119 - SICK LEAVE</v>
      </c>
      <c r="C39" s="11"/>
      <c r="D39" s="6">
        <v>960.78</v>
      </c>
      <c r="E39" s="2"/>
      <c r="F39" s="7">
        <f t="shared" si="14"/>
        <v>21.204590598101966</v>
      </c>
      <c r="G39" s="2"/>
      <c r="H39" s="6">
        <v>780.64</v>
      </c>
      <c r="I39" s="2"/>
      <c r="J39" s="7">
        <f t="shared" si="15"/>
        <v>2.2759750344804506E-3</v>
      </c>
      <c r="K39" s="2"/>
      <c r="L39" s="6">
        <f t="shared" si="16"/>
        <v>180.14</v>
      </c>
      <c r="M39" s="2"/>
      <c r="N39" s="7">
        <f t="shared" si="17"/>
        <v>0.23075937692150028</v>
      </c>
      <c r="O39" s="11"/>
      <c r="P39" s="6">
        <v>8232.42</v>
      </c>
      <c r="Q39" s="2"/>
      <c r="R39" s="7">
        <f t="shared" si="18"/>
        <v>3.4815556679898573E-3</v>
      </c>
      <c r="S39" s="2"/>
      <c r="T39" s="6">
        <v>9225.58</v>
      </c>
      <c r="U39" s="2"/>
      <c r="V39" s="7">
        <f t="shared" si="19"/>
        <v>3.3276569059405995E-3</v>
      </c>
      <c r="W39" s="2"/>
      <c r="X39" s="6">
        <f t="shared" si="20"/>
        <v>-993.15999999999985</v>
      </c>
      <c r="Y39" s="2"/>
      <c r="Z39" s="7">
        <f t="shared" si="21"/>
        <v>-0.10765285217839961</v>
      </c>
    </row>
    <row r="40" spans="1:26" s="24" customFormat="1" hidden="1" outlineLevel="2" x14ac:dyDescent="0.25">
      <c r="A40" s="27"/>
      <c r="B40" s="11" t="str">
        <f>CONCATENATE("          ", "6156", " - ", "EMPLOYEE MEALS")</f>
        <v xml:space="preserve">          6156 - EMPLOYEE MEALS</v>
      </c>
      <c r="C40" s="11"/>
      <c r="D40" s="6">
        <v>24</v>
      </c>
      <c r="E40" s="2"/>
      <c r="F40" s="7">
        <f t="shared" si="14"/>
        <v>0.52968439638049003</v>
      </c>
      <c r="G40" s="2"/>
      <c r="H40" s="6">
        <v>601.67999999999995</v>
      </c>
      <c r="I40" s="2"/>
      <c r="J40" s="7">
        <f t="shared" si="15"/>
        <v>1.7542127725279225E-3</v>
      </c>
      <c r="K40" s="2"/>
      <c r="L40" s="6">
        <f t="shared" si="16"/>
        <v>-577.67999999999995</v>
      </c>
      <c r="M40" s="2"/>
      <c r="N40" s="7">
        <f t="shared" si="17"/>
        <v>-0.96011168727562823</v>
      </c>
      <c r="O40" s="11"/>
      <c r="P40" s="6">
        <v>5085.22</v>
      </c>
      <c r="Q40" s="2"/>
      <c r="R40" s="7">
        <f t="shared" si="18"/>
        <v>2.1505798433480534E-3</v>
      </c>
      <c r="S40" s="2"/>
      <c r="T40" s="6">
        <v>5196.13</v>
      </c>
      <c r="U40" s="2"/>
      <c r="V40" s="7">
        <f t="shared" si="19"/>
        <v>1.8742385713055576E-3</v>
      </c>
      <c r="W40" s="2"/>
      <c r="X40" s="6">
        <f t="shared" si="20"/>
        <v>-110.90999999999985</v>
      </c>
      <c r="Y40" s="2"/>
      <c r="Z40" s="7">
        <f t="shared" si="21"/>
        <v>-2.1344731559833924E-2</v>
      </c>
    </row>
    <row r="41" spans="1:26" s="25" customFormat="1" outlineLevel="1" collapsed="1" x14ac:dyDescent="0.25">
      <c r="A41" s="26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7835.7900000000009</v>
      </c>
      <c r="E41" s="1"/>
      <c r="F41" s="5">
        <f t="shared" ref="F41:F47" si="22">IF(D$12=0,0,D41/D$12)</f>
        <v>172.93732067976168</v>
      </c>
      <c r="G41" s="1"/>
      <c r="H41" s="1">
        <f>SUM(OSRRefH22_1x_0)</f>
        <v>55030.25</v>
      </c>
      <c r="I41" s="1"/>
      <c r="J41" s="5">
        <f t="shared" ref="J41:J47" si="23">IF(H$12=0,0,H41/H$12)</f>
        <v>0.16044204132662662</v>
      </c>
      <c r="K41" s="1"/>
      <c r="L41" s="1">
        <f t="shared" ref="L41:L47" si="24">+D41-H41</f>
        <v>-47194.46</v>
      </c>
      <c r="M41" s="1"/>
      <c r="N41" s="5">
        <f t="shared" ref="N41:N47" si="25">IF(H41=0,0,L41/H41)</f>
        <v>-0.85760940573593614</v>
      </c>
      <c r="O41" s="13"/>
      <c r="P41" s="1">
        <f>SUM(OSRRefP22_1x_0)</f>
        <v>498991.31</v>
      </c>
      <c r="Q41" s="1"/>
      <c r="R41" s="5">
        <f t="shared" ref="R41:R47" si="26">IF(P$12=0,0,P41/P$12)</f>
        <v>0.21102737999375443</v>
      </c>
      <c r="S41" s="1"/>
      <c r="T41" s="1">
        <f>SUM(OSRRefT22_1x_0)</f>
        <v>552318.17999999993</v>
      </c>
      <c r="U41" s="1"/>
      <c r="V41" s="5">
        <f t="shared" ref="V41:V47" si="27">IF(T$12=0,0,T41/T$12)</f>
        <v>0.1992205808148152</v>
      </c>
      <c r="W41" s="1"/>
      <c r="X41" s="1">
        <f t="shared" ref="X41:X47" si="28">+P41-T41</f>
        <v>-53326.869999999937</v>
      </c>
      <c r="Y41" s="1"/>
      <c r="Z41" s="5">
        <f t="shared" ref="Z41:Z47" si="29">IF(T41=0,0,X41/T41)</f>
        <v>-9.655099529767415E-2</v>
      </c>
    </row>
    <row r="42" spans="1:26" s="24" customFormat="1" hidden="1" outlineLevel="2" x14ac:dyDescent="0.25">
      <c r="A42" s="27"/>
      <c r="B42" s="11" t="str">
        <f>CONCATENATE("          ", "6002", " - ", "STAFF SALARIES")</f>
        <v xml:space="preserve">          6002 - STAFF SALARIES</v>
      </c>
      <c r="C42" s="11"/>
      <c r="D42" s="6">
        <v>11454.12</v>
      </c>
      <c r="E42" s="2"/>
      <c r="F42" s="7">
        <f t="shared" si="22"/>
        <v>252.79452659457078</v>
      </c>
      <c r="G42" s="2"/>
      <c r="H42" s="6">
        <v>15004.52</v>
      </c>
      <c r="I42" s="2"/>
      <c r="J42" s="7">
        <f t="shared" si="23"/>
        <v>4.3746045455475779E-2</v>
      </c>
      <c r="K42" s="2"/>
      <c r="L42" s="6">
        <f t="shared" si="24"/>
        <v>-3550.3999999999996</v>
      </c>
      <c r="M42" s="2"/>
      <c r="N42" s="7">
        <f t="shared" si="25"/>
        <v>-0.2366220312279233</v>
      </c>
      <c r="O42" s="11"/>
      <c r="P42" s="6">
        <v>152395.23000000001</v>
      </c>
      <c r="Q42" s="2"/>
      <c r="R42" s="7">
        <f t="shared" si="26"/>
        <v>6.4449150648426337E-2</v>
      </c>
      <c r="S42" s="2"/>
      <c r="T42" s="6">
        <v>166606.07999999999</v>
      </c>
      <c r="U42" s="2"/>
      <c r="V42" s="7">
        <f t="shared" si="27"/>
        <v>6.009463607531363E-2</v>
      </c>
      <c r="W42" s="2"/>
      <c r="X42" s="6">
        <f t="shared" si="28"/>
        <v>-14210.849999999977</v>
      </c>
      <c r="Y42" s="2"/>
      <c r="Z42" s="7">
        <f t="shared" si="29"/>
        <v>-8.5296106840758626E-2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>
        <v>-3618.33</v>
      </c>
      <c r="E43" s="2"/>
      <c r="F43" s="7">
        <f t="shared" si="22"/>
        <v>-79.8572059148091</v>
      </c>
      <c r="G43" s="2"/>
      <c r="H43" s="6"/>
      <c r="I43" s="2"/>
      <c r="J43" s="7">
        <f t="shared" si="23"/>
        <v>0</v>
      </c>
      <c r="K43" s="2"/>
      <c r="L43" s="6">
        <f t="shared" si="24"/>
        <v>-3618.33</v>
      </c>
      <c r="M43" s="2"/>
      <c r="N43" s="7">
        <f t="shared" si="25"/>
        <v>0</v>
      </c>
      <c r="O43" s="11"/>
      <c r="P43" s="6">
        <v>-3363.69</v>
      </c>
      <c r="Q43" s="2"/>
      <c r="R43" s="7">
        <f t="shared" si="26"/>
        <v>-1.4225311615370453E-3</v>
      </c>
      <c r="S43" s="2"/>
      <c r="T43" s="6"/>
      <c r="U43" s="2"/>
      <c r="V43" s="7">
        <f t="shared" si="27"/>
        <v>0</v>
      </c>
      <c r="W43" s="2"/>
      <c r="X43" s="6">
        <f t="shared" si="28"/>
        <v>-3363.69</v>
      </c>
      <c r="Y43" s="2"/>
      <c r="Z43" s="7">
        <f t="shared" si="29"/>
        <v>0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2"/>
        <v>0</v>
      </c>
      <c r="G44" s="2"/>
      <c r="H44" s="6">
        <v>7124.88</v>
      </c>
      <c r="I44" s="2"/>
      <c r="J44" s="7">
        <f t="shared" si="23"/>
        <v>2.0772762097342017E-2</v>
      </c>
      <c r="K44" s="2"/>
      <c r="L44" s="6">
        <f t="shared" si="24"/>
        <v>-7124.88</v>
      </c>
      <c r="M44" s="2"/>
      <c r="N44" s="7">
        <f t="shared" si="25"/>
        <v>-1</v>
      </c>
      <c r="O44" s="11"/>
      <c r="P44" s="6">
        <v>67287.22</v>
      </c>
      <c r="Q44" s="2"/>
      <c r="R44" s="7">
        <f t="shared" si="26"/>
        <v>2.8456298655107549E-2</v>
      </c>
      <c r="S44" s="2"/>
      <c r="T44" s="6">
        <v>60739.43</v>
      </c>
      <c r="U44" s="2"/>
      <c r="V44" s="7">
        <f t="shared" si="27"/>
        <v>2.1908647879309011E-2</v>
      </c>
      <c r="W44" s="2"/>
      <c r="X44" s="6">
        <f t="shared" si="28"/>
        <v>6547.7900000000009</v>
      </c>
      <c r="Y44" s="2"/>
      <c r="Z44" s="7">
        <f t="shared" si="29"/>
        <v>0.1078013079806643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2"/>
        <v>0</v>
      </c>
      <c r="G45" s="2"/>
      <c r="H45" s="6">
        <v>2449.9699999999998</v>
      </c>
      <c r="I45" s="2"/>
      <c r="J45" s="7">
        <f t="shared" si="23"/>
        <v>7.1429475241161985E-3</v>
      </c>
      <c r="K45" s="2"/>
      <c r="L45" s="6">
        <f t="shared" si="24"/>
        <v>-2449.9699999999998</v>
      </c>
      <c r="M45" s="2"/>
      <c r="N45" s="7">
        <f t="shared" si="25"/>
        <v>-1</v>
      </c>
      <c r="O45" s="11"/>
      <c r="P45" s="6">
        <v>21785.59</v>
      </c>
      <c r="Q45" s="2"/>
      <c r="R45" s="7">
        <f t="shared" si="26"/>
        <v>9.2132986831336538E-3</v>
      </c>
      <c r="S45" s="2"/>
      <c r="T45" s="6">
        <v>29962.700000000004</v>
      </c>
      <c r="U45" s="2"/>
      <c r="V45" s="7">
        <f t="shared" si="27"/>
        <v>1.0807514061514442E-2</v>
      </c>
      <c r="W45" s="2"/>
      <c r="X45" s="6">
        <f t="shared" si="28"/>
        <v>-8177.1100000000042</v>
      </c>
      <c r="Y45" s="2"/>
      <c r="Z45" s="7">
        <f t="shared" si="29"/>
        <v>-0.27290965099940939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/>
      <c r="E46" s="2"/>
      <c r="F46" s="7">
        <f t="shared" si="22"/>
        <v>0</v>
      </c>
      <c r="G46" s="2"/>
      <c r="H46" s="6">
        <v>27874.44</v>
      </c>
      <c r="I46" s="2"/>
      <c r="J46" s="7">
        <f t="shared" si="23"/>
        <v>8.1268612343875862E-2</v>
      </c>
      <c r="K46" s="2"/>
      <c r="L46" s="6">
        <f t="shared" si="24"/>
        <v>-27874.44</v>
      </c>
      <c r="M46" s="2"/>
      <c r="N46" s="7">
        <f t="shared" si="25"/>
        <v>-1</v>
      </c>
      <c r="O46" s="11"/>
      <c r="P46" s="6">
        <v>250050.06999999998</v>
      </c>
      <c r="Q46" s="2"/>
      <c r="R46" s="7">
        <f t="shared" si="26"/>
        <v>0.10574815649465898</v>
      </c>
      <c r="S46" s="2"/>
      <c r="T46" s="6">
        <v>272212.01</v>
      </c>
      <c r="U46" s="2"/>
      <c r="V46" s="7">
        <f t="shared" si="27"/>
        <v>9.8186582844273368E-2</v>
      </c>
      <c r="W46" s="2"/>
      <c r="X46" s="6">
        <f t="shared" si="28"/>
        <v>-22161.940000000031</v>
      </c>
      <c r="Y46" s="2"/>
      <c r="Z46" s="7">
        <f t="shared" si="29"/>
        <v>-8.1414262361164849E-2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2"/>
        <v>0</v>
      </c>
      <c r="G47" s="2"/>
      <c r="H47" s="6">
        <v>2576.44</v>
      </c>
      <c r="I47" s="2"/>
      <c r="J47" s="7">
        <f t="shared" si="23"/>
        <v>7.5116739058167818E-3</v>
      </c>
      <c r="K47" s="2"/>
      <c r="L47" s="6">
        <f t="shared" si="24"/>
        <v>-2576.44</v>
      </c>
      <c r="M47" s="2"/>
      <c r="N47" s="7">
        <f t="shared" si="25"/>
        <v>-1</v>
      </c>
      <c r="O47" s="11"/>
      <c r="P47" s="6">
        <v>10836.89</v>
      </c>
      <c r="Q47" s="2"/>
      <c r="R47" s="7">
        <f t="shared" si="26"/>
        <v>4.5830066739649582E-3</v>
      </c>
      <c r="S47" s="2"/>
      <c r="T47" s="6">
        <v>22797.96</v>
      </c>
      <c r="U47" s="2"/>
      <c r="V47" s="7">
        <f t="shared" si="27"/>
        <v>8.2231999544047692E-3</v>
      </c>
      <c r="W47" s="2"/>
      <c r="X47" s="6">
        <f t="shared" si="28"/>
        <v>-11961.07</v>
      </c>
      <c r="Y47" s="2"/>
      <c r="Z47" s="7">
        <f t="shared" si="29"/>
        <v>-0.52465527617383312</v>
      </c>
    </row>
    <row r="48" spans="1:26" s="25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56" si="30">IF(D$12=0,0,D48/D$12)</f>
        <v>0</v>
      </c>
      <c r="G48" s="1"/>
      <c r="H48" s="1">
        <f>SUM(OSRRefH22_2x_0)</f>
        <v>442.83</v>
      </c>
      <c r="I48" s="1"/>
      <c r="J48" s="5">
        <f t="shared" ref="J48:J56" si="31">IF(H$12=0,0,H48/H$12)</f>
        <v>1.291081707981884E-3</v>
      </c>
      <c r="K48" s="1"/>
      <c r="L48" s="1">
        <f t="shared" ref="L48:L56" si="32">+D48-H48</f>
        <v>-442.83</v>
      </c>
      <c r="M48" s="1"/>
      <c r="N48" s="5">
        <f t="shared" ref="N48:N56" si="33">IF(H48=0,0,L48/H48)</f>
        <v>-1</v>
      </c>
      <c r="O48" s="13"/>
      <c r="P48" s="1">
        <f>SUM(OSRRefP22_2x_0)</f>
        <v>3607.19</v>
      </c>
      <c r="Q48" s="1"/>
      <c r="R48" s="5">
        <f t="shared" ref="R48:R56" si="34">IF(P$12=0,0,P48/P$12)</f>
        <v>1.5255092415129856E-3</v>
      </c>
      <c r="S48" s="1"/>
      <c r="T48" s="1">
        <f>SUM(OSRRefT22_2x_0)</f>
        <v>4580.1899999999996</v>
      </c>
      <c r="U48" s="1"/>
      <c r="V48" s="5">
        <f t="shared" ref="V48:V56" si="35">IF(T$12=0,0,T48/T$12)</f>
        <v>1.6520696676003105E-3</v>
      </c>
      <c r="W48" s="1"/>
      <c r="X48" s="1">
        <f t="shared" ref="X48:X56" si="36">+P48-T48</f>
        <v>-972.99999999999955</v>
      </c>
      <c r="Y48" s="1"/>
      <c r="Z48" s="5">
        <f t="shared" ref="Z48:Z56" si="37">IF(T48=0,0,X48/T48)</f>
        <v>-0.21243660197502715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30"/>
        <v>0</v>
      </c>
      <c r="G49" s="2"/>
      <c r="H49" s="6">
        <v>442.83</v>
      </c>
      <c r="I49" s="2"/>
      <c r="J49" s="7">
        <f t="shared" si="31"/>
        <v>1.291081707981884E-3</v>
      </c>
      <c r="K49" s="2"/>
      <c r="L49" s="6">
        <f t="shared" si="32"/>
        <v>-442.83</v>
      </c>
      <c r="M49" s="2"/>
      <c r="N49" s="7">
        <f t="shared" si="33"/>
        <v>-1</v>
      </c>
      <c r="O49" s="11"/>
      <c r="P49" s="6">
        <v>3607.19</v>
      </c>
      <c r="Q49" s="2"/>
      <c r="R49" s="7">
        <f t="shared" si="34"/>
        <v>1.5255092415129856E-3</v>
      </c>
      <c r="S49" s="2"/>
      <c r="T49" s="6">
        <v>4580.1899999999996</v>
      </c>
      <c r="U49" s="2"/>
      <c r="V49" s="7">
        <f t="shared" si="35"/>
        <v>1.6520696676003105E-3</v>
      </c>
      <c r="W49" s="2"/>
      <c r="X49" s="6">
        <f t="shared" si="36"/>
        <v>-972.99999999999955</v>
      </c>
      <c r="Y49" s="2"/>
      <c r="Z49" s="7">
        <f t="shared" si="37"/>
        <v>-0.21243660197502715</v>
      </c>
    </row>
    <row r="50" spans="1:26" s="25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30"/>
        <v>0</v>
      </c>
      <c r="G50" s="1"/>
      <c r="H50" s="1">
        <f>SUM(OSRRefH22_3x_0)</f>
        <v>-196.77</v>
      </c>
      <c r="I50" s="1"/>
      <c r="J50" s="5">
        <f t="shared" si="31"/>
        <v>-5.7368775304201462E-4</v>
      </c>
      <c r="K50" s="1"/>
      <c r="L50" s="1">
        <f t="shared" si="32"/>
        <v>196.77</v>
      </c>
      <c r="M50" s="1"/>
      <c r="N50" s="5">
        <f t="shared" si="33"/>
        <v>-1</v>
      </c>
      <c r="O50" s="13"/>
      <c r="P50" s="1">
        <f>SUM(OSRRefP22_3x_0)</f>
        <v>-428.92</v>
      </c>
      <c r="Q50" s="1"/>
      <c r="R50" s="5">
        <f t="shared" si="34"/>
        <v>-1.813936676110074E-4</v>
      </c>
      <c r="S50" s="1"/>
      <c r="T50" s="1">
        <f>SUM(OSRRefT22_3x_0)</f>
        <v>-1015.84</v>
      </c>
      <c r="U50" s="1"/>
      <c r="V50" s="5">
        <f t="shared" si="35"/>
        <v>-3.6641240890336417E-4</v>
      </c>
      <c r="W50" s="1"/>
      <c r="X50" s="1">
        <f t="shared" si="36"/>
        <v>586.92000000000007</v>
      </c>
      <c r="Y50" s="1"/>
      <c r="Z50" s="5">
        <f t="shared" si="37"/>
        <v>-0.57776815246495516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30"/>
        <v>0</v>
      </c>
      <c r="G51" s="2"/>
      <c r="H51" s="6">
        <v>-196.77</v>
      </c>
      <c r="I51" s="2"/>
      <c r="J51" s="7">
        <f t="shared" si="31"/>
        <v>-5.7368775304201462E-4</v>
      </c>
      <c r="K51" s="2"/>
      <c r="L51" s="6">
        <f t="shared" si="32"/>
        <v>196.77</v>
      </c>
      <c r="M51" s="2"/>
      <c r="N51" s="7">
        <f t="shared" si="33"/>
        <v>-1</v>
      </c>
      <c r="O51" s="11"/>
      <c r="P51" s="6">
        <v>-428.92</v>
      </c>
      <c r="Q51" s="2"/>
      <c r="R51" s="7">
        <f t="shared" si="34"/>
        <v>-1.813936676110074E-4</v>
      </c>
      <c r="S51" s="2"/>
      <c r="T51" s="6">
        <v>-1015.84</v>
      </c>
      <c r="U51" s="2"/>
      <c r="V51" s="7">
        <f t="shared" si="35"/>
        <v>-3.6641240890336417E-4</v>
      </c>
      <c r="W51" s="2"/>
      <c r="X51" s="6">
        <f t="shared" si="36"/>
        <v>586.92000000000007</v>
      </c>
      <c r="Y51" s="2"/>
      <c r="Z51" s="7">
        <f t="shared" si="37"/>
        <v>-0.57776815246495516</v>
      </c>
    </row>
    <row r="52" spans="1:26" s="25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60</v>
      </c>
      <c r="E52" s="1"/>
      <c r="F52" s="5">
        <f t="shared" si="30"/>
        <v>1.324210990951225</v>
      </c>
      <c r="G52" s="1"/>
      <c r="H52" s="1">
        <f>SUM(OSRRefH22_4x_0)</f>
        <v>7850.46</v>
      </c>
      <c r="I52" s="1"/>
      <c r="J52" s="5">
        <f t="shared" si="31"/>
        <v>2.2888208353642393E-2</v>
      </c>
      <c r="K52" s="1"/>
      <c r="L52" s="1">
        <f t="shared" si="32"/>
        <v>-7790.46</v>
      </c>
      <c r="M52" s="1"/>
      <c r="N52" s="5">
        <f t="shared" si="33"/>
        <v>-0.99235713576019746</v>
      </c>
      <c r="O52" s="13"/>
      <c r="P52" s="1">
        <f>SUM(OSRRefP22_4x_0)</f>
        <v>89160.63</v>
      </c>
      <c r="Q52" s="1"/>
      <c r="R52" s="5">
        <f t="shared" si="34"/>
        <v>3.7706737112300701E-2</v>
      </c>
      <c r="S52" s="1"/>
      <c r="T52" s="1">
        <f>SUM(OSRRefT22_4x_0)</f>
        <v>89384.84</v>
      </c>
      <c r="U52" s="1"/>
      <c r="V52" s="5">
        <f t="shared" si="35"/>
        <v>3.2241016837141458E-2</v>
      </c>
      <c r="W52" s="1"/>
      <c r="X52" s="1">
        <f t="shared" si="36"/>
        <v>-224.20999999999185</v>
      </c>
      <c r="Y52" s="1"/>
      <c r="Z52" s="5">
        <f t="shared" si="37"/>
        <v>-2.5083671906778807E-3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60</v>
      </c>
      <c r="E53" s="2"/>
      <c r="F53" s="7">
        <f t="shared" si="30"/>
        <v>1.324210990951225</v>
      </c>
      <c r="G53" s="2"/>
      <c r="H53" s="6">
        <v>7850.46</v>
      </c>
      <c r="I53" s="2"/>
      <c r="J53" s="7">
        <f t="shared" si="31"/>
        <v>2.2888208353642393E-2</v>
      </c>
      <c r="K53" s="2"/>
      <c r="L53" s="6">
        <f t="shared" si="32"/>
        <v>-7790.46</v>
      </c>
      <c r="M53" s="2"/>
      <c r="N53" s="7">
        <f t="shared" si="33"/>
        <v>-0.99235713576019746</v>
      </c>
      <c r="O53" s="11"/>
      <c r="P53" s="6">
        <v>89160.63</v>
      </c>
      <c r="Q53" s="2"/>
      <c r="R53" s="7">
        <f t="shared" si="34"/>
        <v>3.7706737112300701E-2</v>
      </c>
      <c r="S53" s="2"/>
      <c r="T53" s="6">
        <v>89384.84</v>
      </c>
      <c r="U53" s="2"/>
      <c r="V53" s="7">
        <f t="shared" si="35"/>
        <v>3.2241016837141458E-2</v>
      </c>
      <c r="W53" s="2"/>
      <c r="X53" s="6">
        <f t="shared" si="36"/>
        <v>-224.20999999999185</v>
      </c>
      <c r="Y53" s="2"/>
      <c r="Z53" s="7">
        <f t="shared" si="37"/>
        <v>-2.5083671906778807E-3</v>
      </c>
    </row>
    <row r="54" spans="1:26" s="25" customFormat="1" outlineLevel="1" collapsed="1" x14ac:dyDescent="0.25">
      <c r="A54" s="26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8990.73</v>
      </c>
      <c r="E54" s="1"/>
      <c r="F54" s="5">
        <f t="shared" si="30"/>
        <v>198.42705804458177</v>
      </c>
      <c r="G54" s="1"/>
      <c r="H54" s="1">
        <f>SUM(OSRRefH22_5x_0)</f>
        <v>8655.32</v>
      </c>
      <c r="I54" s="1"/>
      <c r="J54" s="5">
        <f t="shared" si="31"/>
        <v>2.5234797391165367E-2</v>
      </c>
      <c r="K54" s="1"/>
      <c r="L54" s="1">
        <f t="shared" si="32"/>
        <v>335.40999999999985</v>
      </c>
      <c r="M54" s="1"/>
      <c r="N54" s="5">
        <f t="shared" si="33"/>
        <v>3.8751889011613652E-2</v>
      </c>
      <c r="O54" s="13"/>
      <c r="P54" s="1">
        <f>SUM(OSRRefP22_5x_0)</f>
        <v>85728.23000000001</v>
      </c>
      <c r="Q54" s="1"/>
      <c r="R54" s="5">
        <f t="shared" si="34"/>
        <v>3.6255147947169622E-2</v>
      </c>
      <c r="S54" s="1"/>
      <c r="T54" s="1">
        <f>SUM(OSRRefT22_5x_0)</f>
        <v>84244.08</v>
      </c>
      <c r="U54" s="1"/>
      <c r="V54" s="5">
        <f t="shared" si="35"/>
        <v>3.0386750166017999E-2</v>
      </c>
      <c r="W54" s="1"/>
      <c r="X54" s="1">
        <f t="shared" si="36"/>
        <v>1484.1500000000087</v>
      </c>
      <c r="Y54" s="1"/>
      <c r="Z54" s="5">
        <f t="shared" si="37"/>
        <v>1.7617261652094825E-2</v>
      </c>
    </row>
    <row r="55" spans="1:26" s="24" customFormat="1" hidden="1" outlineLevel="2" x14ac:dyDescent="0.25">
      <c r="A55" s="27"/>
      <c r="B55" s="11" t="str">
        <f>CONCATENATE("          ", "6321", " - ", "BUILDING DEPRECIATION")</f>
        <v xml:space="preserve">          6321 - BUILDING DEPRECIATION</v>
      </c>
      <c r="C55" s="11"/>
      <c r="D55" s="6">
        <v>5080.51</v>
      </c>
      <c r="E55" s="2"/>
      <c r="F55" s="7">
        <f t="shared" si="30"/>
        <v>112.12778636062681</v>
      </c>
      <c r="G55" s="2"/>
      <c r="H55" s="6">
        <v>5080.51</v>
      </c>
      <c r="I55" s="2"/>
      <c r="J55" s="7">
        <f t="shared" si="31"/>
        <v>1.4812351304606829E-2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>
        <v>50805.100000000006</v>
      </c>
      <c r="Q55" s="2"/>
      <c r="R55" s="7">
        <f t="shared" si="34"/>
        <v>2.1485879470166915E-2</v>
      </c>
      <c r="S55" s="2"/>
      <c r="T55" s="6">
        <v>50805.100000000006</v>
      </c>
      <c r="U55" s="2"/>
      <c r="V55" s="7">
        <f t="shared" si="35"/>
        <v>1.8325345601252471E-2</v>
      </c>
      <c r="W55" s="2"/>
      <c r="X55" s="6">
        <f t="shared" si="36"/>
        <v>0</v>
      </c>
      <c r="Y55" s="2"/>
      <c r="Z55" s="7">
        <f t="shared" si="37"/>
        <v>0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3910.22</v>
      </c>
      <c r="E56" s="2"/>
      <c r="F56" s="7">
        <f t="shared" si="30"/>
        <v>86.299271683954984</v>
      </c>
      <c r="G56" s="2"/>
      <c r="H56" s="6">
        <v>3574.81</v>
      </c>
      <c r="I56" s="2"/>
      <c r="J56" s="7">
        <f t="shared" si="31"/>
        <v>1.0422446086558542E-2</v>
      </c>
      <c r="K56" s="2"/>
      <c r="L56" s="6">
        <f t="shared" si="32"/>
        <v>335.40999999999985</v>
      </c>
      <c r="M56" s="2"/>
      <c r="N56" s="7">
        <f t="shared" si="33"/>
        <v>9.38259655757928E-2</v>
      </c>
      <c r="O56" s="11"/>
      <c r="P56" s="6">
        <v>34923.129999999997</v>
      </c>
      <c r="Q56" s="2"/>
      <c r="R56" s="7">
        <f t="shared" si="34"/>
        <v>1.4769268477002705E-2</v>
      </c>
      <c r="S56" s="2"/>
      <c r="T56" s="6">
        <v>33438.979999999996</v>
      </c>
      <c r="U56" s="2"/>
      <c r="V56" s="7">
        <f t="shared" si="35"/>
        <v>1.2061404564765529E-2</v>
      </c>
      <c r="W56" s="2"/>
      <c r="X56" s="6">
        <f t="shared" si="36"/>
        <v>1484.1500000000015</v>
      </c>
      <c r="Y56" s="2"/>
      <c r="Z56" s="7">
        <f t="shared" si="37"/>
        <v>4.4383829889548115E-2</v>
      </c>
    </row>
    <row r="57" spans="1:26" s="25" customFormat="1" outlineLevel="1" collapsed="1" x14ac:dyDescent="0.25">
      <c r="A57" s="26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0</v>
      </c>
      <c r="E57" s="1"/>
      <c r="F57" s="5">
        <f t="shared" ref="F57:F65" si="38">IF(D$12=0,0,D57/D$12)</f>
        <v>0</v>
      </c>
      <c r="G57" s="1"/>
      <c r="H57" s="1">
        <f>SUM(OSRRefH22_6x_0)</f>
        <v>9.9</v>
      </c>
      <c r="I57" s="1"/>
      <c r="J57" s="5">
        <f t="shared" ref="J57:J65" si="39">IF(H$12=0,0,H57/H$12)</f>
        <v>2.8863692407968412E-5</v>
      </c>
      <c r="K57" s="1"/>
      <c r="L57" s="1">
        <f t="shared" ref="L57:L65" si="40">+D57-H57</f>
        <v>-9.9</v>
      </c>
      <c r="M57" s="1"/>
      <c r="N57" s="5">
        <f t="shared" ref="N57:N65" si="41">IF(H57=0,0,L57/H57)</f>
        <v>-1</v>
      </c>
      <c r="O57" s="13"/>
      <c r="P57" s="1">
        <f>SUM(OSRRefP22_6x_0)</f>
        <v>125.87</v>
      </c>
      <c r="Q57" s="1"/>
      <c r="R57" s="5">
        <f t="shared" ref="R57:R65" si="42">IF(P$12=0,0,P57/P$12)</f>
        <v>5.3231420643004531E-5</v>
      </c>
      <c r="S57" s="1"/>
      <c r="T57" s="1">
        <f>SUM(OSRRefT22_6x_0)</f>
        <v>128.21</v>
      </c>
      <c r="U57" s="1"/>
      <c r="V57" s="5">
        <f t="shared" ref="V57:V65" si="43">IF(T$12=0,0,T57/T$12)</f>
        <v>4.6245210806328084E-5</v>
      </c>
      <c r="W57" s="1"/>
      <c r="X57" s="1">
        <f t="shared" ref="X57:X65" si="44">+P57-T57</f>
        <v>-2.3400000000000034</v>
      </c>
      <c r="Y57" s="1"/>
      <c r="Z57" s="5">
        <f t="shared" ref="Z57:Z65" si="45">IF(T57=0,0,X57/T57)</f>
        <v>-1.8251306450354911E-2</v>
      </c>
    </row>
    <row r="58" spans="1:26" s="24" customFormat="1" hidden="1" outlineLevel="2" x14ac:dyDescent="0.25">
      <c r="A58" s="27"/>
      <c r="B58" s="11" t="str">
        <f>CONCATENATE("          ", "6382", " - ", "DISCOUNTS/MARK DOWNS")</f>
        <v xml:space="preserve">          6382 - DISCOUNTS/MARK DOWNS</v>
      </c>
      <c r="C58" s="11"/>
      <c r="D58" s="6"/>
      <c r="E58" s="2"/>
      <c r="F58" s="7">
        <f t="shared" si="38"/>
        <v>0</v>
      </c>
      <c r="G58" s="2"/>
      <c r="H58" s="6">
        <v>9.9</v>
      </c>
      <c r="I58" s="2"/>
      <c r="J58" s="7">
        <f t="shared" si="39"/>
        <v>2.8863692407968412E-5</v>
      </c>
      <c r="K58" s="2"/>
      <c r="L58" s="6">
        <f t="shared" si="40"/>
        <v>-9.9</v>
      </c>
      <c r="M58" s="2"/>
      <c r="N58" s="7">
        <f t="shared" si="41"/>
        <v>-1</v>
      </c>
      <c r="O58" s="11"/>
      <c r="P58" s="6">
        <v>125.87</v>
      </c>
      <c r="Q58" s="2"/>
      <c r="R58" s="7">
        <f t="shared" si="42"/>
        <v>5.3231420643004531E-5</v>
      </c>
      <c r="S58" s="2"/>
      <c r="T58" s="6">
        <v>128.21</v>
      </c>
      <c r="U58" s="2"/>
      <c r="V58" s="7">
        <f t="shared" si="43"/>
        <v>4.6245210806328084E-5</v>
      </c>
      <c r="W58" s="2"/>
      <c r="X58" s="6">
        <f t="shared" si="44"/>
        <v>-2.3400000000000034</v>
      </c>
      <c r="Y58" s="2"/>
      <c r="Z58" s="7">
        <f t="shared" si="45"/>
        <v>-1.8251306450354911E-2</v>
      </c>
    </row>
    <row r="59" spans="1:26" s="25" customFormat="1" outlineLevel="1" collapsed="1" x14ac:dyDescent="0.25">
      <c r="A59" s="26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0</v>
      </c>
      <c r="E59" s="1"/>
      <c r="F59" s="5">
        <f t="shared" si="38"/>
        <v>0</v>
      </c>
      <c r="G59" s="1"/>
      <c r="H59" s="1">
        <f>SUM(OSRRefH22_7x_0)</f>
        <v>20.39</v>
      </c>
      <c r="I59" s="1"/>
      <c r="J59" s="5">
        <f t="shared" si="39"/>
        <v>5.9447544262472319E-5</v>
      </c>
      <c r="K59" s="1"/>
      <c r="L59" s="1">
        <f t="shared" si="40"/>
        <v>-20.39</v>
      </c>
      <c r="M59" s="1"/>
      <c r="N59" s="5">
        <f t="shared" si="41"/>
        <v>-1</v>
      </c>
      <c r="O59" s="13"/>
      <c r="P59" s="1">
        <f>SUM(OSRRefP22_7x_0)</f>
        <v>163.84</v>
      </c>
      <c r="Q59" s="1"/>
      <c r="R59" s="5">
        <f t="shared" si="42"/>
        <v>6.9289234592435545E-5</v>
      </c>
      <c r="S59" s="1"/>
      <c r="T59" s="1">
        <f>SUM(OSRRefT22_7x_0)</f>
        <v>321.33999999999997</v>
      </c>
      <c r="U59" s="1"/>
      <c r="V59" s="5">
        <f t="shared" si="43"/>
        <v>1.1590699665006993E-4</v>
      </c>
      <c r="W59" s="1"/>
      <c r="X59" s="1">
        <f t="shared" si="44"/>
        <v>-157.49999999999997</v>
      </c>
      <c r="Y59" s="1"/>
      <c r="Z59" s="5">
        <f t="shared" si="45"/>
        <v>-0.49013505943860081</v>
      </c>
    </row>
    <row r="60" spans="1:26" s="24" customFormat="1" hidden="1" outlineLevel="2" x14ac:dyDescent="0.25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8"/>
        <v>0</v>
      </c>
      <c r="G60" s="2"/>
      <c r="H60" s="6">
        <v>20.39</v>
      </c>
      <c r="I60" s="2"/>
      <c r="J60" s="7">
        <f t="shared" si="39"/>
        <v>5.9447544262472319E-5</v>
      </c>
      <c r="K60" s="2"/>
      <c r="L60" s="6">
        <f t="shared" si="40"/>
        <v>-20.39</v>
      </c>
      <c r="M60" s="2"/>
      <c r="N60" s="7">
        <f t="shared" si="41"/>
        <v>-1</v>
      </c>
      <c r="O60" s="11"/>
      <c r="P60" s="6">
        <v>163.84</v>
      </c>
      <c r="Q60" s="2"/>
      <c r="R60" s="7">
        <f t="shared" si="42"/>
        <v>6.9289234592435545E-5</v>
      </c>
      <c r="S60" s="2"/>
      <c r="T60" s="6">
        <v>321.33999999999997</v>
      </c>
      <c r="U60" s="2"/>
      <c r="V60" s="7">
        <f t="shared" si="43"/>
        <v>1.1590699665006993E-4</v>
      </c>
      <c r="W60" s="2"/>
      <c r="X60" s="6">
        <f t="shared" si="44"/>
        <v>-157.49999999999997</v>
      </c>
      <c r="Y60" s="2"/>
      <c r="Z60" s="7">
        <f t="shared" si="45"/>
        <v>-0.49013505943860081</v>
      </c>
    </row>
    <row r="61" spans="1:26" s="25" customFormat="1" outlineLevel="1" collapsed="1" x14ac:dyDescent="0.25">
      <c r="A61" s="26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SUM(OSRRefD22_8x_0)</f>
        <v>36.270000000000003</v>
      </c>
      <c r="E61" s="1"/>
      <c r="F61" s="5">
        <f t="shared" si="38"/>
        <v>0.80048554403001559</v>
      </c>
      <c r="G61" s="1"/>
      <c r="H61" s="1">
        <f>SUM(OSRRefH22_8x_0)</f>
        <v>186.75</v>
      </c>
      <c r="I61" s="1"/>
      <c r="J61" s="5">
        <f t="shared" si="39"/>
        <v>5.4447419769576772E-4</v>
      </c>
      <c r="K61" s="1"/>
      <c r="L61" s="1">
        <f t="shared" si="40"/>
        <v>-150.47999999999999</v>
      </c>
      <c r="M61" s="1"/>
      <c r="N61" s="5">
        <f t="shared" si="41"/>
        <v>-0.80578313253012046</v>
      </c>
      <c r="O61" s="13"/>
      <c r="P61" s="1">
        <f>SUM(OSRRefP22_8x_0)</f>
        <v>949.85</v>
      </c>
      <c r="Q61" s="1"/>
      <c r="R61" s="5">
        <f t="shared" si="42"/>
        <v>4.0169909349136292E-4</v>
      </c>
      <c r="S61" s="1"/>
      <c r="T61" s="1">
        <f>SUM(OSRRefT22_8x_0)</f>
        <v>1195.42</v>
      </c>
      <c r="U61" s="1"/>
      <c r="V61" s="5">
        <f t="shared" si="43"/>
        <v>4.3118672414086827E-4</v>
      </c>
      <c r="W61" s="1"/>
      <c r="X61" s="1">
        <f t="shared" si="44"/>
        <v>-245.57000000000005</v>
      </c>
      <c r="Y61" s="1"/>
      <c r="Z61" s="5">
        <f t="shared" si="45"/>
        <v>-0.20542570811932212</v>
      </c>
    </row>
    <row r="62" spans="1:26" s="24" customFormat="1" hidden="1" outlineLevel="2" x14ac:dyDescent="0.25">
      <c r="A62" s="27"/>
      <c r="B62" s="11" t="str">
        <f>CONCATENATE("          ", "6351", " - ", "EQUIPMENT RENTAL")</f>
        <v xml:space="preserve">          6351 - EQUIPMENT RENTAL</v>
      </c>
      <c r="C62" s="11"/>
      <c r="D62" s="6">
        <v>36.270000000000003</v>
      </c>
      <c r="E62" s="2"/>
      <c r="F62" s="7">
        <f t="shared" si="38"/>
        <v>0.80048554403001559</v>
      </c>
      <c r="G62" s="2"/>
      <c r="H62" s="6">
        <v>186.75</v>
      </c>
      <c r="I62" s="2"/>
      <c r="J62" s="7">
        <f t="shared" si="39"/>
        <v>5.4447419769576772E-4</v>
      </c>
      <c r="K62" s="2"/>
      <c r="L62" s="6">
        <f t="shared" si="40"/>
        <v>-150.47999999999999</v>
      </c>
      <c r="M62" s="2"/>
      <c r="N62" s="7">
        <f t="shared" si="41"/>
        <v>-0.80578313253012046</v>
      </c>
      <c r="O62" s="11"/>
      <c r="P62" s="6">
        <v>949.85</v>
      </c>
      <c r="Q62" s="2"/>
      <c r="R62" s="7">
        <f t="shared" si="42"/>
        <v>4.0169909349136292E-4</v>
      </c>
      <c r="S62" s="2"/>
      <c r="T62" s="6">
        <v>1195.42</v>
      </c>
      <c r="U62" s="2"/>
      <c r="V62" s="7">
        <f t="shared" si="43"/>
        <v>4.3118672414086827E-4</v>
      </c>
      <c r="W62" s="2"/>
      <c r="X62" s="6">
        <f t="shared" si="44"/>
        <v>-245.57000000000005</v>
      </c>
      <c r="Y62" s="2"/>
      <c r="Z62" s="7">
        <f t="shared" si="45"/>
        <v>-0.20542570811932212</v>
      </c>
    </row>
    <row r="63" spans="1:26" s="25" customFormat="1" outlineLevel="1" collapsed="1" x14ac:dyDescent="0.25">
      <c r="A63" s="26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SUM(OSRRefD22_9x_0)</f>
        <v>20.010000000000002</v>
      </c>
      <c r="E63" s="1"/>
      <c r="F63" s="5">
        <f t="shared" si="38"/>
        <v>0.44162436548223361</v>
      </c>
      <c r="G63" s="1"/>
      <c r="H63" s="1">
        <f>SUM(OSRRefH22_9x_0)</f>
        <v>34.24</v>
      </c>
      <c r="I63" s="1"/>
      <c r="J63" s="5">
        <f t="shared" si="39"/>
        <v>9.9827558388771559E-5</v>
      </c>
      <c r="K63" s="1"/>
      <c r="L63" s="1">
        <f t="shared" si="40"/>
        <v>-14.23</v>
      </c>
      <c r="M63" s="1"/>
      <c r="N63" s="5">
        <f t="shared" si="41"/>
        <v>-0.41559579439252337</v>
      </c>
      <c r="O63" s="13"/>
      <c r="P63" s="1">
        <f>SUM(OSRRefP22_9x_0)</f>
        <v>331.18</v>
      </c>
      <c r="Q63" s="1"/>
      <c r="R63" s="5">
        <f t="shared" si="42"/>
        <v>1.4005864692579837E-4</v>
      </c>
      <c r="S63" s="1"/>
      <c r="T63" s="1">
        <f>SUM(OSRRefT22_9x_0)</f>
        <v>501.48</v>
      </c>
      <c r="U63" s="1"/>
      <c r="V63" s="5">
        <f t="shared" si="43"/>
        <v>1.8088330329270268E-4</v>
      </c>
      <c r="W63" s="1"/>
      <c r="X63" s="1">
        <f t="shared" si="44"/>
        <v>-170.3</v>
      </c>
      <c r="Y63" s="1"/>
      <c r="Z63" s="5">
        <f t="shared" si="45"/>
        <v>-0.33959479939379439</v>
      </c>
    </row>
    <row r="64" spans="1:26" s="24" customFormat="1" hidden="1" outlineLevel="2" x14ac:dyDescent="0.25">
      <c r="A64" s="27"/>
      <c r="B64" s="11" t="str">
        <f>CONCATENATE("          ", "6305", " - ", "FREIGHT OUT")</f>
        <v xml:space="preserve">          6305 - FREIGHT OUT</v>
      </c>
      <c r="C64" s="11"/>
      <c r="D64" s="6">
        <v>20.010000000000002</v>
      </c>
      <c r="E64" s="2"/>
      <c r="F64" s="7">
        <f t="shared" si="38"/>
        <v>0.44162436548223361</v>
      </c>
      <c r="G64" s="2"/>
      <c r="H64" s="6">
        <v>34.24</v>
      </c>
      <c r="I64" s="2"/>
      <c r="J64" s="7">
        <f t="shared" si="39"/>
        <v>9.9827558388771559E-5</v>
      </c>
      <c r="K64" s="2"/>
      <c r="L64" s="6">
        <f t="shared" si="40"/>
        <v>-14.23</v>
      </c>
      <c r="M64" s="2"/>
      <c r="N64" s="7">
        <f t="shared" si="41"/>
        <v>-0.41559579439252337</v>
      </c>
      <c r="O64" s="11"/>
      <c r="P64" s="6">
        <v>331.18</v>
      </c>
      <c r="Q64" s="2"/>
      <c r="R64" s="7">
        <f t="shared" si="42"/>
        <v>1.4005864692579837E-4</v>
      </c>
      <c r="S64" s="2"/>
      <c r="T64" s="6">
        <v>509.41</v>
      </c>
      <c r="U64" s="2"/>
      <c r="V64" s="7">
        <f t="shared" si="43"/>
        <v>1.837436458688994E-4</v>
      </c>
      <c r="W64" s="2"/>
      <c r="X64" s="6">
        <f t="shared" si="44"/>
        <v>-178.23000000000002</v>
      </c>
      <c r="Y64" s="2"/>
      <c r="Z64" s="7">
        <f t="shared" si="45"/>
        <v>-0.34987534598849651</v>
      </c>
    </row>
    <row r="65" spans="1:26" s="24" customFormat="1" hidden="1" outlineLevel="2" x14ac:dyDescent="0.25">
      <c r="A65" s="27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38"/>
        <v>0</v>
      </c>
      <c r="G65" s="2"/>
      <c r="H65" s="6"/>
      <c r="I65" s="2"/>
      <c r="J65" s="7">
        <f t="shared" si="39"/>
        <v>0</v>
      </c>
      <c r="K65" s="2"/>
      <c r="L65" s="6">
        <f t="shared" si="40"/>
        <v>0</v>
      </c>
      <c r="M65" s="2"/>
      <c r="N65" s="7">
        <f t="shared" si="41"/>
        <v>0</v>
      </c>
      <c r="O65" s="11"/>
      <c r="P65" s="6"/>
      <c r="Q65" s="2"/>
      <c r="R65" s="7">
        <f t="shared" si="42"/>
        <v>0</v>
      </c>
      <c r="S65" s="2"/>
      <c r="T65" s="6">
        <v>-7.93</v>
      </c>
      <c r="U65" s="2"/>
      <c r="V65" s="7">
        <f t="shared" si="43"/>
        <v>-2.8603425761967219E-6</v>
      </c>
      <c r="W65" s="2"/>
      <c r="X65" s="6">
        <f t="shared" si="44"/>
        <v>7.93</v>
      </c>
      <c r="Y65" s="2"/>
      <c r="Z65" s="7">
        <f t="shared" si="45"/>
        <v>-1</v>
      </c>
    </row>
    <row r="66" spans="1:26" s="25" customFormat="1" outlineLevel="1" collapsed="1" x14ac:dyDescent="0.25">
      <c r="A66" s="26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SUM(OSRRefD22_10x_0)</f>
        <v>0</v>
      </c>
      <c r="E66" s="1"/>
      <c r="F66" s="5">
        <f t="shared" ref="F66:F77" si="46">IF(D$12=0,0,D66/D$12)</f>
        <v>0</v>
      </c>
      <c r="G66" s="1"/>
      <c r="H66" s="1">
        <f>SUM(OSRRefH22_10x_0)</f>
        <v>138.55000000000001</v>
      </c>
      <c r="I66" s="1"/>
      <c r="J66" s="5">
        <f t="shared" ref="J66:J77" si="47">IF(H$12=0,0,H66/H$12)</f>
        <v>4.0394591748727513E-4</v>
      </c>
      <c r="K66" s="1"/>
      <c r="L66" s="1">
        <f t="shared" ref="L66:L77" si="48">+D66-H66</f>
        <v>-138.55000000000001</v>
      </c>
      <c r="M66" s="1"/>
      <c r="N66" s="5">
        <f t="shared" ref="N66:N77" si="49">IF(H66=0,0,L66/H66)</f>
        <v>-1</v>
      </c>
      <c r="O66" s="13"/>
      <c r="P66" s="1">
        <f>SUM(OSRRefP22_10x_0)</f>
        <v>10781.14</v>
      </c>
      <c r="Q66" s="1"/>
      <c r="R66" s="5">
        <f t="shared" ref="R66:R77" si="50">IF(P$12=0,0,P66/P$12)</f>
        <v>4.559429557091617E-3</v>
      </c>
      <c r="S66" s="1"/>
      <c r="T66" s="1">
        <f>SUM(OSRRefT22_10x_0)</f>
        <v>7928.36</v>
      </c>
      <c r="U66" s="1"/>
      <c r="V66" s="5">
        <f t="shared" ref="V66:V77" si="51">IF(T$12=0,0,T66/T$12)</f>
        <v>2.859751029938845E-3</v>
      </c>
      <c r="W66" s="1"/>
      <c r="X66" s="1">
        <f t="shared" ref="X66:X77" si="52">+P66-T66</f>
        <v>2852.7799999999997</v>
      </c>
      <c r="Y66" s="1"/>
      <c r="Z66" s="5">
        <f t="shared" ref="Z66:Z77" si="53">IF(T66=0,0,X66/T66)</f>
        <v>0.35981968528169761</v>
      </c>
    </row>
    <row r="67" spans="1:26" s="24" customFormat="1" hidden="1" outlineLevel="2" x14ac:dyDescent="0.25">
      <c r="A67" s="27"/>
      <c r="B67" s="11" t="str">
        <f>CONCATENATE("          ", "6279", " - ", "GENERAL EXPENSE")</f>
        <v xml:space="preserve">          6279 - GENERAL EXPENSE</v>
      </c>
      <c r="C67" s="11"/>
      <c r="D67" s="6"/>
      <c r="E67" s="2"/>
      <c r="F67" s="7">
        <f t="shared" si="46"/>
        <v>0</v>
      </c>
      <c r="G67" s="2"/>
      <c r="H67" s="6">
        <v>138.55000000000001</v>
      </c>
      <c r="I67" s="2"/>
      <c r="J67" s="7">
        <f t="shared" si="47"/>
        <v>4.0394591748727513E-4</v>
      </c>
      <c r="K67" s="2"/>
      <c r="L67" s="6">
        <f t="shared" si="48"/>
        <v>-138.55000000000001</v>
      </c>
      <c r="M67" s="2"/>
      <c r="N67" s="7">
        <f t="shared" si="49"/>
        <v>-1</v>
      </c>
      <c r="O67" s="11"/>
      <c r="P67" s="6">
        <v>10781.14</v>
      </c>
      <c r="Q67" s="2"/>
      <c r="R67" s="7">
        <f t="shared" si="50"/>
        <v>4.559429557091617E-3</v>
      </c>
      <c r="S67" s="2"/>
      <c r="T67" s="6">
        <v>7928.36</v>
      </c>
      <c r="U67" s="2"/>
      <c r="V67" s="7">
        <f t="shared" si="51"/>
        <v>2.859751029938845E-3</v>
      </c>
      <c r="W67" s="2"/>
      <c r="X67" s="6">
        <f t="shared" si="52"/>
        <v>2852.7799999999997</v>
      </c>
      <c r="Y67" s="2"/>
      <c r="Z67" s="7">
        <f t="shared" si="53"/>
        <v>0.35981968528169761</v>
      </c>
    </row>
    <row r="68" spans="1:26" s="25" customFormat="1" outlineLevel="1" collapsed="1" x14ac:dyDescent="0.25">
      <c r="A68" s="26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SUM(OSRRefD22_11x_0)</f>
        <v>243.54</v>
      </c>
      <c r="E68" s="1"/>
      <c r="F68" s="5">
        <f t="shared" si="46"/>
        <v>5.3749724122710223</v>
      </c>
      <c r="G68" s="1"/>
      <c r="H68" s="1">
        <f>SUM(OSRRefH22_11x_0)</f>
        <v>229.44</v>
      </c>
      <c r="I68" s="1"/>
      <c r="J68" s="5">
        <f t="shared" si="47"/>
        <v>6.6893793798831038E-4</v>
      </c>
      <c r="K68" s="1"/>
      <c r="L68" s="1">
        <f t="shared" si="48"/>
        <v>14.099999999999994</v>
      </c>
      <c r="M68" s="1"/>
      <c r="N68" s="5">
        <f t="shared" si="49"/>
        <v>6.1453974895397466E-2</v>
      </c>
      <c r="O68" s="13"/>
      <c r="P68" s="1">
        <f>SUM(OSRRefP22_11x_0)</f>
        <v>2435.4</v>
      </c>
      <c r="Q68" s="1"/>
      <c r="R68" s="5">
        <f t="shared" si="50"/>
        <v>1.0299499629297946E-3</v>
      </c>
      <c r="S68" s="1"/>
      <c r="T68" s="1">
        <f>SUM(OSRRefT22_11x_0)</f>
        <v>1885.01</v>
      </c>
      <c r="U68" s="1"/>
      <c r="V68" s="5">
        <f t="shared" si="51"/>
        <v>6.7992110460990949E-4</v>
      </c>
      <c r="W68" s="1"/>
      <c r="X68" s="1">
        <f t="shared" si="52"/>
        <v>550.3900000000001</v>
      </c>
      <c r="Y68" s="1"/>
      <c r="Z68" s="5">
        <f t="shared" si="53"/>
        <v>0.29198253590166634</v>
      </c>
    </row>
    <row r="69" spans="1:26" s="24" customFormat="1" hidden="1" outlineLevel="2" x14ac:dyDescent="0.25">
      <c r="A69" s="27"/>
      <c r="B69" s="11" t="str">
        <f>CONCATENATE("          ", "6314", " - ", "LIABILITY INSURANCE")</f>
        <v xml:space="preserve">          6314 - LIABILITY INSURANCE</v>
      </c>
      <c r="C69" s="11"/>
      <c r="D69" s="6">
        <v>243.54</v>
      </c>
      <c r="E69" s="2"/>
      <c r="F69" s="7">
        <f t="shared" si="46"/>
        <v>5.3749724122710223</v>
      </c>
      <c r="G69" s="2"/>
      <c r="H69" s="6">
        <v>229.44</v>
      </c>
      <c r="I69" s="2"/>
      <c r="J69" s="7">
        <f t="shared" si="47"/>
        <v>6.6893793798831038E-4</v>
      </c>
      <c r="K69" s="2"/>
      <c r="L69" s="6">
        <f t="shared" si="48"/>
        <v>14.099999999999994</v>
      </c>
      <c r="M69" s="2"/>
      <c r="N69" s="7">
        <f t="shared" si="49"/>
        <v>6.1453974895397466E-2</v>
      </c>
      <c r="O69" s="11"/>
      <c r="P69" s="6">
        <v>2435.4</v>
      </c>
      <c r="Q69" s="2"/>
      <c r="R69" s="7">
        <f t="shared" si="50"/>
        <v>1.0299499629297946E-3</v>
      </c>
      <c r="S69" s="2"/>
      <c r="T69" s="6">
        <v>1885.01</v>
      </c>
      <c r="U69" s="2"/>
      <c r="V69" s="7">
        <f t="shared" si="51"/>
        <v>6.7992110460990949E-4</v>
      </c>
      <c r="W69" s="2"/>
      <c r="X69" s="6">
        <f t="shared" si="52"/>
        <v>550.3900000000001</v>
      </c>
      <c r="Y69" s="2"/>
      <c r="Z69" s="7">
        <f t="shared" si="53"/>
        <v>0.29198253590166634</v>
      </c>
    </row>
    <row r="70" spans="1:26" s="25" customFormat="1" outlineLevel="1" collapsed="1" x14ac:dyDescent="0.25">
      <c r="A70" s="26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SUM(OSRRefD22_12x_0)</f>
        <v>3124.82</v>
      </c>
      <c r="E70" s="1"/>
      <c r="F70" s="5">
        <f t="shared" si="46"/>
        <v>68.96534981240346</v>
      </c>
      <c r="G70" s="1"/>
      <c r="H70" s="1">
        <f>SUM(OSRRefH22_12x_0)</f>
        <v>3650.5</v>
      </c>
      <c r="I70" s="1"/>
      <c r="J70" s="5">
        <f t="shared" si="47"/>
        <v>1.0643122134877645E-2</v>
      </c>
      <c r="K70" s="1"/>
      <c r="L70" s="1">
        <f t="shared" si="48"/>
        <v>-525.67999999999984</v>
      </c>
      <c r="M70" s="1"/>
      <c r="N70" s="5">
        <f t="shared" si="49"/>
        <v>-0.14400219148061905</v>
      </c>
      <c r="O70" s="13"/>
      <c r="P70" s="1">
        <f>SUM(OSRRefP22_12x_0)</f>
        <v>40493.769999999997</v>
      </c>
      <c r="Q70" s="1"/>
      <c r="R70" s="5">
        <f t="shared" si="50"/>
        <v>1.7125136285779594E-2</v>
      </c>
      <c r="S70" s="1"/>
      <c r="T70" s="1">
        <f>SUM(OSRRefT22_12x_0)</f>
        <v>41955.4</v>
      </c>
      <c r="U70" s="1"/>
      <c r="V70" s="5">
        <f t="shared" si="51"/>
        <v>1.5133268212025718E-2</v>
      </c>
      <c r="W70" s="1"/>
      <c r="X70" s="1">
        <f t="shared" si="52"/>
        <v>-1461.6300000000047</v>
      </c>
      <c r="Y70" s="1"/>
      <c r="Z70" s="5">
        <f t="shared" si="53"/>
        <v>-3.4837708614385864E-2</v>
      </c>
    </row>
    <row r="71" spans="1:26" s="24" customFormat="1" hidden="1" outlineLevel="2" x14ac:dyDescent="0.25">
      <c r="A71" s="27"/>
      <c r="B71" s="11" t="str">
        <f>CONCATENATE("          ", "6401", " - ", "INTEREST EXPENSE")</f>
        <v xml:space="preserve">          6401 - INTEREST EXPENSE</v>
      </c>
      <c r="C71" s="11"/>
      <c r="D71" s="6">
        <v>3124.82</v>
      </c>
      <c r="E71" s="2"/>
      <c r="F71" s="7">
        <f t="shared" si="46"/>
        <v>68.96534981240346</v>
      </c>
      <c r="G71" s="2"/>
      <c r="H71" s="6">
        <v>3650.5</v>
      </c>
      <c r="I71" s="2"/>
      <c r="J71" s="7">
        <f t="shared" si="47"/>
        <v>1.0643122134877645E-2</v>
      </c>
      <c r="K71" s="2"/>
      <c r="L71" s="6">
        <f t="shared" si="48"/>
        <v>-525.67999999999984</v>
      </c>
      <c r="M71" s="2"/>
      <c r="N71" s="7">
        <f t="shared" si="49"/>
        <v>-0.14400219148061905</v>
      </c>
      <c r="O71" s="11"/>
      <c r="P71" s="6">
        <v>40493.769999999997</v>
      </c>
      <c r="Q71" s="2"/>
      <c r="R71" s="7">
        <f t="shared" si="50"/>
        <v>1.7125136285779594E-2</v>
      </c>
      <c r="S71" s="2"/>
      <c r="T71" s="6">
        <v>41955.4</v>
      </c>
      <c r="U71" s="2"/>
      <c r="V71" s="7">
        <f t="shared" si="51"/>
        <v>1.5133268212025718E-2</v>
      </c>
      <c r="W71" s="2"/>
      <c r="X71" s="6">
        <f t="shared" si="52"/>
        <v>-1461.6300000000047</v>
      </c>
      <c r="Y71" s="2"/>
      <c r="Z71" s="7">
        <f t="shared" si="53"/>
        <v>-3.4837708614385864E-2</v>
      </c>
    </row>
    <row r="72" spans="1:26" s="25" customFormat="1" outlineLevel="1" collapsed="1" x14ac:dyDescent="0.25">
      <c r="A72" s="26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SUM(OSRRefD22_13x_0)</f>
        <v>1150</v>
      </c>
      <c r="E72" s="1"/>
      <c r="F72" s="5">
        <f t="shared" si="46"/>
        <v>25.38071065989848</v>
      </c>
      <c r="G72" s="1"/>
      <c r="H72" s="1">
        <f>SUM(OSRRefH22_13x_0)</f>
        <v>1150</v>
      </c>
      <c r="I72" s="1"/>
      <c r="J72" s="5">
        <f t="shared" si="47"/>
        <v>3.3528531585013811E-3</v>
      </c>
      <c r="K72" s="1"/>
      <c r="L72" s="1">
        <f t="shared" si="48"/>
        <v>0</v>
      </c>
      <c r="M72" s="1"/>
      <c r="N72" s="5">
        <f t="shared" si="49"/>
        <v>0</v>
      </c>
      <c r="O72" s="13"/>
      <c r="P72" s="1">
        <f>SUM(OSRRefP22_13x_0)</f>
        <v>11500</v>
      </c>
      <c r="Q72" s="1"/>
      <c r="R72" s="5">
        <f t="shared" si="50"/>
        <v>4.8634411487610395E-3</v>
      </c>
      <c r="S72" s="1"/>
      <c r="T72" s="1">
        <f>SUM(OSRRefT22_13x_0)</f>
        <v>11500</v>
      </c>
      <c r="U72" s="1"/>
      <c r="V72" s="5">
        <f t="shared" si="51"/>
        <v>4.1480377838918414E-3</v>
      </c>
      <c r="W72" s="1"/>
      <c r="X72" s="1">
        <f t="shared" si="52"/>
        <v>0</v>
      </c>
      <c r="Y72" s="1"/>
      <c r="Z72" s="5">
        <f t="shared" si="53"/>
        <v>0</v>
      </c>
    </row>
    <row r="73" spans="1:26" s="24" customFormat="1" hidden="1" outlineLevel="2" x14ac:dyDescent="0.25">
      <c r="A73" s="27"/>
      <c r="B73" s="11" t="str">
        <f>CONCATENATE("          ", "6273", " - ", "RENT")</f>
        <v xml:space="preserve">          6273 - RENT</v>
      </c>
      <c r="C73" s="11"/>
      <c r="D73" s="6">
        <v>1150</v>
      </c>
      <c r="E73" s="2"/>
      <c r="F73" s="7">
        <f t="shared" si="46"/>
        <v>25.38071065989848</v>
      </c>
      <c r="G73" s="2"/>
      <c r="H73" s="6">
        <v>1150</v>
      </c>
      <c r="I73" s="2"/>
      <c r="J73" s="7">
        <f t="shared" si="47"/>
        <v>3.3528531585013811E-3</v>
      </c>
      <c r="K73" s="2"/>
      <c r="L73" s="6">
        <f t="shared" si="48"/>
        <v>0</v>
      </c>
      <c r="M73" s="2"/>
      <c r="N73" s="7">
        <f t="shared" si="49"/>
        <v>0</v>
      </c>
      <c r="O73" s="11"/>
      <c r="P73" s="6">
        <v>11500</v>
      </c>
      <c r="Q73" s="2"/>
      <c r="R73" s="7">
        <f t="shared" si="50"/>
        <v>4.8634411487610395E-3</v>
      </c>
      <c r="S73" s="2"/>
      <c r="T73" s="6">
        <v>11500</v>
      </c>
      <c r="U73" s="2"/>
      <c r="V73" s="7">
        <f t="shared" si="51"/>
        <v>4.1480377838918414E-3</v>
      </c>
      <c r="W73" s="2"/>
      <c r="X73" s="6">
        <f t="shared" si="52"/>
        <v>0</v>
      </c>
      <c r="Y73" s="2"/>
      <c r="Z73" s="7">
        <f t="shared" si="53"/>
        <v>0</v>
      </c>
    </row>
    <row r="74" spans="1:26" s="25" customFormat="1" outlineLevel="1" collapsed="1" x14ac:dyDescent="0.25">
      <c r="A74" s="26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SUM(OSRRefD22_14x_0)</f>
        <v>180</v>
      </c>
      <c r="E74" s="1"/>
      <c r="F74" s="5">
        <f t="shared" si="46"/>
        <v>3.9726329728536749</v>
      </c>
      <c r="G74" s="1"/>
      <c r="H74" s="1">
        <f>SUM(OSRRefH22_14x_0)</f>
        <v>2010.63</v>
      </c>
      <c r="I74" s="1"/>
      <c r="J74" s="5">
        <f t="shared" si="47"/>
        <v>5.8620409965892458E-3</v>
      </c>
      <c r="K74" s="1"/>
      <c r="L74" s="1">
        <f t="shared" si="48"/>
        <v>-1830.63</v>
      </c>
      <c r="M74" s="1"/>
      <c r="N74" s="5">
        <f t="shared" si="49"/>
        <v>-0.91047582101132485</v>
      </c>
      <c r="O74" s="13"/>
      <c r="P74" s="1">
        <f>SUM(OSRRefP22_14x_0)</f>
        <v>17512.910000000003</v>
      </c>
      <c r="Q74" s="1"/>
      <c r="R74" s="5">
        <f t="shared" si="50"/>
        <v>7.406348445960758E-3</v>
      </c>
      <c r="S74" s="1"/>
      <c r="T74" s="1">
        <f>SUM(OSRRefT22_14x_0)</f>
        <v>13405.43</v>
      </c>
      <c r="U74" s="1"/>
      <c r="V74" s="5">
        <f t="shared" si="51"/>
        <v>4.8353243608101918E-3</v>
      </c>
      <c r="W74" s="1"/>
      <c r="X74" s="1">
        <f t="shared" si="52"/>
        <v>4107.4800000000032</v>
      </c>
      <c r="Y74" s="1"/>
      <c r="Z74" s="5">
        <f t="shared" si="53"/>
        <v>0.30640419591165691</v>
      </c>
    </row>
    <row r="75" spans="1:26" s="24" customFormat="1" hidden="1" outlineLevel="2" x14ac:dyDescent="0.25">
      <c r="A75" s="27"/>
      <c r="B75" s="11" t="str">
        <f>CONCATENATE("          ", "6371", " - ", "COMPUTER SOFTWARE MAINTENANCE")</f>
        <v xml:space="preserve">          6371 - COMPUTER SOFTWARE MAINTENANCE</v>
      </c>
      <c r="C75" s="11"/>
      <c r="D75" s="6"/>
      <c r="E75" s="2"/>
      <c r="F75" s="7">
        <f t="shared" si="46"/>
        <v>0</v>
      </c>
      <c r="G75" s="2"/>
      <c r="H75" s="6"/>
      <c r="I75" s="2"/>
      <c r="J75" s="7">
        <f t="shared" si="47"/>
        <v>0</v>
      </c>
      <c r="K75" s="2"/>
      <c r="L75" s="6">
        <f t="shared" si="48"/>
        <v>0</v>
      </c>
      <c r="M75" s="2"/>
      <c r="N75" s="7">
        <f t="shared" si="49"/>
        <v>0</v>
      </c>
      <c r="O75" s="11"/>
      <c r="P75" s="6">
        <v>1311.93</v>
      </c>
      <c r="Q75" s="2"/>
      <c r="R75" s="7">
        <f t="shared" si="50"/>
        <v>5.5482559532991926E-4</v>
      </c>
      <c r="S75" s="2"/>
      <c r="T75" s="6"/>
      <c r="U75" s="2"/>
      <c r="V75" s="7">
        <f t="shared" si="51"/>
        <v>0</v>
      </c>
      <c r="W75" s="2"/>
      <c r="X75" s="6">
        <f t="shared" si="52"/>
        <v>1311.93</v>
      </c>
      <c r="Y75" s="2"/>
      <c r="Z75" s="7">
        <f t="shared" si="53"/>
        <v>0</v>
      </c>
    </row>
    <row r="76" spans="1:26" s="24" customFormat="1" hidden="1" outlineLevel="2" x14ac:dyDescent="0.25">
      <c r="A76" s="27"/>
      <c r="B76" s="11" t="str">
        <f>CONCATENATE("          ", "6373", " - ", "MAINTENANCE CONTRACTS")</f>
        <v xml:space="preserve">          6373 - MAINTENANCE CONTRACTS</v>
      </c>
      <c r="C76" s="11"/>
      <c r="D76" s="6"/>
      <c r="E76" s="2"/>
      <c r="F76" s="7">
        <f t="shared" si="46"/>
        <v>0</v>
      </c>
      <c r="G76" s="2"/>
      <c r="H76" s="6"/>
      <c r="I76" s="2"/>
      <c r="J76" s="7">
        <f t="shared" si="47"/>
        <v>0</v>
      </c>
      <c r="K76" s="2"/>
      <c r="L76" s="6">
        <f t="shared" si="48"/>
        <v>0</v>
      </c>
      <c r="M76" s="2"/>
      <c r="N76" s="7">
        <f t="shared" si="49"/>
        <v>0</v>
      </c>
      <c r="O76" s="11"/>
      <c r="P76" s="6">
        <v>884.07</v>
      </c>
      <c r="Q76" s="2"/>
      <c r="R76" s="7">
        <f t="shared" si="50"/>
        <v>3.7388021012044979E-4</v>
      </c>
      <c r="S76" s="2"/>
      <c r="T76" s="6">
        <v>1086.48</v>
      </c>
      <c r="U76" s="2"/>
      <c r="V76" s="7">
        <f t="shared" si="51"/>
        <v>3.9189218186459198E-4</v>
      </c>
      <c r="W76" s="2"/>
      <c r="X76" s="6">
        <f t="shared" si="52"/>
        <v>-202.40999999999997</v>
      </c>
      <c r="Y76" s="2"/>
      <c r="Z76" s="7">
        <f t="shared" si="53"/>
        <v>-0.18629887342610998</v>
      </c>
    </row>
    <row r="77" spans="1:26" s="24" customFormat="1" hidden="1" outlineLevel="2" x14ac:dyDescent="0.25">
      <c r="A77" s="27"/>
      <c r="B77" s="11" t="str">
        <f>CONCATENATE("          ", "6375", " - ", "OUTSIDE REPAIRS &amp; MAINTENANCE")</f>
        <v xml:space="preserve">          6375 - OUTSIDE REPAIRS &amp; MAINTENANCE</v>
      </c>
      <c r="C77" s="11"/>
      <c r="D77" s="6">
        <v>180</v>
      </c>
      <c r="E77" s="2"/>
      <c r="F77" s="7">
        <f t="shared" si="46"/>
        <v>3.9726329728536749</v>
      </c>
      <c r="G77" s="2"/>
      <c r="H77" s="6">
        <v>2010.63</v>
      </c>
      <c r="I77" s="2"/>
      <c r="J77" s="7">
        <f t="shared" si="47"/>
        <v>5.8620409965892458E-3</v>
      </c>
      <c r="K77" s="2"/>
      <c r="L77" s="6">
        <f t="shared" si="48"/>
        <v>-1830.63</v>
      </c>
      <c r="M77" s="2"/>
      <c r="N77" s="7">
        <f t="shared" si="49"/>
        <v>-0.91047582101132485</v>
      </c>
      <c r="O77" s="11"/>
      <c r="P77" s="6">
        <v>15316.910000000002</v>
      </c>
      <c r="Q77" s="2"/>
      <c r="R77" s="7">
        <f t="shared" si="50"/>
        <v>6.4776426405103883E-3</v>
      </c>
      <c r="S77" s="2"/>
      <c r="T77" s="6">
        <v>12318.95</v>
      </c>
      <c r="U77" s="2"/>
      <c r="V77" s="7">
        <f t="shared" si="51"/>
        <v>4.4434321789456003E-3</v>
      </c>
      <c r="W77" s="2"/>
      <c r="X77" s="6">
        <f t="shared" si="52"/>
        <v>2997.9600000000009</v>
      </c>
      <c r="Y77" s="2"/>
      <c r="Z77" s="7">
        <f t="shared" si="53"/>
        <v>0.24336165014063704</v>
      </c>
    </row>
    <row r="78" spans="1:26" s="25" customFormat="1" outlineLevel="1" collapsed="1" x14ac:dyDescent="0.25">
      <c r="A78" s="26"/>
      <c r="B78" s="13" t="str">
        <f>CONCATENATE("     ","Royalty &amp; Commissions                             ")</f>
        <v xml:space="preserve">     Royalty &amp; Commissions                             </v>
      </c>
      <c r="C78" s="13"/>
      <c r="D78" s="1">
        <f>SUM(OSRRefD22_15x_0)</f>
        <v>0</v>
      </c>
      <c r="E78" s="1"/>
      <c r="F78" s="5">
        <f t="shared" ref="F78:F84" si="54">IF(D$12=0,0,D78/D$12)</f>
        <v>0</v>
      </c>
      <c r="G78" s="1"/>
      <c r="H78" s="1">
        <f>SUM(OSRRefH22_15x_0)</f>
        <v>0</v>
      </c>
      <c r="I78" s="1"/>
      <c r="J78" s="5">
        <f t="shared" ref="J78:J84" si="55">IF(H$12=0,0,H78/H$12)</f>
        <v>0</v>
      </c>
      <c r="K78" s="1"/>
      <c r="L78" s="1">
        <f t="shared" ref="L78:L84" si="56">+D78-H78</f>
        <v>0</v>
      </c>
      <c r="M78" s="1"/>
      <c r="N78" s="5">
        <f t="shared" ref="N78:N84" si="57">IF(H78=0,0,L78/H78)</f>
        <v>0</v>
      </c>
      <c r="O78" s="13"/>
      <c r="P78" s="1">
        <f>SUM(OSRRefP22_15x_0)</f>
        <v>24556.14</v>
      </c>
      <c r="Q78" s="1"/>
      <c r="R78" s="5">
        <f t="shared" ref="R78:R84" si="58">IF(P$12=0,0,P78/P$12)</f>
        <v>1.0384986237455384E-2</v>
      </c>
      <c r="S78" s="1"/>
      <c r="T78" s="1">
        <f>SUM(OSRRefT22_15x_0)</f>
        <v>22801.38</v>
      </c>
      <c r="U78" s="1"/>
      <c r="V78" s="5">
        <f t="shared" ref="V78:V84" si="59">IF(T$12=0,0,T78/T$12)</f>
        <v>8.2244335447718055E-3</v>
      </c>
      <c r="W78" s="1"/>
      <c r="X78" s="1">
        <f t="shared" ref="X78:X84" si="60">+P78-T78</f>
        <v>1754.7599999999984</v>
      </c>
      <c r="Y78" s="1"/>
      <c r="Z78" s="5">
        <f t="shared" ref="Z78:Z84" si="61">IF(T78=0,0,X78/T78)</f>
        <v>7.6958499880270329E-2</v>
      </c>
    </row>
    <row r="79" spans="1:26" s="24" customFormat="1" hidden="1" outlineLevel="2" x14ac:dyDescent="0.25">
      <c r="A79" s="27"/>
      <c r="B79" s="11" t="str">
        <f>CONCATENATE("          ", "6254", " - ", "ROYALTY &amp; COMMISSIONS")</f>
        <v xml:space="preserve">          6254 - ROYALTY &amp; COMMISSIONS</v>
      </c>
      <c r="C79" s="11"/>
      <c r="D79" s="6"/>
      <c r="E79" s="2"/>
      <c r="F79" s="7">
        <f t="shared" si="54"/>
        <v>0</v>
      </c>
      <c r="G79" s="2"/>
      <c r="H79" s="6"/>
      <c r="I79" s="2"/>
      <c r="J79" s="7">
        <f t="shared" si="55"/>
        <v>0</v>
      </c>
      <c r="K79" s="2"/>
      <c r="L79" s="6">
        <f t="shared" si="56"/>
        <v>0</v>
      </c>
      <c r="M79" s="2"/>
      <c r="N79" s="7">
        <f t="shared" si="57"/>
        <v>0</v>
      </c>
      <c r="O79" s="11"/>
      <c r="P79" s="6">
        <v>24556.14</v>
      </c>
      <c r="Q79" s="2"/>
      <c r="R79" s="7">
        <f t="shared" si="58"/>
        <v>1.0384986237455384E-2</v>
      </c>
      <c r="S79" s="2"/>
      <c r="T79" s="6">
        <v>22801.38</v>
      </c>
      <c r="U79" s="2"/>
      <c r="V79" s="7">
        <f t="shared" si="59"/>
        <v>8.2244335447718055E-3</v>
      </c>
      <c r="W79" s="2"/>
      <c r="X79" s="6">
        <f t="shared" si="60"/>
        <v>1754.7599999999984</v>
      </c>
      <c r="Y79" s="2"/>
      <c r="Z79" s="7">
        <f t="shared" si="61"/>
        <v>7.6958499880270329E-2</v>
      </c>
    </row>
    <row r="80" spans="1:26" s="25" customFormat="1" outlineLevel="1" collapsed="1" x14ac:dyDescent="0.25">
      <c r="A80" s="26"/>
      <c r="B80" s="13" t="str">
        <f>CONCATENATE("     ","Services                                          ")</f>
        <v xml:space="preserve">     Services                                          </v>
      </c>
      <c r="C80" s="13"/>
      <c r="D80" s="1">
        <f>SUM(OSRRefD22_16x_0)</f>
        <v>464.1</v>
      </c>
      <c r="E80" s="1"/>
      <c r="F80" s="5">
        <f t="shared" si="54"/>
        <v>10.242772015007725</v>
      </c>
      <c r="G80" s="1"/>
      <c r="H80" s="1">
        <f>SUM(OSRRefH22_16x_0)</f>
        <v>1813.7800000000002</v>
      </c>
      <c r="I80" s="1"/>
      <c r="J80" s="5">
        <f t="shared" si="55"/>
        <v>5.2881200015883791E-3</v>
      </c>
      <c r="K80" s="1"/>
      <c r="L80" s="1">
        <f t="shared" si="56"/>
        <v>-1349.6800000000003</v>
      </c>
      <c r="M80" s="1"/>
      <c r="N80" s="5">
        <f t="shared" si="57"/>
        <v>-0.74412552790305342</v>
      </c>
      <c r="O80" s="13"/>
      <c r="P80" s="1">
        <f>SUM(OSRRefP22_16x_0)</f>
        <v>16180.510000000002</v>
      </c>
      <c r="Q80" s="1"/>
      <c r="R80" s="5">
        <f t="shared" si="58"/>
        <v>6.8428659253860439E-3</v>
      </c>
      <c r="S80" s="1"/>
      <c r="T80" s="1">
        <f>SUM(OSRRefT22_16x_0)</f>
        <v>16358.470000000001</v>
      </c>
      <c r="U80" s="1"/>
      <c r="V80" s="5">
        <f t="shared" si="59"/>
        <v>5.90048275188358E-3</v>
      </c>
      <c r="W80" s="1"/>
      <c r="X80" s="1">
        <f t="shared" si="60"/>
        <v>-177.95999999999913</v>
      </c>
      <c r="Y80" s="1"/>
      <c r="Z80" s="5">
        <f t="shared" si="61"/>
        <v>-1.0878768002141955E-2</v>
      </c>
    </row>
    <row r="81" spans="1:26" s="24" customFormat="1" hidden="1" outlineLevel="2" x14ac:dyDescent="0.25">
      <c r="A81" s="27"/>
      <c r="B81" s="11" t="str">
        <f>CONCATENATE("          ", "6282", " - ", "JANITORIAL/EXTERMINATOR EXPENS")</f>
        <v xml:space="preserve">          6282 - JANITORIAL/EXTERMINATOR EXPENS</v>
      </c>
      <c r="C81" s="11"/>
      <c r="D81" s="6">
        <v>41</v>
      </c>
      <c r="E81" s="2"/>
      <c r="F81" s="7">
        <f t="shared" si="54"/>
        <v>0.90487751048333709</v>
      </c>
      <c r="G81" s="2"/>
      <c r="H81" s="6">
        <v>640.59</v>
      </c>
      <c r="I81" s="2"/>
      <c r="J81" s="7">
        <f t="shared" si="55"/>
        <v>1.8676558302646955E-3</v>
      </c>
      <c r="K81" s="2"/>
      <c r="L81" s="6">
        <f t="shared" si="56"/>
        <v>-599.59</v>
      </c>
      <c r="M81" s="2"/>
      <c r="N81" s="7">
        <f t="shared" si="57"/>
        <v>-0.93599650322359074</v>
      </c>
      <c r="O81" s="11"/>
      <c r="P81" s="6">
        <v>6046.09</v>
      </c>
      <c r="Q81" s="2"/>
      <c r="R81" s="7">
        <f t="shared" si="58"/>
        <v>2.5569393821837073E-3</v>
      </c>
      <c r="S81" s="2"/>
      <c r="T81" s="6">
        <v>5726.81</v>
      </c>
      <c r="U81" s="2"/>
      <c r="V81" s="7">
        <f t="shared" si="59"/>
        <v>2.0656542835799686E-3</v>
      </c>
      <c r="W81" s="2"/>
      <c r="X81" s="6">
        <f t="shared" si="60"/>
        <v>319.27999999999975</v>
      </c>
      <c r="Y81" s="2"/>
      <c r="Z81" s="7">
        <f t="shared" si="61"/>
        <v>5.5751805979244944E-2</v>
      </c>
    </row>
    <row r="82" spans="1:26" s="24" customFormat="1" hidden="1" outlineLevel="2" x14ac:dyDescent="0.25">
      <c r="A82" s="27"/>
      <c r="B82" s="11" t="str">
        <f>CONCATENATE("          ", "6284", " - ", "TRASH REMOVAL EXPENSE")</f>
        <v xml:space="preserve">          6284 - TRASH REMOVAL EXPENSE</v>
      </c>
      <c r="C82" s="11"/>
      <c r="D82" s="6">
        <v>289</v>
      </c>
      <c r="E82" s="2"/>
      <c r="F82" s="7">
        <f t="shared" si="54"/>
        <v>6.3782829397484004</v>
      </c>
      <c r="G82" s="2"/>
      <c r="H82" s="6">
        <v>237</v>
      </c>
      <c r="I82" s="2"/>
      <c r="J82" s="7">
        <f t="shared" si="55"/>
        <v>6.9097930309984989E-4</v>
      </c>
      <c r="K82" s="2"/>
      <c r="L82" s="6">
        <f t="shared" si="56"/>
        <v>52</v>
      </c>
      <c r="M82" s="2"/>
      <c r="N82" s="7">
        <f t="shared" si="57"/>
        <v>0.21940928270042195</v>
      </c>
      <c r="O82" s="11"/>
      <c r="P82" s="6">
        <v>2889</v>
      </c>
      <c r="Q82" s="2"/>
      <c r="R82" s="7">
        <f t="shared" si="58"/>
        <v>1.221780998153969E-3</v>
      </c>
      <c r="S82" s="2"/>
      <c r="T82" s="6">
        <v>2940.73</v>
      </c>
      <c r="U82" s="2"/>
      <c r="V82" s="7">
        <f t="shared" si="59"/>
        <v>1.0607181871499351E-3</v>
      </c>
      <c r="W82" s="2"/>
      <c r="X82" s="6">
        <f t="shared" si="60"/>
        <v>-51.730000000000018</v>
      </c>
      <c r="Y82" s="2"/>
      <c r="Z82" s="7">
        <f t="shared" si="61"/>
        <v>-1.7590870294110651E-2</v>
      </c>
    </row>
    <row r="83" spans="1:26" s="24" customFormat="1" hidden="1" outlineLevel="2" x14ac:dyDescent="0.25">
      <c r="A83" s="27"/>
      <c r="B83" s="11" t="str">
        <f>CONCATENATE("          ", "6285", " - ", "JANITORIAL SERVICES")</f>
        <v xml:space="preserve">          6285 - JANITORIAL SERVICES</v>
      </c>
      <c r="C83" s="11"/>
      <c r="D83" s="6">
        <v>134.1</v>
      </c>
      <c r="E83" s="2"/>
      <c r="F83" s="7">
        <f t="shared" si="54"/>
        <v>2.959611564775988</v>
      </c>
      <c r="G83" s="2"/>
      <c r="H83" s="6">
        <v>125.23</v>
      </c>
      <c r="I83" s="2"/>
      <c r="J83" s="7">
        <f t="shared" si="55"/>
        <v>3.6511113133837214E-4</v>
      </c>
      <c r="K83" s="2"/>
      <c r="L83" s="6">
        <f t="shared" si="56"/>
        <v>8.8699999999999903</v>
      </c>
      <c r="M83" s="2"/>
      <c r="N83" s="7">
        <f t="shared" si="57"/>
        <v>7.0829673400942192E-2</v>
      </c>
      <c r="O83" s="11"/>
      <c r="P83" s="6">
        <v>1187.78</v>
      </c>
      <c r="Q83" s="2"/>
      <c r="R83" s="7">
        <f t="shared" si="58"/>
        <v>5.0232157631959894E-4</v>
      </c>
      <c r="S83" s="2"/>
      <c r="T83" s="6">
        <v>1100.1199999999999</v>
      </c>
      <c r="U83" s="2"/>
      <c r="V83" s="7">
        <f t="shared" si="59"/>
        <v>3.968121153752254E-4</v>
      </c>
      <c r="W83" s="2"/>
      <c r="X83" s="6">
        <f t="shared" si="60"/>
        <v>87.660000000000082</v>
      </c>
      <c r="Y83" s="2"/>
      <c r="Z83" s="7">
        <f t="shared" si="61"/>
        <v>7.9682216485474397E-2</v>
      </c>
    </row>
    <row r="84" spans="1:26" s="24" customFormat="1" hidden="1" outlineLevel="2" x14ac:dyDescent="0.25">
      <c r="A84" s="27"/>
      <c r="B84" s="11" t="str">
        <f>CONCATENATE("          ", "6286", " - ", "LAUNDRY EXPENSE")</f>
        <v xml:space="preserve">          6286 - LAUNDRY EXPENSE</v>
      </c>
      <c r="C84" s="11"/>
      <c r="D84" s="6"/>
      <c r="E84" s="2"/>
      <c r="F84" s="7">
        <f t="shared" si="54"/>
        <v>0</v>
      </c>
      <c r="G84" s="2"/>
      <c r="H84" s="6">
        <v>810.96</v>
      </c>
      <c r="I84" s="2"/>
      <c r="J84" s="7">
        <f t="shared" si="55"/>
        <v>2.364373736885461E-3</v>
      </c>
      <c r="K84" s="2"/>
      <c r="L84" s="6">
        <f t="shared" si="56"/>
        <v>-810.96</v>
      </c>
      <c r="M84" s="2"/>
      <c r="N84" s="7">
        <f t="shared" si="57"/>
        <v>-1</v>
      </c>
      <c r="O84" s="11"/>
      <c r="P84" s="6">
        <v>6057.64</v>
      </c>
      <c r="Q84" s="2"/>
      <c r="R84" s="7">
        <f t="shared" si="58"/>
        <v>2.5618239687287673E-3</v>
      </c>
      <c r="S84" s="2"/>
      <c r="T84" s="6">
        <v>6590.81</v>
      </c>
      <c r="U84" s="2"/>
      <c r="V84" s="7">
        <f t="shared" si="59"/>
        <v>2.3772981657784512E-3</v>
      </c>
      <c r="W84" s="2"/>
      <c r="X84" s="6">
        <f t="shared" si="60"/>
        <v>-533.17000000000007</v>
      </c>
      <c r="Y84" s="2"/>
      <c r="Z84" s="7">
        <f t="shared" si="61"/>
        <v>-8.0895974849828786E-2</v>
      </c>
    </row>
    <row r="85" spans="1:26" s="25" customFormat="1" outlineLevel="1" collapsed="1" x14ac:dyDescent="0.25">
      <c r="A85" s="26"/>
      <c r="B85" s="13" t="str">
        <f>CONCATENATE("     ","Subscriptions &amp; Dues                              ")</f>
        <v xml:space="preserve">     Subscriptions &amp; Dues                              </v>
      </c>
      <c r="C85" s="13"/>
      <c r="D85" s="1">
        <f>SUM(OSRRefD22_17x_0)</f>
        <v>0</v>
      </c>
      <c r="E85" s="1"/>
      <c r="F85" s="5">
        <f t="shared" ref="F85:F87" si="62">IF(D$12=0,0,D85/D$12)</f>
        <v>0</v>
      </c>
      <c r="G85" s="1"/>
      <c r="H85" s="1">
        <f>SUM(OSRRefH22_17x_0)</f>
        <v>176.4</v>
      </c>
      <c r="I85" s="1"/>
      <c r="J85" s="5">
        <f t="shared" ref="J85:J87" si="63">IF(H$12=0,0,H85/H$12)</f>
        <v>5.1429851926925536E-4</v>
      </c>
      <c r="K85" s="1"/>
      <c r="L85" s="1">
        <f t="shared" ref="L85:L87" si="64">+D85-H85</f>
        <v>-176.4</v>
      </c>
      <c r="M85" s="1"/>
      <c r="N85" s="5">
        <f t="shared" ref="N85:N87" si="65">IF(H85=0,0,L85/H85)</f>
        <v>-1</v>
      </c>
      <c r="O85" s="13"/>
      <c r="P85" s="1">
        <f>SUM(OSRRefP22_17x_0)</f>
        <v>1411.2</v>
      </c>
      <c r="Q85" s="1"/>
      <c r="R85" s="5">
        <f t="shared" ref="R85:R87" si="66">IF(P$12=0,0,P85/P$12)</f>
        <v>5.9680766514187645E-4</v>
      </c>
      <c r="S85" s="1"/>
      <c r="T85" s="1">
        <f>SUM(OSRRefT22_17x_0)</f>
        <v>1434.78</v>
      </c>
      <c r="U85" s="1"/>
      <c r="V85" s="5">
        <f t="shared" ref="V85:V87" si="67">IF(T$12=0,0,T85/T$12)</f>
        <v>5.1752362187585527E-4</v>
      </c>
      <c r="W85" s="1"/>
      <c r="X85" s="1">
        <f t="shared" ref="X85:X87" si="68">+P85-T85</f>
        <v>-23.579999999999927</v>
      </c>
      <c r="Y85" s="1"/>
      <c r="Z85" s="5">
        <f t="shared" ref="Z85:Z87" si="69">IF(T85=0,0,X85/T85)</f>
        <v>-1.6434575335591468E-2</v>
      </c>
    </row>
    <row r="86" spans="1:26" s="24" customFormat="1" hidden="1" outlineLevel="2" x14ac:dyDescent="0.25">
      <c r="A86" s="27"/>
      <c r="B86" s="11" t="str">
        <f>CONCATENATE("          ", "6258", " - ", "MEMBERSHIP DUES")</f>
        <v xml:space="preserve">          6258 - MEMBERSHIP DUES</v>
      </c>
      <c r="C86" s="11"/>
      <c r="D86" s="6"/>
      <c r="E86" s="2"/>
      <c r="F86" s="7">
        <f t="shared" si="62"/>
        <v>0</v>
      </c>
      <c r="G86" s="2"/>
      <c r="H86" s="6"/>
      <c r="I86" s="2"/>
      <c r="J86" s="7">
        <f t="shared" si="63"/>
        <v>0</v>
      </c>
      <c r="K86" s="2"/>
      <c r="L86" s="6">
        <f t="shared" si="64"/>
        <v>0</v>
      </c>
      <c r="M86" s="2"/>
      <c r="N86" s="7">
        <f t="shared" si="65"/>
        <v>0</v>
      </c>
      <c r="O86" s="11"/>
      <c r="P86" s="6"/>
      <c r="Q86" s="2"/>
      <c r="R86" s="7">
        <f t="shared" si="66"/>
        <v>0</v>
      </c>
      <c r="S86" s="2"/>
      <c r="T86" s="6">
        <v>383.2</v>
      </c>
      <c r="U86" s="2"/>
      <c r="V86" s="7">
        <f t="shared" si="67"/>
        <v>1.3821983293803075E-4</v>
      </c>
      <c r="W86" s="2"/>
      <c r="X86" s="6">
        <f t="shared" si="68"/>
        <v>-383.2</v>
      </c>
      <c r="Y86" s="2"/>
      <c r="Z86" s="7">
        <f t="shared" si="69"/>
        <v>-1</v>
      </c>
    </row>
    <row r="87" spans="1:26" s="24" customFormat="1" hidden="1" outlineLevel="2" x14ac:dyDescent="0.25">
      <c r="A87" s="27"/>
      <c r="B87" s="11" t="str">
        <f>CONCATENATE("          ", "6275", " - ", "SUBSCRIPTIONS")</f>
        <v xml:space="preserve">          6275 - SUBSCRIPTIONS</v>
      </c>
      <c r="C87" s="11"/>
      <c r="D87" s="6"/>
      <c r="E87" s="2"/>
      <c r="F87" s="7">
        <f t="shared" si="62"/>
        <v>0</v>
      </c>
      <c r="G87" s="2"/>
      <c r="H87" s="6">
        <v>176.4</v>
      </c>
      <c r="I87" s="2"/>
      <c r="J87" s="7">
        <f t="shared" si="63"/>
        <v>5.1429851926925536E-4</v>
      </c>
      <c r="K87" s="2"/>
      <c r="L87" s="6">
        <f t="shared" si="64"/>
        <v>-176.4</v>
      </c>
      <c r="M87" s="2"/>
      <c r="N87" s="7">
        <f t="shared" si="65"/>
        <v>-1</v>
      </c>
      <c r="O87" s="11"/>
      <c r="P87" s="6">
        <v>1411.2</v>
      </c>
      <c r="Q87" s="2"/>
      <c r="R87" s="7">
        <f t="shared" si="66"/>
        <v>5.9680766514187645E-4</v>
      </c>
      <c r="S87" s="2"/>
      <c r="T87" s="6">
        <v>1051.58</v>
      </c>
      <c r="U87" s="2"/>
      <c r="V87" s="7">
        <f t="shared" si="67"/>
        <v>3.7930378893782452E-4</v>
      </c>
      <c r="W87" s="2"/>
      <c r="X87" s="6">
        <f t="shared" si="68"/>
        <v>359.62000000000012</v>
      </c>
      <c r="Y87" s="2"/>
      <c r="Z87" s="7">
        <f t="shared" si="69"/>
        <v>0.34198063865801948</v>
      </c>
    </row>
    <row r="88" spans="1:26" s="25" customFormat="1" outlineLevel="1" collapsed="1" x14ac:dyDescent="0.25">
      <c r="A88" s="26"/>
      <c r="B88" s="13" t="str">
        <f>CONCATENATE("     ","Supplies                                          ")</f>
        <v xml:space="preserve">     Supplies                                          </v>
      </c>
      <c r="C88" s="13"/>
      <c r="D88" s="1">
        <f>SUM(OSRRefD22_18x_0)</f>
        <v>130.18</v>
      </c>
      <c r="E88" s="1"/>
      <c r="F88" s="5">
        <f t="shared" ref="F88:F96" si="70">IF(D$12=0,0,D88/D$12)</f>
        <v>2.873096446700508</v>
      </c>
      <c r="G88" s="1"/>
      <c r="H88" s="1">
        <f>SUM(OSRRefH22_18x_0)</f>
        <v>4881.71</v>
      </c>
      <c r="I88" s="1"/>
      <c r="J88" s="5">
        <f t="shared" ref="J88:J96" si="71">IF(H$12=0,0,H88/H$12)</f>
        <v>1.4232745036858938E-2</v>
      </c>
      <c r="K88" s="1"/>
      <c r="L88" s="1">
        <f t="shared" ref="L88:L96" si="72">+D88-H88</f>
        <v>-4751.53</v>
      </c>
      <c r="M88" s="1"/>
      <c r="N88" s="5">
        <f t="shared" ref="N88:N96" si="73">IF(H88=0,0,L88/H88)</f>
        <v>-0.97333311483066376</v>
      </c>
      <c r="O88" s="13"/>
      <c r="P88" s="1">
        <f>SUM(OSRRefP22_18x_0)</f>
        <v>49637.5</v>
      </c>
      <c r="Q88" s="1"/>
      <c r="R88" s="5">
        <f t="shared" ref="R88:R96" si="74">IF(P$12=0,0,P88/P$12)</f>
        <v>2.0992092175793575E-2</v>
      </c>
      <c r="S88" s="1"/>
      <c r="T88" s="1">
        <f>SUM(OSRRefT22_18x_0)</f>
        <v>45600.27</v>
      </c>
      <c r="U88" s="1"/>
      <c r="V88" s="5">
        <f t="shared" ref="V88:V96" si="75">IF(T$12=0,0,T88/T$12)</f>
        <v>1.6447968949188662E-2</v>
      </c>
      <c r="W88" s="1"/>
      <c r="X88" s="1">
        <f t="shared" ref="X88:X96" si="76">+P88-T88</f>
        <v>4037.2300000000032</v>
      </c>
      <c r="Y88" s="1"/>
      <c r="Z88" s="5">
        <f t="shared" ref="Z88:Z96" si="77">IF(T88=0,0,X88/T88)</f>
        <v>8.8535221392329555E-2</v>
      </c>
    </row>
    <row r="89" spans="1:26" s="24" customFormat="1" hidden="1" outlineLevel="2" x14ac:dyDescent="0.25">
      <c r="A89" s="27"/>
      <c r="B89" s="11" t="str">
        <f>CONCATENATE("          ", "6234", " - ", "EXPENDABLE SUPPLIES &amp; EQUIPMEN")</f>
        <v xml:space="preserve">          6234 - EXPENDABLE SUPPLIES &amp; EQUIPMEN</v>
      </c>
      <c r="C89" s="11"/>
      <c r="D89" s="6"/>
      <c r="E89" s="2"/>
      <c r="F89" s="7">
        <f t="shared" si="70"/>
        <v>0</v>
      </c>
      <c r="G89" s="2"/>
      <c r="H89" s="6"/>
      <c r="I89" s="2"/>
      <c r="J89" s="7">
        <f t="shared" si="71"/>
        <v>0</v>
      </c>
      <c r="K89" s="2"/>
      <c r="L89" s="6">
        <f t="shared" si="72"/>
        <v>0</v>
      </c>
      <c r="M89" s="2"/>
      <c r="N89" s="7">
        <f t="shared" si="73"/>
        <v>0</v>
      </c>
      <c r="O89" s="11"/>
      <c r="P89" s="6">
        <v>1092.46</v>
      </c>
      <c r="Q89" s="2"/>
      <c r="R89" s="7">
        <f t="shared" si="74"/>
        <v>4.6200999281525962E-4</v>
      </c>
      <c r="S89" s="2"/>
      <c r="T89" s="6">
        <v>939.33</v>
      </c>
      <c r="U89" s="2"/>
      <c r="V89" s="7">
        <f t="shared" si="75"/>
        <v>3.3881533317766288E-4</v>
      </c>
      <c r="W89" s="2"/>
      <c r="X89" s="6">
        <f t="shared" si="76"/>
        <v>153.13</v>
      </c>
      <c r="Y89" s="2"/>
      <c r="Z89" s="7">
        <f t="shared" si="77"/>
        <v>0.16302045074680888</v>
      </c>
    </row>
    <row r="90" spans="1:26" s="24" customFormat="1" hidden="1" outlineLevel="2" x14ac:dyDescent="0.25">
      <c r="A90" s="27"/>
      <c r="B90" s="11" t="str">
        <f>CONCATENATE("          ", "6237", " - ", "JANITORIAL SUPPLIES")</f>
        <v xml:space="preserve">          6237 - JANITORIAL SUPPLIES</v>
      </c>
      <c r="C90" s="11"/>
      <c r="D90" s="6"/>
      <c r="E90" s="2"/>
      <c r="F90" s="7">
        <f t="shared" si="70"/>
        <v>0</v>
      </c>
      <c r="G90" s="2"/>
      <c r="H90" s="6">
        <v>673.24</v>
      </c>
      <c r="I90" s="2"/>
      <c r="J90" s="7">
        <f t="shared" si="71"/>
        <v>1.9628477047212781E-3</v>
      </c>
      <c r="K90" s="2"/>
      <c r="L90" s="6">
        <f t="shared" si="72"/>
        <v>-673.24</v>
      </c>
      <c r="M90" s="2"/>
      <c r="N90" s="7">
        <f t="shared" si="73"/>
        <v>-1</v>
      </c>
      <c r="O90" s="11"/>
      <c r="P90" s="6">
        <v>4418.97</v>
      </c>
      <c r="Q90" s="2"/>
      <c r="R90" s="7">
        <f t="shared" si="74"/>
        <v>1.8688174376643976E-3</v>
      </c>
      <c r="S90" s="2"/>
      <c r="T90" s="6">
        <v>6886.73</v>
      </c>
      <c r="U90" s="2"/>
      <c r="V90" s="7">
        <f t="shared" si="75"/>
        <v>2.4840361954314313E-3</v>
      </c>
      <c r="W90" s="2"/>
      <c r="X90" s="6">
        <f t="shared" si="76"/>
        <v>-2467.7599999999993</v>
      </c>
      <c r="Y90" s="2"/>
      <c r="Z90" s="7">
        <f t="shared" si="77"/>
        <v>-0.35833552353584347</v>
      </c>
    </row>
    <row r="91" spans="1:26" s="24" customFormat="1" hidden="1" outlineLevel="2" x14ac:dyDescent="0.25">
      <c r="A91" s="27"/>
      <c r="B91" s="11" t="str">
        <f>CONCATENATE("          ", "6239", " - ", "KITCHEN SUPPLIES")</f>
        <v xml:space="preserve">          6239 - KITCHEN SUPPLIES</v>
      </c>
      <c r="C91" s="11"/>
      <c r="D91" s="6"/>
      <c r="E91" s="2"/>
      <c r="F91" s="7">
        <f t="shared" si="70"/>
        <v>0</v>
      </c>
      <c r="G91" s="2"/>
      <c r="H91" s="6"/>
      <c r="I91" s="2"/>
      <c r="J91" s="7">
        <f t="shared" si="71"/>
        <v>0</v>
      </c>
      <c r="K91" s="2"/>
      <c r="L91" s="6">
        <f t="shared" si="72"/>
        <v>0</v>
      </c>
      <c r="M91" s="2"/>
      <c r="N91" s="7">
        <f t="shared" si="73"/>
        <v>0</v>
      </c>
      <c r="O91" s="11"/>
      <c r="P91" s="6">
        <v>441.2</v>
      </c>
      <c r="Q91" s="2"/>
      <c r="R91" s="7">
        <f t="shared" si="74"/>
        <v>1.8658697694203224E-4</v>
      </c>
      <c r="S91" s="2"/>
      <c r="T91" s="6">
        <v>61.06</v>
      </c>
      <c r="U91" s="2"/>
      <c r="V91" s="7">
        <f t="shared" si="75"/>
        <v>2.202427713777703E-5</v>
      </c>
      <c r="W91" s="2"/>
      <c r="X91" s="6">
        <f t="shared" si="76"/>
        <v>380.14</v>
      </c>
      <c r="Y91" s="2"/>
      <c r="Z91" s="7">
        <f t="shared" si="77"/>
        <v>6.2256796593514574</v>
      </c>
    </row>
    <row r="92" spans="1:26" s="24" customFormat="1" hidden="1" outlineLevel="2" x14ac:dyDescent="0.25">
      <c r="A92" s="27"/>
      <c r="B92" s="11" t="str">
        <f>CONCATENATE("          ", "6241", " - ", "OFFICE EXPENSE")</f>
        <v xml:space="preserve">          6241 - OFFICE EXPENSE</v>
      </c>
      <c r="C92" s="11"/>
      <c r="D92" s="6"/>
      <c r="E92" s="2"/>
      <c r="F92" s="7">
        <f t="shared" si="70"/>
        <v>0</v>
      </c>
      <c r="G92" s="2"/>
      <c r="H92" s="6">
        <v>956.5</v>
      </c>
      <c r="I92" s="2"/>
      <c r="J92" s="7">
        <f t="shared" si="71"/>
        <v>2.7886991705274532E-3</v>
      </c>
      <c r="K92" s="2"/>
      <c r="L92" s="6">
        <f t="shared" si="72"/>
        <v>-956.5</v>
      </c>
      <c r="M92" s="2"/>
      <c r="N92" s="7">
        <f t="shared" si="73"/>
        <v>-1</v>
      </c>
      <c r="O92" s="11"/>
      <c r="P92" s="6">
        <v>2377.21</v>
      </c>
      <c r="Q92" s="2"/>
      <c r="R92" s="7">
        <f t="shared" si="74"/>
        <v>1.0053409507170636E-3</v>
      </c>
      <c r="S92" s="2"/>
      <c r="T92" s="6">
        <v>7681.16</v>
      </c>
      <c r="U92" s="2"/>
      <c r="V92" s="7">
        <f t="shared" si="75"/>
        <v>2.7705862525320571E-3</v>
      </c>
      <c r="W92" s="2"/>
      <c r="X92" s="6">
        <f t="shared" si="76"/>
        <v>-5303.95</v>
      </c>
      <c r="Y92" s="2"/>
      <c r="Z92" s="7">
        <f t="shared" si="77"/>
        <v>-0.69051419316874008</v>
      </c>
    </row>
    <row r="93" spans="1:26" s="24" customFormat="1" hidden="1" outlineLevel="2" x14ac:dyDescent="0.25">
      <c r="A93" s="27"/>
      <c r="B93" s="11" t="str">
        <f>CONCATENATE("          ", "6243", " - ", "PAPER SUPPLIES")</f>
        <v xml:space="preserve">          6243 - PAPER SUPPLIES</v>
      </c>
      <c r="C93" s="11"/>
      <c r="D93" s="6"/>
      <c r="E93" s="2"/>
      <c r="F93" s="7">
        <f t="shared" si="70"/>
        <v>0</v>
      </c>
      <c r="G93" s="2"/>
      <c r="H93" s="6">
        <v>893.3</v>
      </c>
      <c r="I93" s="2"/>
      <c r="J93" s="7">
        <f t="shared" si="71"/>
        <v>2.6044380230341598E-3</v>
      </c>
      <c r="K93" s="2"/>
      <c r="L93" s="6">
        <f t="shared" si="72"/>
        <v>-893.3</v>
      </c>
      <c r="M93" s="2"/>
      <c r="N93" s="7">
        <f t="shared" si="73"/>
        <v>-1</v>
      </c>
      <c r="O93" s="11"/>
      <c r="P93" s="6">
        <v>4964.92</v>
      </c>
      <c r="Q93" s="2"/>
      <c r="R93" s="7">
        <f t="shared" si="74"/>
        <v>2.0997040198527531E-3</v>
      </c>
      <c r="S93" s="2"/>
      <c r="T93" s="6">
        <v>9049.23</v>
      </c>
      <c r="U93" s="2"/>
      <c r="V93" s="7">
        <f t="shared" si="75"/>
        <v>3.2640476482719621E-3</v>
      </c>
      <c r="W93" s="2"/>
      <c r="X93" s="6">
        <f t="shared" si="76"/>
        <v>-4084.3099999999995</v>
      </c>
      <c r="Y93" s="2"/>
      <c r="Z93" s="7">
        <f t="shared" si="77"/>
        <v>-0.45134337396662477</v>
      </c>
    </row>
    <row r="94" spans="1:26" s="24" customFormat="1" hidden="1" outlineLevel="2" x14ac:dyDescent="0.25">
      <c r="A94" s="27"/>
      <c r="B94" s="11" t="str">
        <f>CONCATENATE("          ", "6245", " - ", "PRINTING")</f>
        <v xml:space="preserve">          6245 - PRINTING</v>
      </c>
      <c r="C94" s="11"/>
      <c r="D94" s="6"/>
      <c r="E94" s="2"/>
      <c r="F94" s="7">
        <f t="shared" si="70"/>
        <v>0</v>
      </c>
      <c r="G94" s="2"/>
      <c r="H94" s="6"/>
      <c r="I94" s="2"/>
      <c r="J94" s="7">
        <f t="shared" si="71"/>
        <v>0</v>
      </c>
      <c r="K94" s="2"/>
      <c r="L94" s="6">
        <f t="shared" si="72"/>
        <v>0</v>
      </c>
      <c r="M94" s="2"/>
      <c r="N94" s="7">
        <f t="shared" si="73"/>
        <v>0</v>
      </c>
      <c r="O94" s="11"/>
      <c r="P94" s="6">
        <v>81.739999999999995</v>
      </c>
      <c r="Q94" s="2"/>
      <c r="R94" s="7">
        <f t="shared" si="74"/>
        <v>3.4568493869541506E-5</v>
      </c>
      <c r="S94" s="2"/>
      <c r="T94" s="6">
        <v>51.82</v>
      </c>
      <c r="U94" s="2"/>
      <c r="V94" s="7">
        <f t="shared" si="75"/>
        <v>1.8691418953154366E-5</v>
      </c>
      <c r="W94" s="2"/>
      <c r="X94" s="6">
        <f t="shared" si="76"/>
        <v>29.919999999999995</v>
      </c>
      <c r="Y94" s="2"/>
      <c r="Z94" s="7">
        <f t="shared" si="77"/>
        <v>0.57738324971053634</v>
      </c>
    </row>
    <row r="95" spans="1:26" s="24" customFormat="1" hidden="1" outlineLevel="2" x14ac:dyDescent="0.25">
      <c r="A95" s="27"/>
      <c r="B95" s="11" t="str">
        <f>CONCATENATE("          ", "6247", " - ", "STORE SUPPLIES")</f>
        <v xml:space="preserve">          6247 - STORE SUPPLIES</v>
      </c>
      <c r="C95" s="11"/>
      <c r="D95" s="6">
        <v>130.18</v>
      </c>
      <c r="E95" s="2"/>
      <c r="F95" s="7">
        <f t="shared" si="70"/>
        <v>2.873096446700508</v>
      </c>
      <c r="G95" s="2"/>
      <c r="H95" s="6">
        <v>2358.67</v>
      </c>
      <c r="I95" s="2"/>
      <c r="J95" s="7">
        <f t="shared" si="71"/>
        <v>6.8767601385760456E-3</v>
      </c>
      <c r="K95" s="2"/>
      <c r="L95" s="6">
        <f t="shared" si="72"/>
        <v>-2228.4900000000002</v>
      </c>
      <c r="M95" s="2"/>
      <c r="N95" s="7">
        <f t="shared" si="73"/>
        <v>-0.94480787901656449</v>
      </c>
      <c r="O95" s="11"/>
      <c r="P95" s="6">
        <v>36107.89</v>
      </c>
      <c r="Q95" s="2"/>
      <c r="R95" s="7">
        <f t="shared" si="74"/>
        <v>1.5270312871385848E-2</v>
      </c>
      <c r="S95" s="2"/>
      <c r="T95" s="6">
        <v>19779.759999999998</v>
      </c>
      <c r="U95" s="2"/>
      <c r="V95" s="7">
        <f t="shared" si="75"/>
        <v>7.134538420548911E-3</v>
      </c>
      <c r="W95" s="2"/>
      <c r="X95" s="6">
        <f t="shared" si="76"/>
        <v>16328.130000000001</v>
      </c>
      <c r="Y95" s="2"/>
      <c r="Z95" s="7">
        <f t="shared" si="77"/>
        <v>0.82549687154950324</v>
      </c>
    </row>
    <row r="96" spans="1:26" s="24" customFormat="1" hidden="1" outlineLevel="2" x14ac:dyDescent="0.25">
      <c r="A96" s="27"/>
      <c r="B96" s="11" t="str">
        <f>CONCATENATE("          ", "6248", " - ", "UNIFORMS")</f>
        <v xml:space="preserve">          6248 - UNIFORMS</v>
      </c>
      <c r="C96" s="11"/>
      <c r="D96" s="6"/>
      <c r="E96" s="2"/>
      <c r="F96" s="7">
        <f t="shared" si="70"/>
        <v>0</v>
      </c>
      <c r="G96" s="2"/>
      <c r="H96" s="6"/>
      <c r="I96" s="2"/>
      <c r="J96" s="7">
        <f t="shared" si="71"/>
        <v>0</v>
      </c>
      <c r="K96" s="2"/>
      <c r="L96" s="6">
        <f t="shared" si="72"/>
        <v>0</v>
      </c>
      <c r="M96" s="2"/>
      <c r="N96" s="7">
        <f t="shared" si="73"/>
        <v>0</v>
      </c>
      <c r="O96" s="11"/>
      <c r="P96" s="6">
        <v>153.11000000000001</v>
      </c>
      <c r="Q96" s="2"/>
      <c r="R96" s="7">
        <f t="shared" si="74"/>
        <v>6.4751432546678505E-5</v>
      </c>
      <c r="S96" s="2"/>
      <c r="T96" s="6">
        <v>1151.18</v>
      </c>
      <c r="U96" s="2"/>
      <c r="V96" s="7">
        <f t="shared" si="75"/>
        <v>4.1522940313570524E-4</v>
      </c>
      <c r="W96" s="2"/>
      <c r="X96" s="6">
        <f t="shared" si="76"/>
        <v>-998.07</v>
      </c>
      <c r="Y96" s="2"/>
      <c r="Z96" s="7">
        <f t="shared" si="77"/>
        <v>-0.86699734185791966</v>
      </c>
    </row>
    <row r="97" spans="1:26" s="25" customFormat="1" outlineLevel="1" collapsed="1" x14ac:dyDescent="0.25">
      <c r="A97" s="26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SUM(OSRRefD22_19x_0)</f>
        <v>479.57</v>
      </c>
      <c r="E97" s="1"/>
      <c r="F97" s="5">
        <f t="shared" ref="F97:F104" si="78">IF(D$12=0,0,D97/D$12)</f>
        <v>10.584197748841316</v>
      </c>
      <c r="G97" s="1"/>
      <c r="H97" s="1">
        <f>SUM(OSRRefH22_19x_0)</f>
        <v>344.51</v>
      </c>
      <c r="I97" s="1"/>
      <c r="J97" s="5">
        <f t="shared" ref="J97:J104" si="79">IF(H$12=0,0,H97/H$12)</f>
        <v>1.0044273405524441E-3</v>
      </c>
      <c r="K97" s="1"/>
      <c r="L97" s="1">
        <f t="shared" ref="L97:L104" si="80">+D97-H97</f>
        <v>135.06</v>
      </c>
      <c r="M97" s="1"/>
      <c r="N97" s="5">
        <f t="shared" ref="N97:N104" si="81">IF(H97=0,0,L97/H97)</f>
        <v>0.39203506429421497</v>
      </c>
      <c r="O97" s="13"/>
      <c r="P97" s="1">
        <f>SUM(OSRRefP22_19x_0)</f>
        <v>3975.87</v>
      </c>
      <c r="Q97" s="1"/>
      <c r="R97" s="5">
        <f t="shared" ref="R97:R104" si="82">IF(P$12=0,0,P97/P$12)</f>
        <v>1.6814269356630047E-3</v>
      </c>
      <c r="S97" s="1"/>
      <c r="T97" s="1">
        <f>SUM(OSRRefT22_19x_0)</f>
        <v>3531.5</v>
      </c>
      <c r="U97" s="1"/>
      <c r="V97" s="5">
        <f t="shared" ref="V97:V104" si="83">IF(T$12=0,0,T97/T$12)</f>
        <v>1.273808298592525E-3</v>
      </c>
      <c r="W97" s="1"/>
      <c r="X97" s="1">
        <f t="shared" ref="X97:X104" si="84">+P97-T97</f>
        <v>444.36999999999989</v>
      </c>
      <c r="Y97" s="1"/>
      <c r="Z97" s="5">
        <f t="shared" ref="Z97:Z104" si="85">IF(T97=0,0,X97/T97)</f>
        <v>0.12583038368965027</v>
      </c>
    </row>
    <row r="98" spans="1:26" s="24" customFormat="1" hidden="1" outlineLevel="2" x14ac:dyDescent="0.25">
      <c r="A98" s="27"/>
      <c r="B98" s="11" t="str">
        <f>CONCATENATE("          ", "6309", " - ", "TELEPHONE")</f>
        <v xml:space="preserve">          6309 - TELEPHONE</v>
      </c>
      <c r="C98" s="11"/>
      <c r="D98" s="6">
        <v>479.57</v>
      </c>
      <c r="E98" s="2"/>
      <c r="F98" s="7">
        <f t="shared" si="78"/>
        <v>10.584197748841316</v>
      </c>
      <c r="G98" s="2"/>
      <c r="H98" s="6">
        <v>344.51</v>
      </c>
      <c r="I98" s="2"/>
      <c r="J98" s="7">
        <f t="shared" si="79"/>
        <v>1.0044273405524441E-3</v>
      </c>
      <c r="K98" s="2"/>
      <c r="L98" s="6">
        <f t="shared" si="80"/>
        <v>135.06</v>
      </c>
      <c r="M98" s="2"/>
      <c r="N98" s="7">
        <f t="shared" si="81"/>
        <v>0.39203506429421497</v>
      </c>
      <c r="O98" s="11"/>
      <c r="P98" s="6">
        <v>3975.87</v>
      </c>
      <c r="Q98" s="2"/>
      <c r="R98" s="7">
        <f t="shared" si="82"/>
        <v>1.6814269356630047E-3</v>
      </c>
      <c r="S98" s="2"/>
      <c r="T98" s="6">
        <v>3531.5</v>
      </c>
      <c r="U98" s="2"/>
      <c r="V98" s="7">
        <f t="shared" si="83"/>
        <v>1.273808298592525E-3</v>
      </c>
      <c r="W98" s="2"/>
      <c r="X98" s="6">
        <f t="shared" si="84"/>
        <v>444.36999999999989</v>
      </c>
      <c r="Y98" s="2"/>
      <c r="Z98" s="7">
        <f t="shared" si="85"/>
        <v>0.12583038368965027</v>
      </c>
    </row>
    <row r="99" spans="1:26" s="25" customFormat="1" outlineLevel="1" collapsed="1" x14ac:dyDescent="0.25">
      <c r="A99" s="26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SUM(OSRRefD22_20x_0)</f>
        <v>0</v>
      </c>
      <c r="E99" s="1"/>
      <c r="F99" s="5">
        <f t="shared" si="78"/>
        <v>0</v>
      </c>
      <c r="G99" s="1"/>
      <c r="H99" s="1">
        <f>SUM(OSRRefH22_20x_0)</f>
        <v>0</v>
      </c>
      <c r="I99" s="1"/>
      <c r="J99" s="5">
        <f t="shared" si="79"/>
        <v>0</v>
      </c>
      <c r="K99" s="1"/>
      <c r="L99" s="1">
        <f t="shared" si="80"/>
        <v>0</v>
      </c>
      <c r="M99" s="1"/>
      <c r="N99" s="5">
        <f t="shared" si="81"/>
        <v>0</v>
      </c>
      <c r="O99" s="13"/>
      <c r="P99" s="1">
        <f>SUM(OSRRefP22_20x_0)</f>
        <v>110</v>
      </c>
      <c r="Q99" s="1"/>
      <c r="R99" s="5">
        <f t="shared" si="82"/>
        <v>4.6519871857714293E-5</v>
      </c>
      <c r="S99" s="1"/>
      <c r="T99" s="1">
        <f>SUM(OSRRefT22_20x_0)</f>
        <v>297.82</v>
      </c>
      <c r="U99" s="1"/>
      <c r="V99" s="5">
        <f t="shared" si="83"/>
        <v>1.074233576346668E-4</v>
      </c>
      <c r="W99" s="1"/>
      <c r="X99" s="1">
        <f t="shared" si="84"/>
        <v>-187.82</v>
      </c>
      <c r="Y99" s="1"/>
      <c r="Z99" s="5">
        <f t="shared" si="85"/>
        <v>-0.63064938553488681</v>
      </c>
    </row>
    <row r="100" spans="1:26" s="24" customFormat="1" hidden="1" outlineLevel="2" x14ac:dyDescent="0.25">
      <c r="A100" s="27"/>
      <c r="B100" s="11" t="str">
        <f>CONCATENATE("          ", "6376", " - ", "TRAINING")</f>
        <v xml:space="preserve">          6376 - TRAINING</v>
      </c>
      <c r="C100" s="11"/>
      <c r="D100" s="6"/>
      <c r="E100" s="2"/>
      <c r="F100" s="7">
        <f t="shared" si="78"/>
        <v>0</v>
      </c>
      <c r="G100" s="2"/>
      <c r="H100" s="6"/>
      <c r="I100" s="2"/>
      <c r="J100" s="7">
        <f t="shared" si="79"/>
        <v>0</v>
      </c>
      <c r="K100" s="2"/>
      <c r="L100" s="6">
        <f t="shared" si="80"/>
        <v>0</v>
      </c>
      <c r="M100" s="2"/>
      <c r="N100" s="7">
        <f t="shared" si="81"/>
        <v>0</v>
      </c>
      <c r="O100" s="11"/>
      <c r="P100" s="6">
        <v>110</v>
      </c>
      <c r="Q100" s="2"/>
      <c r="R100" s="7">
        <f t="shared" si="82"/>
        <v>4.6519871857714293E-5</v>
      </c>
      <c r="S100" s="2"/>
      <c r="T100" s="6">
        <v>297.82</v>
      </c>
      <c r="U100" s="2"/>
      <c r="V100" s="7">
        <f t="shared" si="83"/>
        <v>1.074233576346668E-4</v>
      </c>
      <c r="W100" s="2"/>
      <c r="X100" s="6">
        <f t="shared" si="84"/>
        <v>-187.82</v>
      </c>
      <c r="Y100" s="2"/>
      <c r="Z100" s="7">
        <f t="shared" si="85"/>
        <v>-0.63064938553488681</v>
      </c>
    </row>
    <row r="101" spans="1:26" s="25" customFormat="1" outlineLevel="1" collapsed="1" x14ac:dyDescent="0.25">
      <c r="A101" s="26"/>
      <c r="B101" s="13" t="str">
        <f>CONCATENATE("     ","Travel                                            ")</f>
        <v xml:space="preserve">     Travel                                            </v>
      </c>
      <c r="C101" s="13"/>
      <c r="D101" s="1">
        <f>SUM(OSRRefD22_21x_0)</f>
        <v>66</v>
      </c>
      <c r="E101" s="1"/>
      <c r="F101" s="5">
        <f t="shared" si="78"/>
        <v>1.4566320900463476</v>
      </c>
      <c r="G101" s="1"/>
      <c r="H101" s="1">
        <f>SUM(OSRRefH22_21x_0)</f>
        <v>0</v>
      </c>
      <c r="I101" s="1"/>
      <c r="J101" s="5">
        <f t="shared" si="79"/>
        <v>0</v>
      </c>
      <c r="K101" s="1"/>
      <c r="L101" s="1">
        <f t="shared" si="80"/>
        <v>66</v>
      </c>
      <c r="M101" s="1"/>
      <c r="N101" s="5">
        <f t="shared" si="81"/>
        <v>0</v>
      </c>
      <c r="O101" s="13"/>
      <c r="P101" s="1">
        <f>SUM(OSRRefP22_21x_0)</f>
        <v>66</v>
      </c>
      <c r="Q101" s="1"/>
      <c r="R101" s="5">
        <f t="shared" si="82"/>
        <v>2.7911923114628575E-5</v>
      </c>
      <c r="S101" s="1"/>
      <c r="T101" s="1">
        <f>SUM(OSRRefT22_21x_0)</f>
        <v>0</v>
      </c>
      <c r="U101" s="1"/>
      <c r="V101" s="5">
        <f t="shared" si="83"/>
        <v>0</v>
      </c>
      <c r="W101" s="1"/>
      <c r="X101" s="1">
        <f t="shared" si="84"/>
        <v>66</v>
      </c>
      <c r="Y101" s="1"/>
      <c r="Z101" s="5">
        <f t="shared" si="85"/>
        <v>0</v>
      </c>
    </row>
    <row r="102" spans="1:26" s="24" customFormat="1" hidden="1" outlineLevel="2" x14ac:dyDescent="0.25">
      <c r="A102" s="27"/>
      <c r="B102" s="11" t="str">
        <f>CONCATENATE("          ", "6298", " - ", "VEHICLE MILEAGE")</f>
        <v xml:space="preserve">          6298 - VEHICLE MILEAGE</v>
      </c>
      <c r="C102" s="11"/>
      <c r="D102" s="6">
        <v>66</v>
      </c>
      <c r="E102" s="2"/>
      <c r="F102" s="7">
        <f t="shared" si="78"/>
        <v>1.4566320900463476</v>
      </c>
      <c r="G102" s="2"/>
      <c r="H102" s="6"/>
      <c r="I102" s="2"/>
      <c r="J102" s="7">
        <f t="shared" si="79"/>
        <v>0</v>
      </c>
      <c r="K102" s="2"/>
      <c r="L102" s="6">
        <f t="shared" si="80"/>
        <v>66</v>
      </c>
      <c r="M102" s="2"/>
      <c r="N102" s="7">
        <f t="shared" si="81"/>
        <v>0</v>
      </c>
      <c r="O102" s="11"/>
      <c r="P102" s="6">
        <v>66</v>
      </c>
      <c r="Q102" s="2"/>
      <c r="R102" s="7">
        <f t="shared" si="82"/>
        <v>2.7911923114628575E-5</v>
      </c>
      <c r="S102" s="2"/>
      <c r="T102" s="6"/>
      <c r="U102" s="2"/>
      <c r="V102" s="7">
        <f t="shared" si="83"/>
        <v>0</v>
      </c>
      <c r="W102" s="2"/>
      <c r="X102" s="6">
        <f t="shared" si="84"/>
        <v>66</v>
      </c>
      <c r="Y102" s="2"/>
      <c r="Z102" s="7">
        <f t="shared" si="85"/>
        <v>0</v>
      </c>
    </row>
    <row r="103" spans="1:26" s="25" customFormat="1" outlineLevel="1" collapsed="1" x14ac:dyDescent="0.25">
      <c r="A103" s="26"/>
      <c r="B103" s="13" t="str">
        <f>CONCATENATE("     ","Utilities                                         ")</f>
        <v xml:space="preserve">     Utilities                                         </v>
      </c>
      <c r="C103" s="13"/>
      <c r="D103" s="1">
        <f>SUM(OSRRefD22_22x_0)</f>
        <v>1691.62</v>
      </c>
      <c r="E103" s="1"/>
      <c r="F103" s="5">
        <f t="shared" si="78"/>
        <v>37.334363275215189</v>
      </c>
      <c r="G103" s="1"/>
      <c r="H103" s="1">
        <f>SUM(OSRRefH22_22x_0)</f>
        <v>1110</v>
      </c>
      <c r="I103" s="1"/>
      <c r="J103" s="5">
        <f t="shared" si="79"/>
        <v>3.2362321790752463E-3</v>
      </c>
      <c r="K103" s="1"/>
      <c r="L103" s="1">
        <f t="shared" si="80"/>
        <v>581.61999999999989</v>
      </c>
      <c r="M103" s="1"/>
      <c r="N103" s="5">
        <f t="shared" si="81"/>
        <v>0.52398198198198187</v>
      </c>
      <c r="O103" s="13"/>
      <c r="P103" s="1">
        <f>SUM(OSRRefP22_22x_0)</f>
        <v>10494.74</v>
      </c>
      <c r="Q103" s="1"/>
      <c r="R103" s="5">
        <f t="shared" si="82"/>
        <v>4.4383087270911678E-3</v>
      </c>
      <c r="S103" s="1"/>
      <c r="T103" s="1">
        <f>SUM(OSRRefT22_22x_0)</f>
        <v>8479.49</v>
      </c>
      <c r="U103" s="1"/>
      <c r="V103" s="5">
        <f t="shared" si="83"/>
        <v>3.0585430354898285E-3</v>
      </c>
      <c r="W103" s="1"/>
      <c r="X103" s="1">
        <f t="shared" si="84"/>
        <v>2015.25</v>
      </c>
      <c r="Y103" s="1"/>
      <c r="Z103" s="5">
        <f t="shared" si="85"/>
        <v>0.2376616989936895</v>
      </c>
    </row>
    <row r="104" spans="1:26" s="24" customFormat="1" hidden="1" outlineLevel="2" x14ac:dyDescent="0.25">
      <c r="A104" s="27"/>
      <c r="B104" s="11" t="str">
        <f>CONCATENATE("          ", "6274", " - ", "UTILITIES")</f>
        <v xml:space="preserve">          6274 - UTILITIES</v>
      </c>
      <c r="C104" s="11"/>
      <c r="D104" s="6">
        <v>1691.62</v>
      </c>
      <c r="E104" s="2"/>
      <c r="F104" s="7">
        <f t="shared" si="78"/>
        <v>37.334363275215189</v>
      </c>
      <c r="G104" s="2"/>
      <c r="H104" s="6">
        <v>1110</v>
      </c>
      <c r="I104" s="2"/>
      <c r="J104" s="7">
        <f t="shared" si="79"/>
        <v>3.2362321790752463E-3</v>
      </c>
      <c r="K104" s="2"/>
      <c r="L104" s="6">
        <f t="shared" si="80"/>
        <v>581.61999999999989</v>
      </c>
      <c r="M104" s="2"/>
      <c r="N104" s="7">
        <f t="shared" si="81"/>
        <v>0.52398198198198187</v>
      </c>
      <c r="O104" s="11"/>
      <c r="P104" s="6">
        <v>10494.74</v>
      </c>
      <c r="Q104" s="2"/>
      <c r="R104" s="7">
        <f t="shared" si="82"/>
        <v>4.4383087270911678E-3</v>
      </c>
      <c r="S104" s="2"/>
      <c r="T104" s="6">
        <v>8479.49</v>
      </c>
      <c r="U104" s="2"/>
      <c r="V104" s="7">
        <f t="shared" si="83"/>
        <v>3.0585430354898285E-3</v>
      </c>
      <c r="W104" s="2"/>
      <c r="X104" s="6">
        <f t="shared" si="84"/>
        <v>2015.25</v>
      </c>
      <c r="Y104" s="2"/>
      <c r="Z104" s="7">
        <f t="shared" si="85"/>
        <v>0.2376616989936895</v>
      </c>
    </row>
    <row r="105" spans="1:26" s="53" customFormat="1" x14ac:dyDescent="0.25">
      <c r="A105" s="37"/>
      <c r="B105" s="37"/>
      <c r="C105" s="37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7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x14ac:dyDescent="0.25">
      <c r="A106" s="10"/>
      <c r="B106" s="29" t="s">
        <v>0</v>
      </c>
      <c r="C106" s="10"/>
      <c r="D106" s="4">
        <f>SUM(0)</f>
        <v>0</v>
      </c>
      <c r="E106" s="4"/>
      <c r="F106" s="12">
        <f>IF(D$12=0,0,D106/D$12)</f>
        <v>0</v>
      </c>
      <c r="G106" s="4"/>
      <c r="H106" s="4">
        <f>SUM(0)</f>
        <v>0</v>
      </c>
      <c r="I106" s="4"/>
      <c r="J106" s="12">
        <f>IF(H$12=0,0,H106/H$12)</f>
        <v>0</v>
      </c>
      <c r="K106" s="4"/>
      <c r="L106" s="4">
        <f>+D106-H106</f>
        <v>0</v>
      </c>
      <c r="M106" s="4"/>
      <c r="N106" s="12">
        <f>IF(H106=0,0,L106/H106)</f>
        <v>0</v>
      </c>
      <c r="O106" s="10"/>
      <c r="P106" s="4">
        <f>SUM(0)</f>
        <v>0</v>
      </c>
      <c r="Q106" s="4"/>
      <c r="R106" s="12">
        <f>IF(P$12=0,0,P106/P$12)</f>
        <v>0</v>
      </c>
      <c r="S106" s="4"/>
      <c r="T106" s="4">
        <f>SUM(0)</f>
        <v>0</v>
      </c>
      <c r="U106" s="4"/>
      <c r="V106" s="12">
        <f>IF(T$12=0,0,T106/T$12)</f>
        <v>0</v>
      </c>
      <c r="W106" s="4"/>
      <c r="X106" s="4">
        <f>+P106-T106</f>
        <v>0</v>
      </c>
      <c r="Y106" s="4"/>
      <c r="Z106" s="12">
        <f>IF(T106=0,0,X106/T106)</f>
        <v>0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3</v>
      </c>
      <c r="C108" s="28"/>
      <c r="D108" s="21">
        <f>+D29-D31+D106</f>
        <v>-138341.42000000001</v>
      </c>
      <c r="E108" s="14"/>
      <c r="F108" s="20">
        <f>IF(D$12=0,0,D108/D$12)</f>
        <v>-3053.2204811299939</v>
      </c>
      <c r="G108" s="14"/>
      <c r="H108" s="21">
        <f>+H29-H31+H106</f>
        <v>77016.539999999964</v>
      </c>
      <c r="I108" s="14"/>
      <c r="J108" s="20">
        <f>IF(H$12=0,0,H108/H$12)</f>
        <v>0.22454360817030247</v>
      </c>
      <c r="K108" s="15"/>
      <c r="L108" s="21">
        <f>+D108-H108</f>
        <v>-215357.95999999996</v>
      </c>
      <c r="M108" s="15"/>
      <c r="N108" s="20">
        <f>IF(H108=0,0,L108/H108)</f>
        <v>-2.7962559730676042</v>
      </c>
      <c r="O108" s="29"/>
      <c r="P108" s="21">
        <f>+P29-P31+P106</f>
        <v>134284.84999999963</v>
      </c>
      <c r="Q108" s="14"/>
      <c r="R108" s="20">
        <f>IF(P$12=0,0,P108/P$12)</f>
        <v>5.6790127403930614E-2</v>
      </c>
      <c r="S108" s="14"/>
      <c r="T108" s="21">
        <f>+T29-T31+T106</f>
        <v>419717.4500000003</v>
      </c>
      <c r="U108" s="14"/>
      <c r="V108" s="20">
        <f>IF(T$12=0,0,T108/T$12)</f>
        <v>0.15139163836162922</v>
      </c>
      <c r="W108" s="15"/>
      <c r="X108" s="21">
        <f>+P108-T108</f>
        <v>-285432.60000000068</v>
      </c>
      <c r="Y108" s="15"/>
      <c r="Z108" s="20">
        <f>IF(T108=0,0,X108/T108)</f>
        <v>-0.68005893012072871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1"/>
      <c r="B110" s="10" t="s">
        <v>13</v>
      </c>
      <c r="C110" s="10"/>
      <c r="D110" s="4">
        <v>15115.510000000002</v>
      </c>
      <c r="E110" s="4"/>
      <c r="F110" s="12">
        <f>IF(D$12=0,0,D110/D$12)</f>
        <v>333.60207459721926</v>
      </c>
      <c r="G110" s="4"/>
      <c r="H110" s="4">
        <v>38052.550000000003</v>
      </c>
      <c r="I110" s="4"/>
      <c r="J110" s="12">
        <f>IF(H$12=0,0,H110/H$12)</f>
        <v>0.11094314126654933</v>
      </c>
      <c r="K110" s="4"/>
      <c r="L110" s="4">
        <f>+D110-H110</f>
        <v>-22937.040000000001</v>
      </c>
      <c r="M110" s="4"/>
      <c r="N110" s="12">
        <f>IF(H110=0,0,L110/H110)</f>
        <v>-0.60277274453354635</v>
      </c>
      <c r="O110" s="10"/>
      <c r="P110" s="4">
        <v>268481.23000000004</v>
      </c>
      <c r="Q110" s="4"/>
      <c r="R110" s="12">
        <f>IF(P$12=0,0,P110/P$12)</f>
        <v>0.11354284014365018</v>
      </c>
      <c r="S110" s="4"/>
      <c r="T110" s="4">
        <v>288214.19</v>
      </c>
      <c r="U110" s="4"/>
      <c r="V110" s="12">
        <f>IF(T$12=0,0,T110/T$12)</f>
        <v>0.10395855217163323</v>
      </c>
      <c r="W110" s="4"/>
      <c r="X110" s="4">
        <f>+P110-T110</f>
        <v>-19732.959999999963</v>
      </c>
      <c r="Y110" s="4"/>
      <c r="Z110" s="12">
        <f>IF(T110=0,0,X110/T110)</f>
        <v>-6.8466302786826569E-2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4</v>
      </c>
      <c r="C112" s="28"/>
      <c r="D112" s="30">
        <f>+D108-D110</f>
        <v>-153456.93000000002</v>
      </c>
      <c r="E112" s="14"/>
      <c r="F112" s="36">
        <f>IF(D$12=0,0,D112/D$12)</f>
        <v>-3386.8225557272135</v>
      </c>
      <c r="G112" s="14"/>
      <c r="H112" s="30">
        <f>+H108-H110</f>
        <v>38963.989999999962</v>
      </c>
      <c r="I112" s="14"/>
      <c r="J112" s="36">
        <f>IF(H$12=0,0,H112/H$12)</f>
        <v>0.11360046690375313</v>
      </c>
      <c r="K112" s="15"/>
      <c r="L112" s="30">
        <f>D112-H112</f>
        <v>-192420.91999999998</v>
      </c>
      <c r="M112" s="15"/>
      <c r="N112" s="36">
        <f>IF(H112=0,0,L112/H112)</f>
        <v>-4.9384295602170152</v>
      </c>
      <c r="O112" s="29"/>
      <c r="P112" s="30">
        <f>+P108-P110</f>
        <v>-134196.38000000041</v>
      </c>
      <c r="Q112" s="14"/>
      <c r="R112" s="36">
        <f>IF(P$12=0,0,P112/P$12)</f>
        <v>-5.6752712739719567E-2</v>
      </c>
      <c r="S112" s="14"/>
      <c r="T112" s="30">
        <f>+T108-T110</f>
        <v>131503.2600000003</v>
      </c>
      <c r="U112" s="14"/>
      <c r="V112" s="36">
        <f>IF(T$12=0,0,T112/T$12)</f>
        <v>4.743308618999599E-2</v>
      </c>
      <c r="W112" s="15"/>
      <c r="X112" s="30">
        <f>P112-T112</f>
        <v>-265699.64000000071</v>
      </c>
      <c r="Y112" s="15"/>
      <c r="Z112" s="36">
        <f>IF(T112=0,0,X112/T112)</f>
        <v>-2.0204794922954772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5</v>
      </c>
      <c r="C115" s="28"/>
      <c r="D115" s="31">
        <f>SUM(D112:D114)</f>
        <v>-153456.93000000002</v>
      </c>
      <c r="E115" s="14"/>
      <c r="F115" s="32">
        <f>IF(D$12=0,0,D115/D$12)</f>
        <v>-3386.8225557272135</v>
      </c>
      <c r="G115" s="14"/>
      <c r="H115" s="31">
        <f>SUM(H112:H114)</f>
        <v>38963.989999999962</v>
      </c>
      <c r="I115" s="14"/>
      <c r="J115" s="32">
        <f>IF(H$12=0,0,H115/H$12)</f>
        <v>0.11360046690375313</v>
      </c>
      <c r="K115" s="15"/>
      <c r="L115" s="31">
        <f>+D115-H115</f>
        <v>-192420.91999999998</v>
      </c>
      <c r="M115" s="15"/>
      <c r="N115" s="32">
        <f>IF(H115=0,0,L115/H115)</f>
        <v>-4.9384295602170152</v>
      </c>
      <c r="O115" s="29"/>
      <c r="P115" s="31">
        <f>SUM(P112:P114)</f>
        <v>-134196.38000000041</v>
      </c>
      <c r="Q115" s="14"/>
      <c r="R115" s="32">
        <f>IF(P$12=0,0,P115/P$12)</f>
        <v>-5.6752712739719567E-2</v>
      </c>
      <c r="S115" s="14"/>
      <c r="T115" s="31">
        <f>SUM(T112:T114)</f>
        <v>131503.2600000003</v>
      </c>
      <c r="U115" s="14"/>
      <c r="V115" s="32">
        <f>IF(T$12=0,0,T115/T$12)</f>
        <v>4.743308618999599E-2</v>
      </c>
      <c r="W115" s="15"/>
      <c r="X115" s="31">
        <f>+P115-T115</f>
        <v>-265699.64000000071</v>
      </c>
      <c r="Y115" s="15"/>
      <c r="Z115" s="32">
        <f>IF(T115=0,0,X115/T115)</f>
        <v>-2.0204794922954772</v>
      </c>
    </row>
    <row r="116" spans="1:26" ht="15.75" thickTop="1" x14ac:dyDescent="0.25">
      <c r="A116" s="9"/>
      <c r="C116" s="9"/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54">
        <v>43965.470450000001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9" t="s">
        <v>313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61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","309", " - ", "Carts")</f>
        <v>Department 309 - Carts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50004.21</v>
      </c>
      <c r="I12" s="4"/>
      <c r="J12" s="12"/>
      <c r="K12" s="4"/>
      <c r="L12" s="4">
        <f t="shared" ref="L12:L14" si="0">+D12-H12</f>
        <v>-50004.21</v>
      </c>
      <c r="M12" s="4"/>
      <c r="N12" s="12">
        <f t="shared" ref="N12:N14" si="1">IF(H12=0,0,L12/H12)</f>
        <v>-1</v>
      </c>
      <c r="O12" s="10"/>
      <c r="P12" s="4">
        <f>SUM(OSRRefP13x_0)</f>
        <v>287556.77999999997</v>
      </c>
      <c r="Q12" s="4"/>
      <c r="R12" s="12"/>
      <c r="S12" s="4"/>
      <c r="T12" s="4">
        <f>SUM(OSRRefT13x_0)</f>
        <v>362407.48</v>
      </c>
      <c r="U12" s="4"/>
      <c r="V12" s="12"/>
      <c r="W12" s="4"/>
      <c r="X12" s="4">
        <f t="shared" ref="X12:X14" si="2">+P12-T12</f>
        <v>-74850.700000000012</v>
      </c>
      <c r="Y12" s="4"/>
      <c r="Z12" s="12">
        <f t="shared" ref="Z12:Z14" si="3">IF(T12=0,0,X12/T12)</f>
        <v>-0.20653740369817977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--10187.5</f>
        <v>10187.5</v>
      </c>
      <c r="I13" s="2"/>
      <c r="J13" s="19"/>
      <c r="K13" s="2"/>
      <c r="L13" s="2">
        <f t="shared" si="0"/>
        <v>-10187.5</v>
      </c>
      <c r="M13" s="2"/>
      <c r="N13" s="19">
        <f t="shared" si="1"/>
        <v>-1</v>
      </c>
      <c r="O13" s="11"/>
      <c r="P13" s="2">
        <f>--64154.32</f>
        <v>64154.32</v>
      </c>
      <c r="Q13" s="2"/>
      <c r="R13" s="19"/>
      <c r="S13" s="2"/>
      <c r="T13" s="2">
        <f>--80880.97</f>
        <v>80880.97</v>
      </c>
      <c r="U13" s="2"/>
      <c r="V13" s="19"/>
      <c r="W13" s="2"/>
      <c r="X13" s="2">
        <f t="shared" si="2"/>
        <v>-16726.650000000001</v>
      </c>
      <c r="Y13" s="2"/>
      <c r="Z13" s="19">
        <f t="shared" si="3"/>
        <v>-0.20680575418420427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--39816.71</f>
        <v>39816.71</v>
      </c>
      <c r="I14" s="2"/>
      <c r="J14" s="19"/>
      <c r="K14" s="2"/>
      <c r="L14" s="2">
        <f t="shared" si="0"/>
        <v>-39816.71</v>
      </c>
      <c r="M14" s="2"/>
      <c r="N14" s="19">
        <f t="shared" si="1"/>
        <v>-1</v>
      </c>
      <c r="O14" s="11"/>
      <c r="P14" s="2">
        <f>--223402.46</f>
        <v>223402.46</v>
      </c>
      <c r="Q14" s="2"/>
      <c r="R14" s="19"/>
      <c r="S14" s="2"/>
      <c r="T14" s="2">
        <f>--281526.51</f>
        <v>281526.51</v>
      </c>
      <c r="U14" s="2"/>
      <c r="V14" s="19"/>
      <c r="W14" s="2"/>
      <c r="X14" s="2">
        <f t="shared" si="2"/>
        <v>-58124.050000000017</v>
      </c>
      <c r="Y14" s="2"/>
      <c r="Z14" s="19">
        <f t="shared" si="3"/>
        <v>-0.20646030812515673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19986.64</v>
      </c>
      <c r="E16" s="4"/>
      <c r="F16" s="12">
        <f t="shared" ref="F16:F18" si="5">IF(D$12=0,0,D16/D$12)</f>
        <v>0</v>
      </c>
      <c r="G16" s="4"/>
      <c r="H16" s="4">
        <f>SUM(OSRRefH16x_0)</f>
        <v>24338.550000000003</v>
      </c>
      <c r="I16" s="4"/>
      <c r="J16" s="12">
        <f t="shared" ref="J16:J18" si="6">IF(H$12=0,0,H16/H$12)</f>
        <v>0.48673001733254068</v>
      </c>
      <c r="K16" s="4"/>
      <c r="L16" s="4">
        <f t="shared" ref="L16:L18" si="7">+D16-H16</f>
        <v>-4351.9100000000035</v>
      </c>
      <c r="M16" s="4"/>
      <c r="N16" s="12">
        <f t="shared" ref="N16:N18" si="8">IF(H16=0,0,L16/H16)</f>
        <v>-0.17880728309615829</v>
      </c>
      <c r="O16" s="10"/>
      <c r="P16" s="4">
        <f>SUM(OSRRefP16x_0)</f>
        <v>155212.93999999997</v>
      </c>
      <c r="Q16" s="4"/>
      <c r="R16" s="12">
        <f t="shared" ref="R16:R18" si="9">IF(P$12=0,0,P16/P$12)</f>
        <v>0.53976449451131003</v>
      </c>
      <c r="S16" s="4"/>
      <c r="T16" s="4">
        <f>SUM(OSRRefT16x_0)</f>
        <v>177297.9</v>
      </c>
      <c r="U16" s="4"/>
      <c r="V16" s="12">
        <f t="shared" ref="V16:V18" si="10">IF(T$12=0,0,T16/T$12)</f>
        <v>0.48922251825486607</v>
      </c>
      <c r="W16" s="4"/>
      <c r="X16" s="4">
        <f t="shared" ref="X16:X18" si="11">+P16-T16</f>
        <v>-22084.960000000021</v>
      </c>
      <c r="Y16" s="4"/>
      <c r="Z16" s="12">
        <f t="shared" ref="Z16:Z18" si="12">IF(T16=0,0,X16/T16)</f>
        <v>-0.124564137533496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-389.36</v>
      </c>
      <c r="E17" s="2"/>
      <c r="F17" s="19">
        <f t="shared" si="5"/>
        <v>0</v>
      </c>
      <c r="G17" s="2"/>
      <c r="H17" s="2">
        <v>26494.070000000003</v>
      </c>
      <c r="I17" s="2"/>
      <c r="J17" s="19">
        <f t="shared" si="6"/>
        <v>0.52983678774247212</v>
      </c>
      <c r="K17" s="2"/>
      <c r="L17" s="2">
        <f t="shared" si="7"/>
        <v>-26883.430000000004</v>
      </c>
      <c r="M17" s="2"/>
      <c r="N17" s="19">
        <f t="shared" si="8"/>
        <v>-1.0146961187918655</v>
      </c>
      <c r="O17" s="11"/>
      <c r="P17" s="2">
        <v>138911.60999999999</v>
      </c>
      <c r="Q17" s="2"/>
      <c r="R17" s="19">
        <f t="shared" si="9"/>
        <v>0.48307541209774291</v>
      </c>
      <c r="S17" s="2"/>
      <c r="T17" s="2">
        <v>173333.99</v>
      </c>
      <c r="U17" s="2"/>
      <c r="V17" s="19">
        <f t="shared" si="10"/>
        <v>0.47828480251014688</v>
      </c>
      <c r="W17" s="2"/>
      <c r="X17" s="2">
        <f t="shared" si="11"/>
        <v>-34422.380000000005</v>
      </c>
      <c r="Y17" s="2"/>
      <c r="Z17" s="19">
        <f t="shared" si="12"/>
        <v>-0.19858990149595013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20376</v>
      </c>
      <c r="E18" s="2"/>
      <c r="F18" s="19">
        <f t="shared" si="5"/>
        <v>0</v>
      </c>
      <c r="G18" s="2"/>
      <c r="H18" s="2">
        <v>-2155.52</v>
      </c>
      <c r="I18" s="2"/>
      <c r="J18" s="19">
        <f t="shared" si="6"/>
        <v>-4.3106770409931487E-2</v>
      </c>
      <c r="K18" s="2"/>
      <c r="L18" s="2">
        <f t="shared" si="7"/>
        <v>22531.52</v>
      </c>
      <c r="M18" s="2"/>
      <c r="N18" s="19">
        <f t="shared" si="8"/>
        <v>-10.452939429928742</v>
      </c>
      <c r="O18" s="11"/>
      <c r="P18" s="2">
        <v>16301.329999999998</v>
      </c>
      <c r="Q18" s="2"/>
      <c r="R18" s="19">
        <f t="shared" si="9"/>
        <v>5.6689082413567154E-2</v>
      </c>
      <c r="S18" s="2"/>
      <c r="T18" s="2">
        <v>3963.91</v>
      </c>
      <c r="U18" s="2"/>
      <c r="V18" s="19">
        <f t="shared" si="10"/>
        <v>1.0937715744719176E-2</v>
      </c>
      <c r="W18" s="2"/>
      <c r="X18" s="2">
        <f t="shared" si="11"/>
        <v>12337.419999999998</v>
      </c>
      <c r="Y18" s="2"/>
      <c r="Z18" s="19">
        <f t="shared" si="12"/>
        <v>3.1124369624941028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-19986.64</v>
      </c>
      <c r="E20" s="14"/>
      <c r="F20" s="20">
        <f>IF(D$12=0,0,D20/D$12)</f>
        <v>0</v>
      </c>
      <c r="G20" s="14"/>
      <c r="H20" s="21">
        <f>H12-H16</f>
        <v>25665.659999999996</v>
      </c>
      <c r="I20" s="14"/>
      <c r="J20" s="20">
        <f>IF(H$12=0,0,H20/H$12)</f>
        <v>0.51326998266745938</v>
      </c>
      <c r="K20" s="15"/>
      <c r="L20" s="21">
        <f>+D20-H20</f>
        <v>-45652.299999999996</v>
      </c>
      <c r="M20" s="15"/>
      <c r="N20" s="20">
        <f>IF(H20=0,0,L20/H20)</f>
        <v>-1.7787308021691242</v>
      </c>
      <c r="O20" s="29"/>
      <c r="P20" s="21">
        <f>P12-P16</f>
        <v>132343.84</v>
      </c>
      <c r="Q20" s="14"/>
      <c r="R20" s="20">
        <f>IF(P$12=0,0,P20/P$12)</f>
        <v>0.46023550548868997</v>
      </c>
      <c r="S20" s="14"/>
      <c r="T20" s="21">
        <f>T12-T16</f>
        <v>185109.58</v>
      </c>
      <c r="U20" s="14"/>
      <c r="V20" s="20">
        <f>IF(T$12=0,0,T20/T$12)</f>
        <v>0.51077748174513393</v>
      </c>
      <c r="W20" s="15"/>
      <c r="X20" s="21">
        <f>+P20-T20</f>
        <v>-52765.739999999991</v>
      </c>
      <c r="Y20" s="15"/>
      <c r="Z20" s="20">
        <f>IF(T20=0,0,X20/T20)</f>
        <v>-0.28505137335409653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514.18999999999994</v>
      </c>
      <c r="E22" s="22"/>
      <c r="F22" s="35">
        <f t="shared" ref="F22:F31" si="13">IF(D$12=0,0,D22/D$12)</f>
        <v>0</v>
      </c>
      <c r="G22" s="22"/>
      <c r="H22" s="22">
        <f>SUM(OSRRefH22x_0)</f>
        <v>15728.140000000003</v>
      </c>
      <c r="I22" s="22"/>
      <c r="J22" s="35">
        <f t="shared" ref="J22:J31" si="14">IF(H$12=0,0,H22/H$12)</f>
        <v>0.31453631604218929</v>
      </c>
      <c r="K22" s="4"/>
      <c r="L22" s="22">
        <f t="shared" ref="L22:L31" si="15">+D22-H22</f>
        <v>-15213.950000000003</v>
      </c>
      <c r="M22" s="4"/>
      <c r="N22" s="35">
        <f t="shared" ref="N22:N31" si="16">IF(H22=0,0,L22/H22)</f>
        <v>-0.96730764095436583</v>
      </c>
      <c r="O22" s="10"/>
      <c r="P22" s="22">
        <f>SUM(OSRRefP22x_0)</f>
        <v>128948.01000000002</v>
      </c>
      <c r="Q22" s="22"/>
      <c r="R22" s="35">
        <f t="shared" ref="R22:R31" si="17">IF(P$12=0,0,P22/P$12)</f>
        <v>0.44842625515559059</v>
      </c>
      <c r="S22" s="22"/>
      <c r="T22" s="22">
        <f>SUM(OSRRefT22x_0)</f>
        <v>161102.77999999997</v>
      </c>
      <c r="U22" s="22"/>
      <c r="V22" s="35">
        <f t="shared" ref="V22:V31" si="18">IF(T$12=0,0,T22/T$12)</f>
        <v>0.44453491964349073</v>
      </c>
      <c r="W22" s="4"/>
      <c r="X22" s="22">
        <f t="shared" ref="X22:X31" si="19">+P22-T22</f>
        <v>-32154.769999999946</v>
      </c>
      <c r="Y22" s="4"/>
      <c r="Z22" s="35">
        <f t="shared" ref="Z22:Z31" si="20">IF(T22=0,0,X22/T22)</f>
        <v>-0.19959165198763146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3247.8</v>
      </c>
      <c r="I23" s="1"/>
      <c r="J23" s="5">
        <f t="shared" si="14"/>
        <v>6.4950531165275882E-2</v>
      </c>
      <c r="K23" s="1"/>
      <c r="L23" s="1">
        <f t="shared" si="15"/>
        <v>-3247.8</v>
      </c>
      <c r="M23" s="1"/>
      <c r="N23" s="5">
        <f t="shared" si="16"/>
        <v>-1</v>
      </c>
      <c r="O23" s="13"/>
      <c r="P23" s="1">
        <f>SUM(OSRRefP22_0x_0)</f>
        <v>12949.68</v>
      </c>
      <c r="Q23" s="1"/>
      <c r="R23" s="5">
        <f t="shared" si="17"/>
        <v>4.5033471302606744E-2</v>
      </c>
      <c r="S23" s="1"/>
      <c r="T23" s="1">
        <f>SUM(OSRRefT22_0x_0)</f>
        <v>32044.619999999995</v>
      </c>
      <c r="U23" s="1"/>
      <c r="V23" s="5">
        <f t="shared" si="18"/>
        <v>8.842151933508656E-2</v>
      </c>
      <c r="W23" s="1"/>
      <c r="X23" s="1">
        <f t="shared" si="19"/>
        <v>-19094.939999999995</v>
      </c>
      <c r="Y23" s="1"/>
      <c r="Z23" s="5">
        <f t="shared" si="20"/>
        <v>-0.59588598647760527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466.47</v>
      </c>
      <c r="I24" s="2"/>
      <c r="J24" s="7">
        <f t="shared" si="14"/>
        <v>9.3286145306565194E-3</v>
      </c>
      <c r="K24" s="2"/>
      <c r="L24" s="6">
        <f t="shared" si="15"/>
        <v>-466.47</v>
      </c>
      <c r="M24" s="2"/>
      <c r="N24" s="7">
        <f t="shared" si="16"/>
        <v>-1</v>
      </c>
      <c r="O24" s="11"/>
      <c r="P24" s="6">
        <v>3698.79</v>
      </c>
      <c r="Q24" s="2"/>
      <c r="R24" s="7">
        <f t="shared" si="17"/>
        <v>1.2862816171470554E-2</v>
      </c>
      <c r="S24" s="2"/>
      <c r="T24" s="6">
        <v>4562.22</v>
      </c>
      <c r="U24" s="2"/>
      <c r="V24" s="7">
        <f t="shared" si="18"/>
        <v>1.2588647452861626E-2</v>
      </c>
      <c r="W24" s="2"/>
      <c r="X24" s="6">
        <f t="shared" si="19"/>
        <v>-863.43000000000029</v>
      </c>
      <c r="Y24" s="2"/>
      <c r="Z24" s="7">
        <f t="shared" si="20"/>
        <v>-0.18925654615516135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116.87</v>
      </c>
      <c r="I25" s="2"/>
      <c r="J25" s="7">
        <f t="shared" si="14"/>
        <v>2.3372032074899297E-3</v>
      </c>
      <c r="K25" s="2"/>
      <c r="L25" s="6">
        <f t="shared" si="15"/>
        <v>-116.87</v>
      </c>
      <c r="M25" s="2"/>
      <c r="N25" s="7">
        <f t="shared" si="16"/>
        <v>-1</v>
      </c>
      <c r="O25" s="11"/>
      <c r="P25" s="6">
        <v>1342.55</v>
      </c>
      <c r="Q25" s="2"/>
      <c r="R25" s="7">
        <f t="shared" si="17"/>
        <v>4.6688170593647627E-3</v>
      </c>
      <c r="S25" s="2"/>
      <c r="T25" s="6">
        <v>1085.94</v>
      </c>
      <c r="U25" s="2"/>
      <c r="V25" s="7">
        <f t="shared" si="18"/>
        <v>2.9964613313168925E-3</v>
      </c>
      <c r="W25" s="2"/>
      <c r="X25" s="6">
        <f t="shared" si="19"/>
        <v>256.6099999999999</v>
      </c>
      <c r="Y25" s="2"/>
      <c r="Z25" s="7">
        <f t="shared" si="20"/>
        <v>0.23630218980790826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1901.24</v>
      </c>
      <c r="I26" s="2"/>
      <c r="J26" s="7">
        <f t="shared" si="14"/>
        <v>3.8021598581399446E-2</v>
      </c>
      <c r="K26" s="2"/>
      <c r="L26" s="6">
        <f t="shared" si="15"/>
        <v>-1901.24</v>
      </c>
      <c r="M26" s="2"/>
      <c r="N26" s="7">
        <f t="shared" si="16"/>
        <v>-1</v>
      </c>
      <c r="O26" s="11"/>
      <c r="P26" s="6">
        <v>4829.7</v>
      </c>
      <c r="Q26" s="2"/>
      <c r="R26" s="7">
        <f t="shared" si="17"/>
        <v>1.6795639455971095E-2</v>
      </c>
      <c r="S26" s="2"/>
      <c r="T26" s="6">
        <v>18369.62</v>
      </c>
      <c r="U26" s="2"/>
      <c r="V26" s="7">
        <f t="shared" si="18"/>
        <v>5.0687750705366234E-2</v>
      </c>
      <c r="W26" s="2"/>
      <c r="X26" s="6">
        <f t="shared" si="19"/>
        <v>-13539.919999999998</v>
      </c>
      <c r="Y26" s="2"/>
      <c r="Z26" s="7">
        <f t="shared" si="20"/>
        <v>-0.73708220420455073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25.53</v>
      </c>
      <c r="I27" s="2"/>
      <c r="J27" s="7">
        <f t="shared" si="14"/>
        <v>5.1055701109966548E-4</v>
      </c>
      <c r="K27" s="2"/>
      <c r="L27" s="6">
        <f t="shared" si="15"/>
        <v>-25.53</v>
      </c>
      <c r="M27" s="2"/>
      <c r="N27" s="7">
        <f t="shared" si="16"/>
        <v>-1</v>
      </c>
      <c r="O27" s="11"/>
      <c r="P27" s="6">
        <v>196.77</v>
      </c>
      <c r="Q27" s="2"/>
      <c r="R27" s="7">
        <f t="shared" si="17"/>
        <v>6.8428224853540236E-4</v>
      </c>
      <c r="S27" s="2"/>
      <c r="T27" s="6">
        <v>264.42</v>
      </c>
      <c r="U27" s="2"/>
      <c r="V27" s="7">
        <f t="shared" si="18"/>
        <v>7.2962070208926156E-4</v>
      </c>
      <c r="W27" s="2"/>
      <c r="X27" s="6">
        <f t="shared" si="19"/>
        <v>-67.650000000000006</v>
      </c>
      <c r="Y27" s="2"/>
      <c r="Z27" s="7">
        <f t="shared" si="20"/>
        <v>-0.25584297708191517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262.73</v>
      </c>
      <c r="I28" s="2"/>
      <c r="J28" s="7">
        <f t="shared" si="14"/>
        <v>5.2541575999300863E-3</v>
      </c>
      <c r="K28" s="2"/>
      <c r="L28" s="6">
        <f t="shared" si="15"/>
        <v>-262.73</v>
      </c>
      <c r="M28" s="2"/>
      <c r="N28" s="7">
        <f t="shared" si="16"/>
        <v>-1</v>
      </c>
      <c r="O28" s="11"/>
      <c r="P28" s="6">
        <v>938.77</v>
      </c>
      <c r="Q28" s="2"/>
      <c r="R28" s="7">
        <f t="shared" si="17"/>
        <v>3.2646422038805694E-3</v>
      </c>
      <c r="S28" s="2"/>
      <c r="T28" s="6">
        <v>2783.73</v>
      </c>
      <c r="U28" s="2"/>
      <c r="V28" s="7">
        <f t="shared" si="18"/>
        <v>7.6812156305383107E-3</v>
      </c>
      <c r="W28" s="2"/>
      <c r="X28" s="6">
        <f t="shared" si="19"/>
        <v>-1844.96</v>
      </c>
      <c r="Y28" s="2"/>
      <c r="Z28" s="7">
        <f t="shared" si="20"/>
        <v>-0.66276542624464296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>
        <v>147.84</v>
      </c>
      <c r="I29" s="2"/>
      <c r="J29" s="7">
        <f t="shared" si="14"/>
        <v>2.9565510584008826E-3</v>
      </c>
      <c r="K29" s="2"/>
      <c r="L29" s="6">
        <f t="shared" si="15"/>
        <v>-147.84</v>
      </c>
      <c r="M29" s="2"/>
      <c r="N29" s="7">
        <f t="shared" si="16"/>
        <v>-1</v>
      </c>
      <c r="O29" s="11"/>
      <c r="P29" s="6">
        <v>480.48</v>
      </c>
      <c r="Q29" s="2"/>
      <c r="R29" s="7">
        <f t="shared" si="17"/>
        <v>1.670904786178229E-3</v>
      </c>
      <c r="S29" s="2"/>
      <c r="T29" s="6">
        <v>1535.4</v>
      </c>
      <c r="U29" s="2"/>
      <c r="V29" s="7">
        <f t="shared" si="18"/>
        <v>4.23666752132158E-3</v>
      </c>
      <c r="W29" s="2"/>
      <c r="X29" s="6">
        <f t="shared" si="19"/>
        <v>-1054.92</v>
      </c>
      <c r="Y29" s="2"/>
      <c r="Z29" s="7">
        <f t="shared" si="20"/>
        <v>-0.68706525986713562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>
        <v>177.12</v>
      </c>
      <c r="I30" s="2"/>
      <c r="J30" s="7">
        <f t="shared" si="14"/>
        <v>3.5421017550322266E-3</v>
      </c>
      <c r="K30" s="2"/>
      <c r="L30" s="6">
        <f t="shared" si="15"/>
        <v>-177.12</v>
      </c>
      <c r="M30" s="2"/>
      <c r="N30" s="7">
        <f t="shared" si="16"/>
        <v>-1</v>
      </c>
      <c r="O30" s="11"/>
      <c r="P30" s="6">
        <v>575.64</v>
      </c>
      <c r="Q30" s="2"/>
      <c r="R30" s="7">
        <f t="shared" si="17"/>
        <v>2.0018307340901511E-3</v>
      </c>
      <c r="S30" s="2"/>
      <c r="T30" s="6">
        <v>1971.28</v>
      </c>
      <c r="U30" s="2"/>
      <c r="V30" s="7">
        <f t="shared" si="18"/>
        <v>5.4394020785663699E-3</v>
      </c>
      <c r="W30" s="2"/>
      <c r="X30" s="6">
        <f t="shared" si="19"/>
        <v>-1395.6399999999999</v>
      </c>
      <c r="Y30" s="2"/>
      <c r="Z30" s="7">
        <f t="shared" si="20"/>
        <v>-0.7079866888519134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>
        <v>150</v>
      </c>
      <c r="I31" s="2"/>
      <c r="J31" s="7">
        <f t="shared" si="14"/>
        <v>2.9997474212671293E-3</v>
      </c>
      <c r="K31" s="2"/>
      <c r="L31" s="6">
        <f t="shared" si="15"/>
        <v>-150</v>
      </c>
      <c r="M31" s="2"/>
      <c r="N31" s="7">
        <f t="shared" si="16"/>
        <v>-1</v>
      </c>
      <c r="O31" s="11"/>
      <c r="P31" s="6">
        <v>886.98</v>
      </c>
      <c r="Q31" s="2"/>
      <c r="R31" s="7">
        <f t="shared" si="17"/>
        <v>3.0845386431159793E-3</v>
      </c>
      <c r="S31" s="2"/>
      <c r="T31" s="6">
        <v>1472.01</v>
      </c>
      <c r="U31" s="2"/>
      <c r="V31" s="7">
        <f t="shared" si="18"/>
        <v>4.0617539130262991E-3</v>
      </c>
      <c r="W31" s="2"/>
      <c r="X31" s="6">
        <f t="shared" si="19"/>
        <v>-585.03</v>
      </c>
      <c r="Y31" s="2"/>
      <c r="Z31" s="7">
        <f t="shared" si="20"/>
        <v>-0.39743615872174781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9144.39</v>
      </c>
      <c r="I32" s="1"/>
      <c r="J32" s="5">
        <f t="shared" ref="J32:J37" si="22">IF(H$12=0,0,H32/H$12)</f>
        <v>0.18287240214373948</v>
      </c>
      <c r="K32" s="1"/>
      <c r="L32" s="1">
        <f t="shared" ref="L32:L37" si="23">+D32-H32</f>
        <v>-9144.39</v>
      </c>
      <c r="M32" s="1"/>
      <c r="N32" s="5">
        <f t="shared" ref="N32:N37" si="24">IF(H32=0,0,L32/H32)</f>
        <v>-1</v>
      </c>
      <c r="O32" s="13"/>
      <c r="P32" s="1">
        <f>SUM(OSRRefP22_1x_0)</f>
        <v>74718.25</v>
      </c>
      <c r="Q32" s="1"/>
      <c r="R32" s="5">
        <f t="shared" ref="R32:R37" si="25">IF(P$12=0,0,P32/P$12)</f>
        <v>0.25983824829308494</v>
      </c>
      <c r="S32" s="1"/>
      <c r="T32" s="1">
        <f>SUM(OSRRefT22_1x_0)</f>
        <v>96389.21</v>
      </c>
      <c r="U32" s="1"/>
      <c r="V32" s="5">
        <f t="shared" ref="V32:V37" si="26">IF(T$12=0,0,T32/T$12)</f>
        <v>0.26596915163009333</v>
      </c>
      <c r="W32" s="1"/>
      <c r="X32" s="1">
        <f t="shared" ref="X32:X37" si="27">+P32-T32</f>
        <v>-21670.960000000006</v>
      </c>
      <c r="Y32" s="1"/>
      <c r="Z32" s="5">
        <f t="shared" ref="Z32:Z37" si="28">IF(T32=0,0,X32/T32)</f>
        <v>-0.22482765446464398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2880</v>
      </c>
      <c r="I33" s="2"/>
      <c r="J33" s="7">
        <f t="shared" si="22"/>
        <v>5.7595150488328882E-2</v>
      </c>
      <c r="K33" s="2"/>
      <c r="L33" s="6">
        <f t="shared" si="23"/>
        <v>-2880</v>
      </c>
      <c r="M33" s="2"/>
      <c r="N33" s="7">
        <f t="shared" si="24"/>
        <v>-1</v>
      </c>
      <c r="O33" s="11"/>
      <c r="P33" s="6">
        <v>9840</v>
      </c>
      <c r="Q33" s="2"/>
      <c r="R33" s="7">
        <f t="shared" si="25"/>
        <v>3.4219328787865828E-2</v>
      </c>
      <c r="S33" s="2"/>
      <c r="T33" s="6">
        <v>36932.32</v>
      </c>
      <c r="U33" s="2"/>
      <c r="V33" s="7">
        <f t="shared" si="26"/>
        <v>0.10190827187120972</v>
      </c>
      <c r="W33" s="2"/>
      <c r="X33" s="6">
        <f t="shared" si="27"/>
        <v>-27092.32</v>
      </c>
      <c r="Y33" s="2"/>
      <c r="Z33" s="7">
        <f t="shared" si="28"/>
        <v>-0.73356669713681677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>
        <v>1064</v>
      </c>
      <c r="I34" s="2"/>
      <c r="J34" s="7">
        <f t="shared" si="22"/>
        <v>2.1278208374854838E-2</v>
      </c>
      <c r="K34" s="2"/>
      <c r="L34" s="6">
        <f t="shared" si="23"/>
        <v>-1064</v>
      </c>
      <c r="M34" s="2"/>
      <c r="N34" s="7">
        <f t="shared" si="24"/>
        <v>-1</v>
      </c>
      <c r="O34" s="11"/>
      <c r="P34" s="6">
        <v>29326.09</v>
      </c>
      <c r="Q34" s="2"/>
      <c r="R34" s="7">
        <f t="shared" si="25"/>
        <v>0.10198364997688458</v>
      </c>
      <c r="S34" s="2"/>
      <c r="T34" s="6">
        <v>6964.21</v>
      </c>
      <c r="U34" s="2"/>
      <c r="V34" s="7">
        <f t="shared" si="26"/>
        <v>1.9216518378704545E-2</v>
      </c>
      <c r="W34" s="2"/>
      <c r="X34" s="6">
        <f t="shared" si="27"/>
        <v>22361.88</v>
      </c>
      <c r="Y34" s="2"/>
      <c r="Z34" s="7">
        <f t="shared" si="28"/>
        <v>3.2109715244083681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>
        <v>1193.72</v>
      </c>
      <c r="I35" s="2"/>
      <c r="J35" s="7">
        <f t="shared" si="22"/>
        <v>2.3872389944766651E-2</v>
      </c>
      <c r="K35" s="2"/>
      <c r="L35" s="6">
        <f t="shared" si="23"/>
        <v>-1193.72</v>
      </c>
      <c r="M35" s="2"/>
      <c r="N35" s="7">
        <f t="shared" si="24"/>
        <v>-1</v>
      </c>
      <c r="O35" s="11"/>
      <c r="P35" s="6">
        <v>2587.42</v>
      </c>
      <c r="Q35" s="2"/>
      <c r="R35" s="7">
        <f t="shared" si="25"/>
        <v>8.9979446841768097E-3</v>
      </c>
      <c r="S35" s="2"/>
      <c r="T35" s="6">
        <v>8790.41</v>
      </c>
      <c r="U35" s="2"/>
      <c r="V35" s="7">
        <f t="shared" si="26"/>
        <v>2.4255597594177693E-2</v>
      </c>
      <c r="W35" s="2"/>
      <c r="X35" s="6">
        <f t="shared" si="27"/>
        <v>-6202.99</v>
      </c>
      <c r="Y35" s="2"/>
      <c r="Z35" s="7">
        <f t="shared" si="28"/>
        <v>-0.70565423000747407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1"/>
        <v>0</v>
      </c>
      <c r="G36" s="2"/>
      <c r="H36" s="6">
        <v>4006.67</v>
      </c>
      <c r="I36" s="2"/>
      <c r="J36" s="7">
        <f t="shared" si="22"/>
        <v>8.0126653335789125E-2</v>
      </c>
      <c r="K36" s="2"/>
      <c r="L36" s="6">
        <f t="shared" si="23"/>
        <v>-4006.67</v>
      </c>
      <c r="M36" s="2"/>
      <c r="N36" s="7">
        <f t="shared" si="24"/>
        <v>-1</v>
      </c>
      <c r="O36" s="11"/>
      <c r="P36" s="6">
        <v>32907.740000000005</v>
      </c>
      <c r="Q36" s="2"/>
      <c r="R36" s="7">
        <f t="shared" si="25"/>
        <v>0.11443910312252074</v>
      </c>
      <c r="S36" s="2"/>
      <c r="T36" s="6">
        <v>42277.270000000004</v>
      </c>
      <c r="U36" s="2"/>
      <c r="V36" s="7">
        <f t="shared" si="26"/>
        <v>0.11665672573866302</v>
      </c>
      <c r="W36" s="2"/>
      <c r="X36" s="6">
        <f t="shared" si="27"/>
        <v>-9369.5299999999988</v>
      </c>
      <c r="Y36" s="2"/>
      <c r="Z36" s="7">
        <f t="shared" si="28"/>
        <v>-0.22162097978417239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/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>
        <v>57</v>
      </c>
      <c r="Q37" s="2"/>
      <c r="R37" s="7">
        <f t="shared" si="25"/>
        <v>1.9822172163702767E-4</v>
      </c>
      <c r="S37" s="2"/>
      <c r="T37" s="6">
        <v>1425</v>
      </c>
      <c r="U37" s="2"/>
      <c r="V37" s="7">
        <f t="shared" si="26"/>
        <v>3.932038047338317E-3</v>
      </c>
      <c r="W37" s="2"/>
      <c r="X37" s="6">
        <f t="shared" si="27"/>
        <v>-1368</v>
      </c>
      <c r="Y37" s="2"/>
      <c r="Z37" s="7">
        <f t="shared" si="28"/>
        <v>-0.96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29">IF(D$12=0,0,D38/D$12)</f>
        <v>0</v>
      </c>
      <c r="G38" s="1"/>
      <c r="H38" s="1">
        <f>SUM(OSRRefH22_2x_0)</f>
        <v>0</v>
      </c>
      <c r="I38" s="1"/>
      <c r="J38" s="5">
        <f t="shared" ref="J38:J54" si="30">IF(H$12=0,0,H38/H$12)</f>
        <v>0</v>
      </c>
      <c r="K38" s="1"/>
      <c r="L38" s="1">
        <f t="shared" ref="L38:L54" si="31">+D38-H38</f>
        <v>0</v>
      </c>
      <c r="M38" s="1"/>
      <c r="N38" s="5">
        <f t="shared" ref="N38:N54" si="32">IF(H38=0,0,L38/H38)</f>
        <v>0</v>
      </c>
      <c r="O38" s="13"/>
      <c r="P38" s="1">
        <f>SUM(OSRRefP22_2x_0)</f>
        <v>910.02</v>
      </c>
      <c r="Q38" s="1"/>
      <c r="R38" s="5">
        <f t="shared" ref="R38:R54" si="33">IF(P$12=0,0,P38/P$12)</f>
        <v>3.1646619495461037E-3</v>
      </c>
      <c r="S38" s="1"/>
      <c r="T38" s="1">
        <f>SUM(OSRRefT22_2x_0)</f>
        <v>2129.6799999999998</v>
      </c>
      <c r="U38" s="1"/>
      <c r="V38" s="5">
        <f t="shared" ref="V38:V54" si="34">IF(T$12=0,0,T38/T$12)</f>
        <v>5.8764791499336605E-3</v>
      </c>
      <c r="W38" s="1"/>
      <c r="X38" s="1">
        <f t="shared" ref="X38:X54" si="35">+P38-T38</f>
        <v>-1219.6599999999999</v>
      </c>
      <c r="Y38" s="1"/>
      <c r="Z38" s="5">
        <f t="shared" ref="Z38:Z54" si="36">IF(T38=0,0,X38/T38)</f>
        <v>-0.57269636752939401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9"/>
        <v>0</v>
      </c>
      <c r="G39" s="2"/>
      <c r="H39" s="6"/>
      <c r="I39" s="2"/>
      <c r="J39" s="7">
        <f t="shared" si="30"/>
        <v>0</v>
      </c>
      <c r="K39" s="2"/>
      <c r="L39" s="6">
        <f t="shared" si="31"/>
        <v>0</v>
      </c>
      <c r="M39" s="2"/>
      <c r="N39" s="7">
        <f t="shared" si="32"/>
        <v>0</v>
      </c>
      <c r="O39" s="11"/>
      <c r="P39" s="6">
        <v>910.02</v>
      </c>
      <c r="Q39" s="2"/>
      <c r="R39" s="7">
        <f t="shared" si="33"/>
        <v>3.1646619495461037E-3</v>
      </c>
      <c r="S39" s="2"/>
      <c r="T39" s="6">
        <v>2129.6799999999998</v>
      </c>
      <c r="U39" s="2"/>
      <c r="V39" s="7">
        <f t="shared" si="34"/>
        <v>5.8764791499336605E-3</v>
      </c>
      <c r="W39" s="2"/>
      <c r="X39" s="6">
        <f t="shared" si="35"/>
        <v>-1219.6599999999999</v>
      </c>
      <c r="Y39" s="2"/>
      <c r="Z39" s="7">
        <f t="shared" si="36"/>
        <v>-0.57269636752939401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-31.64</v>
      </c>
      <c r="I40" s="1"/>
      <c r="J40" s="5">
        <f t="shared" si="30"/>
        <v>-6.3274672272594647E-4</v>
      </c>
      <c r="K40" s="1"/>
      <c r="L40" s="1">
        <f t="shared" si="31"/>
        <v>31.64</v>
      </c>
      <c r="M40" s="1"/>
      <c r="N40" s="5">
        <f t="shared" si="32"/>
        <v>-1</v>
      </c>
      <c r="O40" s="13"/>
      <c r="P40" s="1">
        <f>SUM(OSRRefP22_3x_0)</f>
        <v>-18.989999999999998</v>
      </c>
      <c r="Q40" s="1"/>
      <c r="R40" s="5">
        <f t="shared" si="33"/>
        <v>-6.6039131471704477E-5</v>
      </c>
      <c r="S40" s="1"/>
      <c r="T40" s="1">
        <f>SUM(OSRRefT22_3x_0)</f>
        <v>-239.11</v>
      </c>
      <c r="U40" s="1"/>
      <c r="V40" s="5">
        <f t="shared" si="34"/>
        <v>-6.597821877186421E-4</v>
      </c>
      <c r="W40" s="1"/>
      <c r="X40" s="1">
        <f t="shared" si="35"/>
        <v>220.12</v>
      </c>
      <c r="Y40" s="1"/>
      <c r="Z40" s="5">
        <f t="shared" si="36"/>
        <v>-0.92058048596880093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29"/>
        <v>0</v>
      </c>
      <c r="G41" s="2"/>
      <c r="H41" s="6">
        <v>-31.64</v>
      </c>
      <c r="I41" s="2"/>
      <c r="J41" s="7">
        <f t="shared" si="30"/>
        <v>-6.3274672272594647E-4</v>
      </c>
      <c r="K41" s="2"/>
      <c r="L41" s="6">
        <f t="shared" si="31"/>
        <v>31.64</v>
      </c>
      <c r="M41" s="2"/>
      <c r="N41" s="7">
        <f t="shared" si="32"/>
        <v>-1</v>
      </c>
      <c r="O41" s="11"/>
      <c r="P41" s="6">
        <v>-18.989999999999998</v>
      </c>
      <c r="Q41" s="2"/>
      <c r="R41" s="7">
        <f t="shared" si="33"/>
        <v>-6.6039131471704477E-5</v>
      </c>
      <c r="S41" s="2"/>
      <c r="T41" s="6">
        <v>-239.11</v>
      </c>
      <c r="U41" s="2"/>
      <c r="V41" s="7">
        <f t="shared" si="34"/>
        <v>-6.597821877186421E-4</v>
      </c>
      <c r="W41" s="2"/>
      <c r="X41" s="6">
        <f t="shared" si="35"/>
        <v>220.12</v>
      </c>
      <c r="Y41" s="2"/>
      <c r="Z41" s="7">
        <f t="shared" si="36"/>
        <v>-0.92058048596880093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29"/>
        <v>0</v>
      </c>
      <c r="G42" s="1"/>
      <c r="H42" s="1">
        <f>SUM(OSRRefH22_4x_0)</f>
        <v>1062.33</v>
      </c>
      <c r="I42" s="1"/>
      <c r="J42" s="5">
        <f t="shared" si="30"/>
        <v>2.1244811186898062E-2</v>
      </c>
      <c r="K42" s="1"/>
      <c r="L42" s="1">
        <f t="shared" si="31"/>
        <v>-1062.33</v>
      </c>
      <c r="M42" s="1"/>
      <c r="N42" s="5">
        <f t="shared" si="32"/>
        <v>-1</v>
      </c>
      <c r="O42" s="13"/>
      <c r="P42" s="1">
        <f>SUM(OSRRefP22_4x_0)</f>
        <v>10541.38</v>
      </c>
      <c r="Q42" s="1"/>
      <c r="R42" s="5">
        <f t="shared" si="33"/>
        <v>3.6658429684739133E-2</v>
      </c>
      <c r="S42" s="1"/>
      <c r="T42" s="1">
        <f>SUM(OSRRefT22_4x_0)</f>
        <v>11333.87</v>
      </c>
      <c r="U42" s="1"/>
      <c r="V42" s="5">
        <f t="shared" si="34"/>
        <v>3.1273830220060583E-2</v>
      </c>
      <c r="W42" s="1"/>
      <c r="X42" s="1">
        <f t="shared" si="35"/>
        <v>-792.4900000000016</v>
      </c>
      <c r="Y42" s="1"/>
      <c r="Z42" s="5">
        <f t="shared" si="36"/>
        <v>-6.9922277209814615E-2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29"/>
        <v>0</v>
      </c>
      <c r="G43" s="2"/>
      <c r="H43" s="6">
        <v>1062.33</v>
      </c>
      <c r="I43" s="2"/>
      <c r="J43" s="7">
        <f t="shared" si="30"/>
        <v>2.1244811186898062E-2</v>
      </c>
      <c r="K43" s="2"/>
      <c r="L43" s="6">
        <f t="shared" si="31"/>
        <v>-1062.33</v>
      </c>
      <c r="M43" s="2"/>
      <c r="N43" s="7">
        <f t="shared" si="32"/>
        <v>-1</v>
      </c>
      <c r="O43" s="11"/>
      <c r="P43" s="6">
        <v>10541.38</v>
      </c>
      <c r="Q43" s="2"/>
      <c r="R43" s="7">
        <f t="shared" si="33"/>
        <v>3.6658429684739133E-2</v>
      </c>
      <c r="S43" s="2"/>
      <c r="T43" s="6">
        <v>11333.87</v>
      </c>
      <c r="U43" s="2"/>
      <c r="V43" s="7">
        <f t="shared" si="34"/>
        <v>3.1273830220060583E-2</v>
      </c>
      <c r="W43" s="2"/>
      <c r="X43" s="6">
        <f t="shared" si="35"/>
        <v>-792.4900000000016</v>
      </c>
      <c r="Y43" s="2"/>
      <c r="Z43" s="7">
        <f t="shared" si="36"/>
        <v>-6.9922277209814615E-2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315.43</v>
      </c>
      <c r="E44" s="1"/>
      <c r="F44" s="5">
        <f t="shared" si="29"/>
        <v>0</v>
      </c>
      <c r="G44" s="1"/>
      <c r="H44" s="1">
        <f>SUM(OSRRefH22_5x_0)</f>
        <v>152.94</v>
      </c>
      <c r="I44" s="1"/>
      <c r="J44" s="5">
        <f t="shared" si="30"/>
        <v>3.058542470723965E-3</v>
      </c>
      <c r="K44" s="1"/>
      <c r="L44" s="1">
        <f t="shared" si="31"/>
        <v>162.49</v>
      </c>
      <c r="M44" s="1"/>
      <c r="N44" s="5">
        <f t="shared" si="32"/>
        <v>1.0624427880214464</v>
      </c>
      <c r="O44" s="13"/>
      <c r="P44" s="1">
        <f>SUM(OSRRefP22_5x_0)</f>
        <v>1876.22</v>
      </c>
      <c r="Q44" s="1"/>
      <c r="R44" s="5">
        <f t="shared" si="33"/>
        <v>6.5246940099969132E-3</v>
      </c>
      <c r="S44" s="1"/>
      <c r="T44" s="1">
        <f>SUM(OSRRefT22_5x_0)</f>
        <v>316.8</v>
      </c>
      <c r="U44" s="1"/>
      <c r="V44" s="5">
        <f t="shared" si="34"/>
        <v>8.7415414273458157E-4</v>
      </c>
      <c r="W44" s="1"/>
      <c r="X44" s="1">
        <f t="shared" si="35"/>
        <v>1559.42</v>
      </c>
      <c r="Y44" s="1"/>
      <c r="Z44" s="5">
        <f t="shared" si="36"/>
        <v>4.9224116161616163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315.43</v>
      </c>
      <c r="E45" s="2"/>
      <c r="F45" s="7">
        <f t="shared" si="29"/>
        <v>0</v>
      </c>
      <c r="G45" s="2"/>
      <c r="H45" s="6">
        <v>152.94</v>
      </c>
      <c r="I45" s="2"/>
      <c r="J45" s="7">
        <f t="shared" si="30"/>
        <v>3.058542470723965E-3</v>
      </c>
      <c r="K45" s="2"/>
      <c r="L45" s="6">
        <f t="shared" si="31"/>
        <v>162.49</v>
      </c>
      <c r="M45" s="2"/>
      <c r="N45" s="7">
        <f t="shared" si="32"/>
        <v>1.0624427880214464</v>
      </c>
      <c r="O45" s="11"/>
      <c r="P45" s="6">
        <v>1876.22</v>
      </c>
      <c r="Q45" s="2"/>
      <c r="R45" s="7">
        <f t="shared" si="33"/>
        <v>6.5246940099969132E-3</v>
      </c>
      <c r="S45" s="2"/>
      <c r="T45" s="6">
        <v>316.8</v>
      </c>
      <c r="U45" s="2"/>
      <c r="V45" s="7">
        <f t="shared" si="34"/>
        <v>8.7415414273458157E-4</v>
      </c>
      <c r="W45" s="2"/>
      <c r="X45" s="6">
        <f t="shared" si="35"/>
        <v>1559.42</v>
      </c>
      <c r="Y45" s="2"/>
      <c r="Z45" s="7">
        <f t="shared" si="36"/>
        <v>4.9224116161616163</v>
      </c>
    </row>
    <row r="46" spans="1:26" s="25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3"/>
      <c r="P46" s="1">
        <f>SUM(OSRRefP22_6x_0)</f>
        <v>62.26</v>
      </c>
      <c r="Q46" s="1"/>
      <c r="R46" s="5">
        <f t="shared" si="33"/>
        <v>2.1651376121265513E-4</v>
      </c>
      <c r="S46" s="1"/>
      <c r="T46" s="1">
        <f>SUM(OSRRefT22_6x_0)</f>
        <v>0</v>
      </c>
      <c r="U46" s="1"/>
      <c r="V46" s="5">
        <f t="shared" si="34"/>
        <v>0</v>
      </c>
      <c r="W46" s="1"/>
      <c r="X46" s="1">
        <f t="shared" si="35"/>
        <v>62.26</v>
      </c>
      <c r="Y46" s="1"/>
      <c r="Z46" s="5">
        <f t="shared" si="36"/>
        <v>0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62.26</v>
      </c>
      <c r="Q47" s="2"/>
      <c r="R47" s="7">
        <f t="shared" si="33"/>
        <v>2.1651376121265513E-4</v>
      </c>
      <c r="S47" s="2"/>
      <c r="T47" s="6"/>
      <c r="U47" s="2"/>
      <c r="V47" s="7">
        <f t="shared" si="34"/>
        <v>0</v>
      </c>
      <c r="W47" s="2"/>
      <c r="X47" s="6">
        <f t="shared" si="35"/>
        <v>62.26</v>
      </c>
      <c r="Y47" s="2"/>
      <c r="Z47" s="7">
        <f t="shared" si="36"/>
        <v>0</v>
      </c>
    </row>
    <row r="48" spans="1:26" s="25" customFormat="1" outlineLevel="1" collapsed="1" x14ac:dyDescent="0.25">
      <c r="A48" s="26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29"/>
        <v>0</v>
      </c>
      <c r="G48" s="1"/>
      <c r="H48" s="1">
        <f>SUM(OSRRefH22_7x_0)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SUM(OSRRefP22_7x_0)</f>
        <v>12</v>
      </c>
      <c r="Q48" s="1"/>
      <c r="R48" s="5">
        <f t="shared" si="33"/>
        <v>4.1730888765690033E-5</v>
      </c>
      <c r="S48" s="1"/>
      <c r="T48" s="1">
        <f>SUM(OSRRefT22_7x_0)</f>
        <v>0</v>
      </c>
      <c r="U48" s="1"/>
      <c r="V48" s="5">
        <f t="shared" si="34"/>
        <v>0</v>
      </c>
      <c r="W48" s="1"/>
      <c r="X48" s="1">
        <f t="shared" si="35"/>
        <v>12</v>
      </c>
      <c r="Y48" s="1"/>
      <c r="Z48" s="5">
        <f t="shared" si="36"/>
        <v>0</v>
      </c>
    </row>
    <row r="49" spans="1:26" s="24" customFormat="1" hidden="1" outlineLevel="2" x14ac:dyDescent="0.25">
      <c r="A49" s="27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12</v>
      </c>
      <c r="Q49" s="2"/>
      <c r="R49" s="7">
        <f t="shared" si="33"/>
        <v>4.1730888765690033E-5</v>
      </c>
      <c r="S49" s="2"/>
      <c r="T49" s="6"/>
      <c r="U49" s="2"/>
      <c r="V49" s="7">
        <f t="shared" si="34"/>
        <v>0</v>
      </c>
      <c r="W49" s="2"/>
      <c r="X49" s="6">
        <f t="shared" si="35"/>
        <v>12</v>
      </c>
      <c r="Y49" s="2"/>
      <c r="Z49" s="7">
        <f t="shared" si="36"/>
        <v>0</v>
      </c>
    </row>
    <row r="50" spans="1:26" s="25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29"/>
        <v>0</v>
      </c>
      <c r="G50" s="1"/>
      <c r="H50" s="1">
        <f>SUM(OSRRefH22_8x_0)</f>
        <v>1.5</v>
      </c>
      <c r="I50" s="1"/>
      <c r="J50" s="5">
        <f t="shared" si="30"/>
        <v>2.9997474212671295E-5</v>
      </c>
      <c r="K50" s="1"/>
      <c r="L50" s="1">
        <f t="shared" si="31"/>
        <v>-1.5</v>
      </c>
      <c r="M50" s="1"/>
      <c r="N50" s="5">
        <f t="shared" si="32"/>
        <v>-1</v>
      </c>
      <c r="O50" s="13"/>
      <c r="P50" s="1">
        <f>SUM(OSRRefP22_8x_0)</f>
        <v>5632.39</v>
      </c>
      <c r="Q50" s="1"/>
      <c r="R50" s="5">
        <f t="shared" si="33"/>
        <v>1.9587053381248744E-2</v>
      </c>
      <c r="S50" s="1"/>
      <c r="T50" s="1">
        <f>SUM(OSRRefT22_8x_0)</f>
        <v>2527.21</v>
      </c>
      <c r="U50" s="1"/>
      <c r="V50" s="5">
        <f t="shared" si="34"/>
        <v>6.9733935955185039E-3</v>
      </c>
      <c r="W50" s="1"/>
      <c r="X50" s="1">
        <f t="shared" si="35"/>
        <v>3105.1800000000003</v>
      </c>
      <c r="Y50" s="1"/>
      <c r="Z50" s="5">
        <f t="shared" si="36"/>
        <v>1.228698841805786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29"/>
        <v>0</v>
      </c>
      <c r="G51" s="2"/>
      <c r="H51" s="6">
        <v>1.5</v>
      </c>
      <c r="I51" s="2"/>
      <c r="J51" s="7">
        <f t="shared" si="30"/>
        <v>2.9997474212671295E-5</v>
      </c>
      <c r="K51" s="2"/>
      <c r="L51" s="6">
        <f t="shared" si="31"/>
        <v>-1.5</v>
      </c>
      <c r="M51" s="2"/>
      <c r="N51" s="7">
        <f t="shared" si="32"/>
        <v>-1</v>
      </c>
      <c r="O51" s="11"/>
      <c r="P51" s="6">
        <v>5632.39</v>
      </c>
      <c r="Q51" s="2"/>
      <c r="R51" s="7">
        <f t="shared" si="33"/>
        <v>1.9587053381248744E-2</v>
      </c>
      <c r="S51" s="2"/>
      <c r="T51" s="6">
        <v>2527.21</v>
      </c>
      <c r="U51" s="2"/>
      <c r="V51" s="7">
        <f t="shared" si="34"/>
        <v>6.9733935955185039E-3</v>
      </c>
      <c r="W51" s="2"/>
      <c r="X51" s="6">
        <f t="shared" si="35"/>
        <v>3105.1800000000003</v>
      </c>
      <c r="Y51" s="2"/>
      <c r="Z51" s="7">
        <f t="shared" si="36"/>
        <v>1.228698841805786</v>
      </c>
    </row>
    <row r="52" spans="1:26" s="25" customFormat="1" outlineLevel="1" collapsed="1" x14ac:dyDescent="0.25">
      <c r="A52" s="26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29"/>
        <v>0</v>
      </c>
      <c r="G52" s="1"/>
      <c r="H52" s="1">
        <f>SUM(OSRRefH22_9x_0)</f>
        <v>1140.3699999999999</v>
      </c>
      <c r="I52" s="1"/>
      <c r="J52" s="5">
        <f t="shared" si="30"/>
        <v>2.2805479778602641E-2</v>
      </c>
      <c r="K52" s="1"/>
      <c r="L52" s="1">
        <f t="shared" si="31"/>
        <v>-1140.3699999999999</v>
      </c>
      <c r="M52" s="1"/>
      <c r="N52" s="5">
        <f t="shared" si="32"/>
        <v>-1</v>
      </c>
      <c r="O52" s="13"/>
      <c r="P52" s="1">
        <f>SUM(OSRRefP22_9x_0)</f>
        <v>7318.94</v>
      </c>
      <c r="Q52" s="1"/>
      <c r="R52" s="5">
        <f t="shared" si="33"/>
        <v>2.5452155918563285E-2</v>
      </c>
      <c r="S52" s="1"/>
      <c r="T52" s="1">
        <f>SUM(OSRRefT22_9x_0)</f>
        <v>6591.25</v>
      </c>
      <c r="U52" s="1"/>
      <c r="V52" s="5">
        <f t="shared" si="34"/>
        <v>1.8187400547030653E-2</v>
      </c>
      <c r="W52" s="1"/>
      <c r="X52" s="1">
        <f t="shared" si="35"/>
        <v>727.6899999999996</v>
      </c>
      <c r="Y52" s="1"/>
      <c r="Z52" s="5">
        <f t="shared" si="36"/>
        <v>0.11040242746064853</v>
      </c>
    </row>
    <row r="53" spans="1:26" s="24" customFormat="1" hidden="1" outlineLevel="2" x14ac:dyDescent="0.25">
      <c r="A53" s="27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0</v>
      </c>
      <c r="M53" s="2"/>
      <c r="N53" s="7">
        <f t="shared" si="32"/>
        <v>0</v>
      </c>
      <c r="O53" s="11"/>
      <c r="P53" s="6">
        <v>141.44999999999999</v>
      </c>
      <c r="Q53" s="2"/>
      <c r="R53" s="7">
        <f t="shared" si="33"/>
        <v>4.9190285132557124E-4</v>
      </c>
      <c r="S53" s="2"/>
      <c r="T53" s="6">
        <v>378.06</v>
      </c>
      <c r="U53" s="2"/>
      <c r="V53" s="7">
        <f t="shared" si="34"/>
        <v>1.0431903888959467E-3</v>
      </c>
      <c r="W53" s="2"/>
      <c r="X53" s="6">
        <f t="shared" si="35"/>
        <v>-236.61</v>
      </c>
      <c r="Y53" s="2"/>
      <c r="Z53" s="7">
        <f t="shared" si="36"/>
        <v>-0.62585303920012703</v>
      </c>
    </row>
    <row r="54" spans="1:26" s="24" customFormat="1" hidden="1" outlineLevel="2" x14ac:dyDescent="0.25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9"/>
        <v>0</v>
      </c>
      <c r="G54" s="2"/>
      <c r="H54" s="6">
        <v>1140.3699999999999</v>
      </c>
      <c r="I54" s="2"/>
      <c r="J54" s="7">
        <f t="shared" si="30"/>
        <v>2.2805479778602641E-2</v>
      </c>
      <c r="K54" s="2"/>
      <c r="L54" s="6">
        <f t="shared" si="31"/>
        <v>-1140.3699999999999</v>
      </c>
      <c r="M54" s="2"/>
      <c r="N54" s="7">
        <f t="shared" si="32"/>
        <v>-1</v>
      </c>
      <c r="O54" s="11"/>
      <c r="P54" s="6">
        <v>7177.49</v>
      </c>
      <c r="Q54" s="2"/>
      <c r="R54" s="7">
        <f t="shared" si="33"/>
        <v>2.4960253067237714E-2</v>
      </c>
      <c r="S54" s="2"/>
      <c r="T54" s="6">
        <v>6213.19</v>
      </c>
      <c r="U54" s="2"/>
      <c r="V54" s="7">
        <f t="shared" si="34"/>
        <v>1.7144210158134703E-2</v>
      </c>
      <c r="W54" s="2"/>
      <c r="X54" s="6">
        <f t="shared" si="35"/>
        <v>964.30000000000018</v>
      </c>
      <c r="Y54" s="2"/>
      <c r="Z54" s="7">
        <f t="shared" si="36"/>
        <v>0.15520207815952838</v>
      </c>
    </row>
    <row r="55" spans="1:26" s="25" customFormat="1" outlineLevel="1" collapsed="1" x14ac:dyDescent="0.25">
      <c r="A55" s="26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28.84</v>
      </c>
      <c r="E55" s="1"/>
      <c r="F55" s="5">
        <f t="shared" ref="F55:F58" si="37">IF(D$12=0,0,D55/D$12)</f>
        <v>0</v>
      </c>
      <c r="G55" s="1"/>
      <c r="H55" s="1">
        <f>SUM(OSRRefH22_10x_0)</f>
        <v>354.86</v>
      </c>
      <c r="I55" s="1"/>
      <c r="J55" s="5">
        <f t="shared" ref="J55:J58" si="38">IF(H$12=0,0,H55/H$12)</f>
        <v>7.0966024660723574E-3</v>
      </c>
      <c r="K55" s="1"/>
      <c r="L55" s="1">
        <f t="shared" ref="L55:L58" si="39">+D55-H55</f>
        <v>-326.02000000000004</v>
      </c>
      <c r="M55" s="1"/>
      <c r="N55" s="5">
        <f t="shared" ref="N55:N58" si="40">IF(H55=0,0,L55/H55)</f>
        <v>-0.91872851265287725</v>
      </c>
      <c r="O55" s="13"/>
      <c r="P55" s="1">
        <f>SUM(OSRRefP22_10x_0)</f>
        <v>3556.2400000000002</v>
      </c>
      <c r="Q55" s="1"/>
      <c r="R55" s="5">
        <f t="shared" ref="R55:R58" si="41">IF(P$12=0,0,P55/P$12)</f>
        <v>1.2367087988674795E-2</v>
      </c>
      <c r="S55" s="1"/>
      <c r="T55" s="1">
        <f>SUM(OSRRefT22_10x_0)</f>
        <v>3157.16</v>
      </c>
      <c r="U55" s="1"/>
      <c r="V55" s="5">
        <f t="shared" ref="V55:V58" si="42">IF(T$12=0,0,T55/T$12)</f>
        <v>8.7116303449365894E-3</v>
      </c>
      <c r="W55" s="1"/>
      <c r="X55" s="1">
        <f t="shared" ref="X55:X58" si="43">+P55-T55</f>
        <v>399.08000000000038</v>
      </c>
      <c r="Y55" s="1"/>
      <c r="Z55" s="5">
        <f t="shared" ref="Z55:Z58" si="44">IF(T55=0,0,X55/T55)</f>
        <v>0.1264047435036553</v>
      </c>
    </row>
    <row r="56" spans="1:26" s="24" customFormat="1" hidden="1" outlineLevel="2" x14ac:dyDescent="0.25">
      <c r="A56" s="27"/>
      <c r="B56" s="11" t="str">
        <f>CONCATENATE("          ", "6282", " - ", "JANITORIAL/EXTERMINATOR EXPENS")</f>
        <v xml:space="preserve">          6282 - JANITORIAL/EXTERMINATOR EXPENS</v>
      </c>
      <c r="C56" s="11"/>
      <c r="D56" s="6"/>
      <c r="E56" s="2"/>
      <c r="F56" s="7">
        <f t="shared" si="37"/>
        <v>0</v>
      </c>
      <c r="G56" s="2"/>
      <c r="H56" s="6">
        <v>327.93</v>
      </c>
      <c r="I56" s="2"/>
      <c r="J56" s="7">
        <f t="shared" si="38"/>
        <v>6.5580478123741983E-3</v>
      </c>
      <c r="K56" s="2"/>
      <c r="L56" s="6">
        <f t="shared" si="39"/>
        <v>-327.93</v>
      </c>
      <c r="M56" s="2"/>
      <c r="N56" s="7">
        <f t="shared" si="40"/>
        <v>-1</v>
      </c>
      <c r="O56" s="11"/>
      <c r="P56" s="6">
        <v>3093.3</v>
      </c>
      <c r="Q56" s="2"/>
      <c r="R56" s="7">
        <f t="shared" si="41"/>
        <v>1.075717985157575E-2</v>
      </c>
      <c r="S56" s="2"/>
      <c r="T56" s="6">
        <v>2951.37</v>
      </c>
      <c r="U56" s="2"/>
      <c r="V56" s="7">
        <f t="shared" si="42"/>
        <v>8.1437888644020264E-3</v>
      </c>
      <c r="W56" s="2"/>
      <c r="X56" s="6">
        <f t="shared" si="43"/>
        <v>141.93000000000029</v>
      </c>
      <c r="Y56" s="2"/>
      <c r="Z56" s="7">
        <f t="shared" si="44"/>
        <v>4.8089531302412197E-2</v>
      </c>
    </row>
    <row r="57" spans="1:26" s="24" customFormat="1" hidden="1" outlineLevel="2" x14ac:dyDescent="0.25">
      <c r="A57" s="27"/>
      <c r="B57" s="11" t="str">
        <f>CONCATENATE("          ", "6285", " - ", "JANITORIAL SERVICES")</f>
        <v xml:space="preserve">          6285 - JANITORIAL SERVICES</v>
      </c>
      <c r="C57" s="11"/>
      <c r="D57" s="6">
        <v>28.84</v>
      </c>
      <c r="E57" s="2"/>
      <c r="F57" s="7">
        <f t="shared" si="37"/>
        <v>0</v>
      </c>
      <c r="G57" s="2"/>
      <c r="H57" s="6">
        <v>26.93</v>
      </c>
      <c r="I57" s="2"/>
      <c r="J57" s="7">
        <f t="shared" si="38"/>
        <v>5.3855465369815865E-4</v>
      </c>
      <c r="K57" s="2"/>
      <c r="L57" s="6">
        <f t="shared" si="39"/>
        <v>1.9100000000000001</v>
      </c>
      <c r="M57" s="2"/>
      <c r="N57" s="7">
        <f t="shared" si="40"/>
        <v>7.0924619383587087E-2</v>
      </c>
      <c r="O57" s="11"/>
      <c r="P57" s="6">
        <v>276.94</v>
      </c>
      <c r="Q57" s="2"/>
      <c r="R57" s="7">
        <f t="shared" si="41"/>
        <v>9.6307936123084985E-4</v>
      </c>
      <c r="S57" s="2"/>
      <c r="T57" s="6">
        <v>205.79</v>
      </c>
      <c r="U57" s="2"/>
      <c r="V57" s="7">
        <f t="shared" si="42"/>
        <v>5.6784148053456291E-4</v>
      </c>
      <c r="W57" s="2"/>
      <c r="X57" s="6">
        <f t="shared" si="43"/>
        <v>71.150000000000006</v>
      </c>
      <c r="Y57" s="2"/>
      <c r="Z57" s="7">
        <f t="shared" si="44"/>
        <v>0.34574080373195981</v>
      </c>
    </row>
    <row r="58" spans="1:26" s="24" customFormat="1" hidden="1" outlineLevel="2" x14ac:dyDescent="0.25">
      <c r="A58" s="27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186</v>
      </c>
      <c r="Q58" s="2"/>
      <c r="R58" s="7">
        <f t="shared" si="41"/>
        <v>6.4682877586819554E-4</v>
      </c>
      <c r="S58" s="2"/>
      <c r="T58" s="6"/>
      <c r="U58" s="2"/>
      <c r="V58" s="7">
        <f t="shared" si="42"/>
        <v>0</v>
      </c>
      <c r="W58" s="2"/>
      <c r="X58" s="6">
        <f t="shared" si="43"/>
        <v>186</v>
      </c>
      <c r="Y58" s="2"/>
      <c r="Z58" s="7">
        <f t="shared" si="44"/>
        <v>0</v>
      </c>
    </row>
    <row r="59" spans="1:26" s="25" customFormat="1" outlineLevel="1" collapsed="1" x14ac:dyDescent="0.25">
      <c r="A59" s="26"/>
      <c r="B59" s="13" t="str">
        <f>CONCATENATE("     ","Subscriptions &amp; Dues                              ")</f>
        <v xml:space="preserve">     Subscriptions &amp; Dues                              </v>
      </c>
      <c r="C59" s="13"/>
      <c r="D59" s="1">
        <f>SUM(OSRRefD22_11x_0)</f>
        <v>0</v>
      </c>
      <c r="E59" s="1"/>
      <c r="F59" s="5">
        <f t="shared" ref="F59:F68" si="45">IF(D$12=0,0,D59/D$12)</f>
        <v>0</v>
      </c>
      <c r="G59" s="1"/>
      <c r="H59" s="1">
        <f>SUM(OSRRefH22_11x_0)</f>
        <v>0</v>
      </c>
      <c r="I59" s="1"/>
      <c r="J59" s="5">
        <f t="shared" ref="J59:J68" si="46">IF(H$12=0,0,H59/H$12)</f>
        <v>0</v>
      </c>
      <c r="K59" s="1"/>
      <c r="L59" s="1">
        <f t="shared" ref="L59:L68" si="47">+D59-H59</f>
        <v>0</v>
      </c>
      <c r="M59" s="1"/>
      <c r="N59" s="5">
        <f t="shared" ref="N59:N68" si="48">IF(H59=0,0,L59/H59)</f>
        <v>0</v>
      </c>
      <c r="O59" s="13"/>
      <c r="P59" s="1">
        <f>SUM(OSRRefP22_11x_0)</f>
        <v>0</v>
      </c>
      <c r="Q59" s="1"/>
      <c r="R59" s="5">
        <f t="shared" ref="R59:R68" si="49">IF(P$12=0,0,P59/P$12)</f>
        <v>0</v>
      </c>
      <c r="S59" s="1"/>
      <c r="T59" s="1">
        <f>SUM(OSRRefT22_11x_0)</f>
        <v>111.8</v>
      </c>
      <c r="U59" s="1"/>
      <c r="V59" s="5">
        <f t="shared" ref="V59:V68" si="50">IF(T$12=0,0,T59/T$12)</f>
        <v>3.0849252890696407E-4</v>
      </c>
      <c r="W59" s="1"/>
      <c r="X59" s="1">
        <f t="shared" ref="X59:X68" si="51">+P59-T59</f>
        <v>-111.8</v>
      </c>
      <c r="Y59" s="1"/>
      <c r="Z59" s="5">
        <f t="shared" ref="Z59:Z68" si="52">IF(T59=0,0,X59/T59)</f>
        <v>-1</v>
      </c>
    </row>
    <row r="60" spans="1:26" s="24" customFormat="1" hidden="1" outlineLevel="2" x14ac:dyDescent="0.25">
      <c r="A60" s="27"/>
      <c r="B60" s="11" t="str">
        <f>CONCATENATE("          ", "6258", " - ", "MEMBERSHIP DUES")</f>
        <v xml:space="preserve">          6258 - MEMBERSHIP DUES</v>
      </c>
      <c r="C60" s="11"/>
      <c r="D60" s="6"/>
      <c r="E60" s="2"/>
      <c r="F60" s="7">
        <f t="shared" si="45"/>
        <v>0</v>
      </c>
      <c r="G60" s="2"/>
      <c r="H60" s="6"/>
      <c r="I60" s="2"/>
      <c r="J60" s="7">
        <f t="shared" si="46"/>
        <v>0</v>
      </c>
      <c r="K60" s="2"/>
      <c r="L60" s="6">
        <f t="shared" si="47"/>
        <v>0</v>
      </c>
      <c r="M60" s="2"/>
      <c r="N60" s="7">
        <f t="shared" si="48"/>
        <v>0</v>
      </c>
      <c r="O60" s="11"/>
      <c r="P60" s="6"/>
      <c r="Q60" s="2"/>
      <c r="R60" s="7">
        <f t="shared" si="49"/>
        <v>0</v>
      </c>
      <c r="S60" s="2"/>
      <c r="T60" s="6">
        <v>111.8</v>
      </c>
      <c r="U60" s="2"/>
      <c r="V60" s="7">
        <f t="shared" si="50"/>
        <v>3.0849252890696407E-4</v>
      </c>
      <c r="W60" s="2"/>
      <c r="X60" s="6">
        <f t="shared" si="51"/>
        <v>-111.8</v>
      </c>
      <c r="Y60" s="2"/>
      <c r="Z60" s="7">
        <f t="shared" si="52"/>
        <v>-1</v>
      </c>
    </row>
    <row r="61" spans="1:26" s="25" customFormat="1" outlineLevel="1" collapsed="1" x14ac:dyDescent="0.25">
      <c r="A61" s="26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40.9</v>
      </c>
      <c r="E61" s="1"/>
      <c r="F61" s="5">
        <f t="shared" si="45"/>
        <v>0</v>
      </c>
      <c r="G61" s="1"/>
      <c r="H61" s="1">
        <f>SUM(OSRRefH22_12x_0)</f>
        <v>564.57999999999993</v>
      </c>
      <c r="I61" s="1"/>
      <c r="J61" s="5">
        <f t="shared" si="46"/>
        <v>1.1290649327326638E-2</v>
      </c>
      <c r="K61" s="1"/>
      <c r="L61" s="1">
        <f t="shared" si="47"/>
        <v>-523.67999999999995</v>
      </c>
      <c r="M61" s="1"/>
      <c r="N61" s="5">
        <f t="shared" si="48"/>
        <v>-0.92755676786283614</v>
      </c>
      <c r="O61" s="13"/>
      <c r="P61" s="1">
        <f>SUM(OSRRefP22_12x_0)</f>
        <v>10479.52</v>
      </c>
      <c r="Q61" s="1"/>
      <c r="R61" s="5">
        <f t="shared" si="49"/>
        <v>3.6443306953152003E-2</v>
      </c>
      <c r="S61" s="1"/>
      <c r="T61" s="1">
        <f>SUM(OSRRefT22_12x_0)</f>
        <v>5830.19</v>
      </c>
      <c r="U61" s="1"/>
      <c r="V61" s="5">
        <f t="shared" si="50"/>
        <v>1.6087388704007985E-2</v>
      </c>
      <c r="W61" s="1"/>
      <c r="X61" s="1">
        <f t="shared" si="51"/>
        <v>4649.3300000000008</v>
      </c>
      <c r="Y61" s="1"/>
      <c r="Z61" s="5">
        <f t="shared" si="52"/>
        <v>0.79745771578627822</v>
      </c>
    </row>
    <row r="62" spans="1:26" s="24" customFormat="1" hidden="1" outlineLevel="2" x14ac:dyDescent="0.25">
      <c r="A62" s="27"/>
      <c r="B62" s="11" t="str">
        <f>CONCATENATE("          ", "6237", " - ", "JANITORIAL SUPPLIES")</f>
        <v xml:space="preserve">          6237 - JANITORIAL SUPPLIES</v>
      </c>
      <c r="C62" s="11"/>
      <c r="D62" s="6"/>
      <c r="E62" s="2"/>
      <c r="F62" s="7">
        <f t="shared" si="45"/>
        <v>0</v>
      </c>
      <c r="G62" s="2"/>
      <c r="H62" s="6">
        <v>302.89999999999998</v>
      </c>
      <c r="I62" s="2"/>
      <c r="J62" s="7">
        <f t="shared" si="46"/>
        <v>6.0574899593454226E-3</v>
      </c>
      <c r="K62" s="2"/>
      <c r="L62" s="6">
        <f t="shared" si="47"/>
        <v>-302.89999999999998</v>
      </c>
      <c r="M62" s="2"/>
      <c r="N62" s="7">
        <f t="shared" si="48"/>
        <v>-1</v>
      </c>
      <c r="O62" s="11"/>
      <c r="P62" s="6">
        <v>1096.97</v>
      </c>
      <c r="Q62" s="2"/>
      <c r="R62" s="7">
        <f t="shared" si="49"/>
        <v>3.8147944207749165E-3</v>
      </c>
      <c r="S62" s="2"/>
      <c r="T62" s="6">
        <v>1138.43</v>
      </c>
      <c r="U62" s="2"/>
      <c r="V62" s="7">
        <f t="shared" si="50"/>
        <v>3.1412982977062176E-3</v>
      </c>
      <c r="W62" s="2"/>
      <c r="X62" s="6">
        <f t="shared" si="51"/>
        <v>-41.460000000000036</v>
      </c>
      <c r="Y62" s="2"/>
      <c r="Z62" s="7">
        <f t="shared" si="52"/>
        <v>-3.6418576460564143E-2</v>
      </c>
    </row>
    <row r="63" spans="1:26" s="24" customFormat="1" hidden="1" outlineLevel="2" x14ac:dyDescent="0.25">
      <c r="A63" s="27"/>
      <c r="B63" s="11" t="str">
        <f>CONCATENATE("          ", "6239", " - ", "KITCHEN SUPPLIES")</f>
        <v xml:space="preserve">          6239 - KITCHEN SUPPLIES</v>
      </c>
      <c r="C63" s="11"/>
      <c r="D63" s="6"/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0</v>
      </c>
      <c r="M63" s="2"/>
      <c r="N63" s="7">
        <f t="shared" si="48"/>
        <v>0</v>
      </c>
      <c r="O63" s="11"/>
      <c r="P63" s="6"/>
      <c r="Q63" s="2"/>
      <c r="R63" s="7">
        <f t="shared" si="49"/>
        <v>0</v>
      </c>
      <c r="S63" s="2"/>
      <c r="T63" s="6">
        <v>17.87</v>
      </c>
      <c r="U63" s="2"/>
      <c r="V63" s="7">
        <f t="shared" si="50"/>
        <v>4.9309136776095243E-5</v>
      </c>
      <c r="W63" s="2"/>
      <c r="X63" s="6">
        <f t="shared" si="51"/>
        <v>-17.87</v>
      </c>
      <c r="Y63" s="2"/>
      <c r="Z63" s="7">
        <f t="shared" si="52"/>
        <v>-1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1"/>
      <c r="P64" s="6"/>
      <c r="Q64" s="2"/>
      <c r="R64" s="7">
        <f t="shared" si="49"/>
        <v>0</v>
      </c>
      <c r="S64" s="2"/>
      <c r="T64" s="6">
        <v>68.36</v>
      </c>
      <c r="U64" s="2"/>
      <c r="V64" s="7">
        <f t="shared" si="50"/>
        <v>1.8862745327441919E-4</v>
      </c>
      <c r="W64" s="2"/>
      <c r="X64" s="6">
        <f t="shared" si="51"/>
        <v>-68.36</v>
      </c>
      <c r="Y64" s="2"/>
      <c r="Z64" s="7">
        <f t="shared" si="52"/>
        <v>-1</v>
      </c>
    </row>
    <row r="65" spans="1:26" s="24" customFormat="1" hidden="1" outlineLevel="2" x14ac:dyDescent="0.25">
      <c r="A65" s="27"/>
      <c r="B65" s="11" t="str">
        <f>CONCATENATE("          ", "6243", " - ", "PAPER SUPPLIES")</f>
        <v xml:space="preserve">          6243 - PAPER SUPPLIES</v>
      </c>
      <c r="C65" s="11"/>
      <c r="D65" s="6"/>
      <c r="E65" s="2"/>
      <c r="F65" s="7">
        <f t="shared" si="45"/>
        <v>0</v>
      </c>
      <c r="G65" s="2"/>
      <c r="H65" s="6">
        <v>178.18</v>
      </c>
      <c r="I65" s="2"/>
      <c r="J65" s="7">
        <f t="shared" si="46"/>
        <v>3.5632999701425143E-3</v>
      </c>
      <c r="K65" s="2"/>
      <c r="L65" s="6">
        <f t="shared" si="47"/>
        <v>-178.18</v>
      </c>
      <c r="M65" s="2"/>
      <c r="N65" s="7">
        <f t="shared" si="48"/>
        <v>-1</v>
      </c>
      <c r="O65" s="11"/>
      <c r="P65" s="6">
        <v>741.91</v>
      </c>
      <c r="Q65" s="2"/>
      <c r="R65" s="7">
        <f t="shared" si="49"/>
        <v>2.5800469736794243E-3</v>
      </c>
      <c r="S65" s="2"/>
      <c r="T65" s="6">
        <v>1654.11</v>
      </c>
      <c r="U65" s="2"/>
      <c r="V65" s="7">
        <f t="shared" si="50"/>
        <v>4.5642269856019527E-3</v>
      </c>
      <c r="W65" s="2"/>
      <c r="X65" s="6">
        <f t="shared" si="51"/>
        <v>-912.19999999999993</v>
      </c>
      <c r="Y65" s="2"/>
      <c r="Z65" s="7">
        <f t="shared" si="52"/>
        <v>-0.55147481122779018</v>
      </c>
    </row>
    <row r="66" spans="1:26" s="24" customFormat="1" hidden="1" outlineLevel="2" x14ac:dyDescent="0.25">
      <c r="A66" s="27"/>
      <c r="B66" s="11" t="str">
        <f>CONCATENATE("          ", "6245", " - ", "PRINTING")</f>
        <v xml:space="preserve">          6245 - PRINTING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/>
      <c r="Q66" s="2"/>
      <c r="R66" s="7">
        <f t="shared" si="49"/>
        <v>0</v>
      </c>
      <c r="S66" s="2"/>
      <c r="T66" s="6">
        <v>51.82</v>
      </c>
      <c r="U66" s="2"/>
      <c r="V66" s="7">
        <f t="shared" si="50"/>
        <v>1.429882186758397E-4</v>
      </c>
      <c r="W66" s="2"/>
      <c r="X66" s="6">
        <f t="shared" si="51"/>
        <v>-51.82</v>
      </c>
      <c r="Y66" s="2"/>
      <c r="Z66" s="7">
        <f t="shared" si="52"/>
        <v>-1</v>
      </c>
    </row>
    <row r="67" spans="1:26" s="24" customFormat="1" hidden="1" outlineLevel="2" x14ac:dyDescent="0.25">
      <c r="A67" s="27"/>
      <c r="B67" s="11" t="str">
        <f>CONCATENATE("          ", "6247", " - ", "STORE SUPPLIES")</f>
        <v xml:space="preserve">          6247 - STORE SUPPLIES</v>
      </c>
      <c r="C67" s="11"/>
      <c r="D67" s="6">
        <v>40.9</v>
      </c>
      <c r="E67" s="2"/>
      <c r="F67" s="7">
        <f t="shared" si="45"/>
        <v>0</v>
      </c>
      <c r="G67" s="2"/>
      <c r="H67" s="6">
        <v>83.5</v>
      </c>
      <c r="I67" s="2"/>
      <c r="J67" s="7">
        <f t="shared" si="46"/>
        <v>1.669859397838702E-3</v>
      </c>
      <c r="K67" s="2"/>
      <c r="L67" s="6">
        <f t="shared" si="47"/>
        <v>-42.6</v>
      </c>
      <c r="M67" s="2"/>
      <c r="N67" s="7">
        <f t="shared" si="48"/>
        <v>-0.51017964071856292</v>
      </c>
      <c r="O67" s="11"/>
      <c r="P67" s="6">
        <v>8640.64</v>
      </c>
      <c r="Q67" s="2"/>
      <c r="R67" s="7">
        <f t="shared" si="49"/>
        <v>3.0048465558697661E-2</v>
      </c>
      <c r="S67" s="2"/>
      <c r="T67" s="6">
        <v>2711.73</v>
      </c>
      <c r="U67" s="2"/>
      <c r="V67" s="7">
        <f t="shared" si="50"/>
        <v>7.4825442344622689E-3</v>
      </c>
      <c r="W67" s="2"/>
      <c r="X67" s="6">
        <f t="shared" si="51"/>
        <v>5928.91</v>
      </c>
      <c r="Y67" s="2"/>
      <c r="Z67" s="7">
        <f t="shared" si="52"/>
        <v>2.18639392564894</v>
      </c>
    </row>
    <row r="68" spans="1:26" s="24" customFormat="1" hidden="1" outlineLevel="2" x14ac:dyDescent="0.25">
      <c r="A68" s="27"/>
      <c r="B68" s="11" t="str">
        <f>CONCATENATE("          ", "6248", " - ", "UNIFORMS")</f>
        <v xml:space="preserve">          6248 - UNIFORMS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/>
      <c r="Q68" s="2"/>
      <c r="R68" s="7">
        <f t="shared" si="49"/>
        <v>0</v>
      </c>
      <c r="S68" s="2"/>
      <c r="T68" s="6">
        <v>187.87</v>
      </c>
      <c r="U68" s="2"/>
      <c r="V68" s="7">
        <f t="shared" si="50"/>
        <v>5.183943775111927E-4</v>
      </c>
      <c r="W68" s="2"/>
      <c r="X68" s="6">
        <f t="shared" si="51"/>
        <v>-187.87</v>
      </c>
      <c r="Y68" s="2"/>
      <c r="Z68" s="7">
        <f t="shared" si="52"/>
        <v>-1</v>
      </c>
    </row>
    <row r="69" spans="1:26" s="25" customFormat="1" outlineLevel="1" collapsed="1" x14ac:dyDescent="0.25">
      <c r="A69" s="26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SUM(OSRRefD22_13x_0)</f>
        <v>129.02000000000001</v>
      </c>
      <c r="E69" s="1"/>
      <c r="F69" s="5">
        <f t="shared" ref="F69:F70" si="53">IF(D$12=0,0,D69/D$12)</f>
        <v>0</v>
      </c>
      <c r="G69" s="1"/>
      <c r="H69" s="1">
        <f>SUM(OSRRefH22_13x_0)</f>
        <v>91.01</v>
      </c>
      <c r="I69" s="1"/>
      <c r="J69" s="5">
        <f t="shared" ref="J69:J70" si="54">IF(H$12=0,0,H69/H$12)</f>
        <v>1.8200467520634765E-3</v>
      </c>
      <c r="K69" s="1"/>
      <c r="L69" s="1">
        <f t="shared" ref="L69:L70" si="55">+D69-H69</f>
        <v>38.010000000000005</v>
      </c>
      <c r="M69" s="1"/>
      <c r="N69" s="5">
        <f t="shared" ref="N69:N70" si="56">IF(H69=0,0,L69/H69)</f>
        <v>0.41764641248214485</v>
      </c>
      <c r="O69" s="13"/>
      <c r="P69" s="1">
        <f>SUM(OSRRefP22_13x_0)</f>
        <v>910.1</v>
      </c>
      <c r="Q69" s="1"/>
      <c r="R69" s="5">
        <f t="shared" ref="R69:R70" si="57">IF(P$12=0,0,P69/P$12)</f>
        <v>3.1649401554712086E-3</v>
      </c>
      <c r="S69" s="1"/>
      <c r="T69" s="1">
        <f>SUM(OSRRefT22_13x_0)</f>
        <v>910.1</v>
      </c>
      <c r="U69" s="1"/>
      <c r="V69" s="5">
        <f t="shared" ref="V69:V70" si="58">IF(T$12=0,0,T69/T$12)</f>
        <v>2.5112616329000716E-3</v>
      </c>
      <c r="W69" s="1"/>
      <c r="X69" s="1">
        <f t="shared" ref="X69:X70" si="59">+P69-T69</f>
        <v>0</v>
      </c>
      <c r="Y69" s="1"/>
      <c r="Z69" s="5">
        <f t="shared" ref="Z69:Z70" si="60">IF(T69=0,0,X69/T69)</f>
        <v>0</v>
      </c>
    </row>
    <row r="70" spans="1:26" s="24" customFormat="1" hidden="1" outlineLevel="2" x14ac:dyDescent="0.25">
      <c r="A70" s="27"/>
      <c r="B70" s="11" t="str">
        <f>CONCATENATE("          ", "6309", " - ", "TELEPHONE")</f>
        <v xml:space="preserve">          6309 - TELEPHONE</v>
      </c>
      <c r="C70" s="11"/>
      <c r="D70" s="6">
        <v>129.02000000000001</v>
      </c>
      <c r="E70" s="2"/>
      <c r="F70" s="7">
        <f t="shared" si="53"/>
        <v>0</v>
      </c>
      <c r="G70" s="2"/>
      <c r="H70" s="6">
        <v>91.01</v>
      </c>
      <c r="I70" s="2"/>
      <c r="J70" s="7">
        <f t="shared" si="54"/>
        <v>1.8200467520634765E-3</v>
      </c>
      <c r="K70" s="2"/>
      <c r="L70" s="6">
        <f t="shared" si="55"/>
        <v>38.010000000000005</v>
      </c>
      <c r="M70" s="2"/>
      <c r="N70" s="7">
        <f t="shared" si="56"/>
        <v>0.41764641248214485</v>
      </c>
      <c r="O70" s="11"/>
      <c r="P70" s="6">
        <v>910.1</v>
      </c>
      <c r="Q70" s="2"/>
      <c r="R70" s="7">
        <f t="shared" si="57"/>
        <v>3.1649401554712086E-3</v>
      </c>
      <c r="S70" s="2"/>
      <c r="T70" s="6">
        <v>910.1</v>
      </c>
      <c r="U70" s="2"/>
      <c r="V70" s="7">
        <f t="shared" si="58"/>
        <v>2.5112616329000716E-3</v>
      </c>
      <c r="W70" s="2"/>
      <c r="X70" s="6">
        <f t="shared" si="59"/>
        <v>0</v>
      </c>
      <c r="Y70" s="2"/>
      <c r="Z70" s="7">
        <f t="shared" si="60"/>
        <v>0</v>
      </c>
    </row>
    <row r="71" spans="1:26" s="53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1">
        <f>+D20-D22+D72</f>
        <v>-20500.829999999998</v>
      </c>
      <c r="E74" s="14"/>
      <c r="F74" s="20">
        <f>IF(D$12=0,0,D74/D$12)</f>
        <v>0</v>
      </c>
      <c r="G74" s="14"/>
      <c r="H74" s="21">
        <f>+H20-H22+H72</f>
        <v>9937.5199999999932</v>
      </c>
      <c r="I74" s="14"/>
      <c r="J74" s="20">
        <f>IF(H$12=0,0,H74/H$12)</f>
        <v>0.19873366662527001</v>
      </c>
      <c r="K74" s="15"/>
      <c r="L74" s="21">
        <f>+D74-H74</f>
        <v>-30438.349999999991</v>
      </c>
      <c r="M74" s="15"/>
      <c r="N74" s="20">
        <f>IF(H74=0,0,L74/H74)</f>
        <v>-3.0629724518793435</v>
      </c>
      <c r="O74" s="29"/>
      <c r="P74" s="21">
        <f>+P20-P22+P72</f>
        <v>3395.8299999999726</v>
      </c>
      <c r="Q74" s="14"/>
      <c r="R74" s="20">
        <f>IF(P$12=0,0,P74/P$12)</f>
        <v>1.1809250333099338E-2</v>
      </c>
      <c r="S74" s="14"/>
      <c r="T74" s="21">
        <f>+T20-T22+T72</f>
        <v>24006.800000000017</v>
      </c>
      <c r="U74" s="14"/>
      <c r="V74" s="20">
        <f>IF(T$12=0,0,T74/T$12)</f>
        <v>6.6242562101643213E-2</v>
      </c>
      <c r="W74" s="15"/>
      <c r="X74" s="21">
        <f>+P74-T74</f>
        <v>-20610.970000000045</v>
      </c>
      <c r="Y74" s="15"/>
      <c r="Z74" s="20">
        <f>IF(T74=0,0,X74/T74)</f>
        <v>-0.8585471616375373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>
        <v>1837.6</v>
      </c>
      <c r="E76" s="4"/>
      <c r="F76" s="12">
        <f>IF(D$12=0,0,D76/D$12)</f>
        <v>0</v>
      </c>
      <c r="G76" s="4"/>
      <c r="H76" s="4">
        <v>5506.43</v>
      </c>
      <c r="I76" s="4"/>
      <c r="J76" s="12">
        <f>IF(H$12=0,0,H76/H$12)</f>
        <v>0.1101193279525864</v>
      </c>
      <c r="K76" s="4"/>
      <c r="L76" s="4">
        <f>+D76-H76</f>
        <v>-3668.8300000000004</v>
      </c>
      <c r="M76" s="4"/>
      <c r="N76" s="12">
        <f>IF(H76=0,0,L76/H76)</f>
        <v>-0.66628105687350969</v>
      </c>
      <c r="O76" s="10"/>
      <c r="P76" s="4">
        <v>32650.01</v>
      </c>
      <c r="Q76" s="4"/>
      <c r="R76" s="12">
        <f>IF(P$12=0,0,P76/P$12)</f>
        <v>0.11354282795905561</v>
      </c>
      <c r="S76" s="4"/>
      <c r="T76" s="4">
        <v>37675.360000000001</v>
      </c>
      <c r="U76" s="4"/>
      <c r="V76" s="12">
        <f>IF(T$12=0,0,T76/T$12)</f>
        <v>0.10395856067871448</v>
      </c>
      <c r="W76" s="4"/>
      <c r="X76" s="4">
        <f>+P76-T76</f>
        <v>-5025.3500000000022</v>
      </c>
      <c r="Y76" s="4"/>
      <c r="Z76" s="12">
        <f>IF(T76=0,0,X76/T76)</f>
        <v>-0.13338558676015311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0">
        <f>+D74-D76</f>
        <v>-22338.429999999997</v>
      </c>
      <c r="E78" s="14"/>
      <c r="F78" s="36">
        <f>IF(D$12=0,0,D78/D$12)</f>
        <v>0</v>
      </c>
      <c r="G78" s="14"/>
      <c r="H78" s="30">
        <f>+H74-H76</f>
        <v>4431.0899999999929</v>
      </c>
      <c r="I78" s="14"/>
      <c r="J78" s="36">
        <f>IF(H$12=0,0,H78/H$12)</f>
        <v>8.8614338672683618E-2</v>
      </c>
      <c r="K78" s="15"/>
      <c r="L78" s="30">
        <f>D78-H78</f>
        <v>-26769.51999999999</v>
      </c>
      <c r="M78" s="15"/>
      <c r="N78" s="36">
        <f>IF(H78=0,0,L78/H78)</f>
        <v>-6.0412945798889286</v>
      </c>
      <c r="O78" s="29"/>
      <c r="P78" s="30">
        <f>+P74-P76</f>
        <v>-29254.180000000026</v>
      </c>
      <c r="Q78" s="14"/>
      <c r="R78" s="36">
        <f>IF(P$12=0,0,P78/P$12)</f>
        <v>-0.10173357762595626</v>
      </c>
      <c r="S78" s="14"/>
      <c r="T78" s="30">
        <f>+T74-T76</f>
        <v>-13668.559999999983</v>
      </c>
      <c r="U78" s="14"/>
      <c r="V78" s="36">
        <f>IF(T$12=0,0,T78/T$12)</f>
        <v>-3.7715998577071266E-2</v>
      </c>
      <c r="W78" s="15"/>
      <c r="X78" s="30">
        <f>P78-T78</f>
        <v>-15585.620000000043</v>
      </c>
      <c r="Y78" s="15"/>
      <c r="Z78" s="36">
        <f>IF(T78=0,0,X78/T78)</f>
        <v>1.1402532527201155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1">
        <f>SUM(D78:D80)</f>
        <v>-22338.429999999997</v>
      </c>
      <c r="E81" s="14"/>
      <c r="F81" s="32">
        <f>IF(D$12=0,0,D81/D$12)</f>
        <v>0</v>
      </c>
      <c r="G81" s="14"/>
      <c r="H81" s="31">
        <f>SUM(H78:H80)</f>
        <v>4431.0899999999929</v>
      </c>
      <c r="I81" s="14"/>
      <c r="J81" s="32">
        <f>IF(H$12=0,0,H81/H$12)</f>
        <v>8.8614338672683618E-2</v>
      </c>
      <c r="K81" s="15"/>
      <c r="L81" s="31">
        <f>+D81-H81</f>
        <v>-26769.51999999999</v>
      </c>
      <c r="M81" s="15"/>
      <c r="N81" s="32">
        <f>IF(H81=0,0,L81/H81)</f>
        <v>-6.0412945798889286</v>
      </c>
      <c r="O81" s="29"/>
      <c r="P81" s="31">
        <f>SUM(P78:P80)</f>
        <v>-29254.180000000026</v>
      </c>
      <c r="Q81" s="14"/>
      <c r="R81" s="32">
        <f>IF(P$12=0,0,P81/P$12)</f>
        <v>-0.10173357762595626</v>
      </c>
      <c r="S81" s="14"/>
      <c r="T81" s="31">
        <f>SUM(T78:T80)</f>
        <v>-13668.559999999983</v>
      </c>
      <c r="U81" s="14"/>
      <c r="V81" s="32">
        <f>IF(T$12=0,0,T81/T$12)</f>
        <v>-3.7715998577071266E-2</v>
      </c>
      <c r="W81" s="15"/>
      <c r="X81" s="31">
        <f>+P81-T81</f>
        <v>-15585.620000000043</v>
      </c>
      <c r="Y81" s="15"/>
      <c r="Z81" s="32">
        <f>IF(T81=0,0,X81/T81)</f>
        <v>1.1402532527201155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4">
        <v>43965.470937418984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59" t="s">
        <v>313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61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","313", " - ", "Convenience Store")</f>
        <v>Department 313 - Convenience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45.309999999999995</v>
      </c>
      <c r="E12" s="4"/>
      <c r="F12" s="12"/>
      <c r="G12" s="4"/>
      <c r="H12" s="4">
        <f>SUM(OSRRefH13x_0)</f>
        <v>70252.45</v>
      </c>
      <c r="I12" s="4"/>
      <c r="J12" s="12"/>
      <c r="K12" s="4"/>
      <c r="L12" s="4">
        <f t="shared" ref="L12:L20" si="0">+D12-H12</f>
        <v>-70207.14</v>
      </c>
      <c r="M12" s="4"/>
      <c r="N12" s="12">
        <f t="shared" ref="N12:N20" si="1">IF(H12=0,0,L12/H12)</f>
        <v>-0.99935504028685129</v>
      </c>
      <c r="O12" s="10"/>
      <c r="P12" s="4">
        <f>SUM(OSRRefP13x_0)</f>
        <v>495854.37000000005</v>
      </c>
      <c r="Q12" s="4"/>
      <c r="R12" s="12"/>
      <c r="S12" s="4"/>
      <c r="T12" s="4">
        <f>SUM(OSRRefT13x_0)</f>
        <v>585946.23</v>
      </c>
      <c r="U12" s="4"/>
      <c r="V12" s="12"/>
      <c r="W12" s="4"/>
      <c r="X12" s="4">
        <f t="shared" ref="X12:X20" si="2">+P12-T12</f>
        <v>-90091.859999999928</v>
      </c>
      <c r="Y12" s="4"/>
      <c r="Z12" s="12">
        <f t="shared" ref="Z12:Z20" si="3">IF(T12=0,0,X12/T12)</f>
        <v>-0.15375448358119811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--1.35</f>
        <v>1.35</v>
      </c>
      <c r="E13" s="2"/>
      <c r="F13" s="19"/>
      <c r="G13" s="2"/>
      <c r="H13" s="2">
        <f>--13370.72</f>
        <v>13370.72</v>
      </c>
      <c r="I13" s="2"/>
      <c r="J13" s="19"/>
      <c r="K13" s="2"/>
      <c r="L13" s="2">
        <f t="shared" si="0"/>
        <v>-13369.369999999999</v>
      </c>
      <c r="M13" s="2"/>
      <c r="N13" s="19">
        <f t="shared" si="1"/>
        <v>-0.99989903311115624</v>
      </c>
      <c r="O13" s="11"/>
      <c r="P13" s="2">
        <f>--104992.39</f>
        <v>104992.39</v>
      </c>
      <c r="Q13" s="2"/>
      <c r="R13" s="19"/>
      <c r="S13" s="2"/>
      <c r="T13" s="2">
        <f>--121989.82</f>
        <v>121989.82</v>
      </c>
      <c r="U13" s="2"/>
      <c r="V13" s="19"/>
      <c r="W13" s="2"/>
      <c r="X13" s="2">
        <f t="shared" si="2"/>
        <v>-16997.430000000008</v>
      </c>
      <c r="Y13" s="2"/>
      <c r="Z13" s="19">
        <f t="shared" si="3"/>
        <v>-0.13933482318442642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--3.4</f>
        <v>3.4</v>
      </c>
      <c r="E15" s="2"/>
      <c r="F15" s="19"/>
      <c r="G15" s="2"/>
      <c r="H15" s="2">
        <f>--313.84</f>
        <v>313.83999999999997</v>
      </c>
      <c r="I15" s="2"/>
      <c r="J15" s="19"/>
      <c r="K15" s="2"/>
      <c r="L15" s="2">
        <f t="shared" si="0"/>
        <v>-310.44</v>
      </c>
      <c r="M15" s="2"/>
      <c r="N15" s="19">
        <f t="shared" si="1"/>
        <v>-0.98916645424420091</v>
      </c>
      <c r="O15" s="11"/>
      <c r="P15" s="2">
        <f>--3121.95</f>
        <v>3121.95</v>
      </c>
      <c r="Q15" s="2"/>
      <c r="R15" s="19"/>
      <c r="S15" s="2"/>
      <c r="T15" s="2">
        <f>--2439.27</f>
        <v>2439.27</v>
      </c>
      <c r="U15" s="2"/>
      <c r="V15" s="19"/>
      <c r="W15" s="2"/>
      <c r="X15" s="2">
        <f t="shared" si="2"/>
        <v>682.67999999999984</v>
      </c>
      <c r="Y15" s="2"/>
      <c r="Z15" s="19">
        <f t="shared" si="3"/>
        <v>0.27987061702886512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--0.05</f>
        <v>0.05</v>
      </c>
      <c r="E16" s="2"/>
      <c r="F16" s="19"/>
      <c r="G16" s="2"/>
      <c r="H16" s="2">
        <f>--56372.39</f>
        <v>56372.39</v>
      </c>
      <c r="I16" s="2"/>
      <c r="J16" s="19"/>
      <c r="K16" s="2"/>
      <c r="L16" s="2">
        <f t="shared" si="0"/>
        <v>-56372.34</v>
      </c>
      <c r="M16" s="2"/>
      <c r="N16" s="19">
        <f t="shared" si="1"/>
        <v>-0.99999911304097622</v>
      </c>
      <c r="O16" s="11"/>
      <c r="P16" s="2">
        <f>--386093.8</f>
        <v>386093.8</v>
      </c>
      <c r="Q16" s="2"/>
      <c r="R16" s="19"/>
      <c r="S16" s="2"/>
      <c r="T16" s="2">
        <f>--459317.11</f>
        <v>459317.11</v>
      </c>
      <c r="U16" s="2"/>
      <c r="V16" s="19"/>
      <c r="W16" s="2"/>
      <c r="X16" s="2">
        <f t="shared" si="2"/>
        <v>-73223.31</v>
      </c>
      <c r="Y16" s="2"/>
      <c r="Z16" s="19">
        <f t="shared" si="3"/>
        <v>-0.1594177713083669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--1.59</f>
        <v>1.59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>--35.86</f>
        <v>35.86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35.86</v>
      </c>
      <c r="M18" s="2"/>
      <c r="N18" s="19">
        <f t="shared" si="1"/>
        <v>0</v>
      </c>
      <c r="O18" s="11"/>
      <c r="P18" s="2">
        <f>--71.2</f>
        <v>71.2</v>
      </c>
      <c r="Q18" s="2"/>
      <c r="R18" s="19"/>
      <c r="S18" s="2"/>
      <c r="T18" s="2">
        <f>--53.94</f>
        <v>53.94</v>
      </c>
      <c r="U18" s="2"/>
      <c r="V18" s="19"/>
      <c r="W18" s="2"/>
      <c r="X18" s="2">
        <f t="shared" si="2"/>
        <v>17.260000000000005</v>
      </c>
      <c r="Y18" s="2"/>
      <c r="Z18" s="19">
        <f t="shared" si="3"/>
        <v>0.31998516870596971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--4.65</f>
        <v>4.6500000000000004</v>
      </c>
      <c r="E19" s="2"/>
      <c r="F19" s="19"/>
      <c r="G19" s="2"/>
      <c r="H19" s="2">
        <f>--195.5</f>
        <v>195.5</v>
      </c>
      <c r="I19" s="2"/>
      <c r="J19" s="19"/>
      <c r="K19" s="2"/>
      <c r="L19" s="2">
        <f t="shared" si="0"/>
        <v>-190.85</v>
      </c>
      <c r="M19" s="2"/>
      <c r="N19" s="19">
        <f t="shared" si="1"/>
        <v>-0.97621483375959073</v>
      </c>
      <c r="O19" s="11"/>
      <c r="P19" s="2">
        <f>--1573.44</f>
        <v>1573.44</v>
      </c>
      <c r="Q19" s="2"/>
      <c r="R19" s="19"/>
      <c r="S19" s="2"/>
      <c r="T19" s="2">
        <f>--2127.79</f>
        <v>2127.79</v>
      </c>
      <c r="U19" s="2"/>
      <c r="V19" s="19"/>
      <c r="W19" s="2"/>
      <c r="X19" s="2">
        <f t="shared" si="2"/>
        <v>-554.34999999999991</v>
      </c>
      <c r="Y19" s="2"/>
      <c r="Z19" s="19">
        <f t="shared" si="3"/>
        <v>-0.26052852960113543</v>
      </c>
    </row>
    <row r="20" spans="1:26" s="24" customFormat="1" hidden="1" outlineLevel="1" x14ac:dyDescent="0.25">
      <c r="A20" s="44"/>
      <c r="B20" s="11" t="str">
        <f>CONCATENATE("          ", "4233", " - ", "SALES RETURN TAXABLE-CANDY")</f>
        <v xml:space="preserve">          4233 - SALES RETURN TAXABLE-CANDY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-1.69</f>
        <v>-1.69</v>
      </c>
      <c r="U20" s="2"/>
      <c r="V20" s="19"/>
      <c r="W20" s="2"/>
      <c r="X20" s="2">
        <f t="shared" si="2"/>
        <v>1.69</v>
      </c>
      <c r="Y20" s="2"/>
      <c r="Z20" s="19">
        <f t="shared" si="3"/>
        <v>-1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9" t="s">
        <v>8</v>
      </c>
      <c r="C22" s="10"/>
      <c r="D22" s="4">
        <f>SUM(OSRRefD16x_0)</f>
        <v>7097.9</v>
      </c>
      <c r="E22" s="4"/>
      <c r="F22" s="12">
        <f t="shared" ref="F22:F24" si="5">IF(D$12=0,0,D22/D$12)</f>
        <v>156.65195321121166</v>
      </c>
      <c r="G22" s="4"/>
      <c r="H22" s="4">
        <f>SUM(OSRRefH16x_0)</f>
        <v>34000.400000000001</v>
      </c>
      <c r="I22" s="4"/>
      <c r="J22" s="12">
        <f t="shared" ref="J22:J24" si="6">IF(H$12=0,0,H22/H$12)</f>
        <v>0.48397458024595585</v>
      </c>
      <c r="K22" s="4"/>
      <c r="L22" s="4">
        <f t="shared" ref="L22:L24" si="7">+D22-H22</f>
        <v>-26902.5</v>
      </c>
      <c r="M22" s="4"/>
      <c r="N22" s="12">
        <f t="shared" ref="N22:N24" si="8">IF(H22=0,0,L22/H22)</f>
        <v>-0.79124069128598484</v>
      </c>
      <c r="O22" s="10"/>
      <c r="P22" s="4">
        <f>SUM(OSRRefP16x_0)</f>
        <v>242137.47999999998</v>
      </c>
      <c r="Q22" s="4"/>
      <c r="R22" s="12">
        <f t="shared" ref="R22:R24" si="9">IF(P$12=0,0,P22/P$12)</f>
        <v>0.4883237794193484</v>
      </c>
      <c r="S22" s="4"/>
      <c r="T22" s="4">
        <f>SUM(OSRRefT16x_0)</f>
        <v>278388.88</v>
      </c>
      <c r="U22" s="4"/>
      <c r="V22" s="12">
        <f t="shared" ref="V22:V24" si="10">IF(T$12=0,0,T22/T$12)</f>
        <v>0.47510994310860233</v>
      </c>
      <c r="W22" s="4"/>
      <c r="X22" s="4">
        <f t="shared" ref="X22:X24" si="11">+P22-T22</f>
        <v>-36251.400000000023</v>
      </c>
      <c r="Y22" s="4"/>
      <c r="Z22" s="12">
        <f t="shared" ref="Z22:Z24" si="12">IF(T22=0,0,X22/T22)</f>
        <v>-0.13021856332767323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-630.1</v>
      </c>
      <c r="E23" s="2"/>
      <c r="F23" s="19">
        <f t="shared" si="5"/>
        <v>-13.906422423306115</v>
      </c>
      <c r="G23" s="2"/>
      <c r="H23" s="2">
        <v>35838.07</v>
      </c>
      <c r="I23" s="2"/>
      <c r="J23" s="19">
        <f t="shared" si="6"/>
        <v>0.51013267152960506</v>
      </c>
      <c r="K23" s="2"/>
      <c r="L23" s="2">
        <f t="shared" si="7"/>
        <v>-36468.17</v>
      </c>
      <c r="M23" s="2"/>
      <c r="N23" s="19">
        <f t="shared" si="8"/>
        <v>-1.0175818619696875</v>
      </c>
      <c r="O23" s="11"/>
      <c r="P23" s="2">
        <v>237725.49</v>
      </c>
      <c r="Q23" s="2"/>
      <c r="R23" s="19">
        <f t="shared" si="9"/>
        <v>0.47942602583093091</v>
      </c>
      <c r="S23" s="2"/>
      <c r="T23" s="2">
        <v>271067.34999999998</v>
      </c>
      <c r="U23" s="2"/>
      <c r="V23" s="19">
        <f t="shared" si="10"/>
        <v>0.46261471807745908</v>
      </c>
      <c r="W23" s="2"/>
      <c r="X23" s="2">
        <f t="shared" si="11"/>
        <v>-33341.859999999986</v>
      </c>
      <c r="Y23" s="2"/>
      <c r="Z23" s="19">
        <f t="shared" si="12"/>
        <v>-0.12300212474870172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7728</v>
      </c>
      <c r="E24" s="2"/>
      <c r="F24" s="19">
        <f t="shared" si="5"/>
        <v>170.55837563451777</v>
      </c>
      <c r="G24" s="2"/>
      <c r="H24" s="2">
        <v>-1837.67</v>
      </c>
      <c r="I24" s="2"/>
      <c r="J24" s="19">
        <f t="shared" si="6"/>
        <v>-2.6158091283649185E-2</v>
      </c>
      <c r="K24" s="2"/>
      <c r="L24" s="2">
        <f t="shared" si="7"/>
        <v>9565.67</v>
      </c>
      <c r="M24" s="2"/>
      <c r="N24" s="19">
        <f t="shared" si="8"/>
        <v>-5.2053252216121502</v>
      </c>
      <c r="O24" s="11"/>
      <c r="P24" s="2">
        <v>4411.99</v>
      </c>
      <c r="Q24" s="2"/>
      <c r="R24" s="19">
        <f t="shared" si="9"/>
        <v>8.8977535884175018E-3</v>
      </c>
      <c r="S24" s="2"/>
      <c r="T24" s="2">
        <v>7321.53</v>
      </c>
      <c r="U24" s="2"/>
      <c r="V24" s="19">
        <f t="shared" si="10"/>
        <v>1.2495225031143215E-2</v>
      </c>
      <c r="W24" s="2"/>
      <c r="X24" s="2">
        <f t="shared" si="11"/>
        <v>-2909.54</v>
      </c>
      <c r="Y24" s="2"/>
      <c r="Z24" s="19">
        <f t="shared" si="12"/>
        <v>-0.39739507999011137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6</v>
      </c>
      <c r="C26" s="28"/>
      <c r="D26" s="21">
        <f>D12-D22</f>
        <v>-7052.5899999999992</v>
      </c>
      <c r="E26" s="14"/>
      <c r="F26" s="20">
        <f>IF(D$12=0,0,D26/D$12)</f>
        <v>-155.65195321121166</v>
      </c>
      <c r="G26" s="14"/>
      <c r="H26" s="21">
        <f>H12-H22</f>
        <v>36252.049999999996</v>
      </c>
      <c r="I26" s="14"/>
      <c r="J26" s="20">
        <f>IF(H$12=0,0,H26/H$12)</f>
        <v>0.51602541975404415</v>
      </c>
      <c r="K26" s="15"/>
      <c r="L26" s="21">
        <f>+D26-H26</f>
        <v>-43304.639999999992</v>
      </c>
      <c r="M26" s="15"/>
      <c r="N26" s="20">
        <f>IF(H26=0,0,L26/H26)</f>
        <v>-1.1945432051428815</v>
      </c>
      <c r="O26" s="29"/>
      <c r="P26" s="21">
        <f>P12-P22</f>
        <v>253716.89000000007</v>
      </c>
      <c r="Q26" s="14"/>
      <c r="R26" s="20">
        <f>IF(P$12=0,0,P26/P$12)</f>
        <v>0.51167622058065165</v>
      </c>
      <c r="S26" s="14"/>
      <c r="T26" s="21">
        <f>T12-T22</f>
        <v>307557.34999999998</v>
      </c>
      <c r="U26" s="14"/>
      <c r="V26" s="20">
        <f>IF(T$12=0,0,T26/T$12)</f>
        <v>0.52489005689139767</v>
      </c>
      <c r="W26" s="15"/>
      <c r="X26" s="21">
        <f>+P26-T26</f>
        <v>-53840.459999999905</v>
      </c>
      <c r="Y26" s="15"/>
      <c r="Z26" s="20">
        <f>IF(T26=0,0,X26/T26)</f>
        <v>-0.17505827774884883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9</v>
      </c>
      <c r="C28" s="10"/>
      <c r="D28" s="22">
        <f>SUM(OSRRefD22x_0)</f>
        <v>7285.51</v>
      </c>
      <c r="E28" s="22"/>
      <c r="F28" s="35">
        <f t="shared" ref="F28:F37" si="13">IF(D$12=0,0,D28/D$12)</f>
        <v>160.79254027808432</v>
      </c>
      <c r="G28" s="22"/>
      <c r="H28" s="22">
        <f>SUM(OSRRefH22x_0)</f>
        <v>20731.36</v>
      </c>
      <c r="I28" s="22"/>
      <c r="J28" s="35">
        <f t="shared" ref="J28:J37" si="14">IF(H$12=0,0,H28/H$12)</f>
        <v>0.29509803572686794</v>
      </c>
      <c r="K28" s="4"/>
      <c r="L28" s="22">
        <f t="shared" ref="L28:L37" si="15">+D28-H28</f>
        <v>-13445.85</v>
      </c>
      <c r="M28" s="4"/>
      <c r="N28" s="35">
        <f t="shared" ref="N28:N37" si="16">IF(H28=0,0,L28/H28)</f>
        <v>-0.64857539495720495</v>
      </c>
      <c r="O28" s="10"/>
      <c r="P28" s="22">
        <f>SUM(OSRRefP22x_0)</f>
        <v>182001.07000000004</v>
      </c>
      <c r="Q28" s="22"/>
      <c r="R28" s="35">
        <f t="shared" ref="R28:R37" si="17">IF(P$12=0,0,P28/P$12)</f>
        <v>0.36704540891713833</v>
      </c>
      <c r="S28" s="22"/>
      <c r="T28" s="22">
        <f>SUM(OSRRefT22x_0)</f>
        <v>215575.29999999993</v>
      </c>
      <c r="U28" s="22"/>
      <c r="V28" s="35">
        <f t="shared" ref="V28:V37" si="18">IF(T$12=0,0,T28/T$12)</f>
        <v>0.36790969710650745</v>
      </c>
      <c r="W28" s="4"/>
      <c r="X28" s="22">
        <f t="shared" ref="X28:X37" si="19">+P28-T28</f>
        <v>-33574.229999999894</v>
      </c>
      <c r="Y28" s="4"/>
      <c r="Z28" s="35">
        <f t="shared" ref="Z28:Z37" si="20">IF(T28=0,0,X28/T28)</f>
        <v>-0.15574247142413766</v>
      </c>
    </row>
    <row r="29" spans="1:26" s="25" customFormat="1" outlineLevel="1" collapsed="1" x14ac:dyDescent="0.25">
      <c r="A29" s="26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4223.4800000000005</v>
      </c>
      <c r="E29" s="1"/>
      <c r="F29" s="5">
        <f t="shared" si="13"/>
        <v>93.212977267711338</v>
      </c>
      <c r="G29" s="1"/>
      <c r="H29" s="1">
        <f>SUM(OSRRefH22_0x_0)</f>
        <v>4122.0199999999995</v>
      </c>
      <c r="I29" s="1"/>
      <c r="J29" s="5">
        <f t="shared" si="14"/>
        <v>5.8674394985512954E-2</v>
      </c>
      <c r="K29" s="1"/>
      <c r="L29" s="1">
        <f t="shared" si="15"/>
        <v>101.46000000000095</v>
      </c>
      <c r="M29" s="1"/>
      <c r="N29" s="5">
        <f t="shared" si="16"/>
        <v>2.4614145491773685E-2</v>
      </c>
      <c r="O29" s="13"/>
      <c r="P29" s="1">
        <f>SUM(OSRRefP22_0x_0)</f>
        <v>43269.87</v>
      </c>
      <c r="Q29" s="1"/>
      <c r="R29" s="5">
        <f t="shared" si="17"/>
        <v>8.7263262396981595E-2</v>
      </c>
      <c r="S29" s="1"/>
      <c r="T29" s="1">
        <f>SUM(OSRRefT22_0x_0)</f>
        <v>43137.479999999996</v>
      </c>
      <c r="U29" s="1"/>
      <c r="V29" s="5">
        <f t="shared" si="18"/>
        <v>7.362020231788162E-2</v>
      </c>
      <c r="W29" s="1"/>
      <c r="X29" s="1">
        <f t="shared" si="19"/>
        <v>132.39000000000669</v>
      </c>
      <c r="Y29" s="1"/>
      <c r="Z29" s="5">
        <f t="shared" si="20"/>
        <v>3.0690248943611611E-3</v>
      </c>
    </row>
    <row r="30" spans="1:26" s="24" customFormat="1" hidden="1" outlineLevel="2" x14ac:dyDescent="0.25">
      <c r="A30" s="27"/>
      <c r="B30" s="11" t="str">
        <f>CONCATENATE("          ", "6111", " - ", "F.I.C.A.")</f>
        <v xml:space="preserve">          6111 - F.I.C.A.</v>
      </c>
      <c r="C30" s="11"/>
      <c r="D30" s="6">
        <v>536.52</v>
      </c>
      <c r="E30" s="2"/>
      <c r="F30" s="7">
        <f t="shared" si="13"/>
        <v>11.841094681085854</v>
      </c>
      <c r="G30" s="2"/>
      <c r="H30" s="6">
        <v>629.05999999999995</v>
      </c>
      <c r="I30" s="2"/>
      <c r="J30" s="7">
        <f t="shared" si="14"/>
        <v>8.9542784628863469E-3</v>
      </c>
      <c r="K30" s="2"/>
      <c r="L30" s="6">
        <f t="shared" si="15"/>
        <v>-92.539999999999964</v>
      </c>
      <c r="M30" s="2"/>
      <c r="N30" s="7">
        <f t="shared" si="16"/>
        <v>-0.1471083839379391</v>
      </c>
      <c r="O30" s="11"/>
      <c r="P30" s="6">
        <v>5054.46</v>
      </c>
      <c r="Q30" s="2"/>
      <c r="R30" s="7">
        <f t="shared" si="17"/>
        <v>1.0193436431749104E-2</v>
      </c>
      <c r="S30" s="2"/>
      <c r="T30" s="6">
        <v>7553.41</v>
      </c>
      <c r="U30" s="2"/>
      <c r="V30" s="7">
        <f t="shared" si="18"/>
        <v>1.2890961001660511E-2</v>
      </c>
      <c r="W30" s="2"/>
      <c r="X30" s="6">
        <f t="shared" si="19"/>
        <v>-2498.9499999999998</v>
      </c>
      <c r="Y30" s="2"/>
      <c r="Z30" s="7">
        <f t="shared" si="20"/>
        <v>-0.33083733042427194</v>
      </c>
    </row>
    <row r="31" spans="1:26" s="24" customFormat="1" hidden="1" outlineLevel="2" x14ac:dyDescent="0.25">
      <c r="A31" s="27"/>
      <c r="B31" s="11" t="str">
        <f>CONCATENATE("          ", "6112", " - ", "COMPENSATION INSURANCE")</f>
        <v xml:space="preserve">          6112 - COMPENSATION INSURANCE</v>
      </c>
      <c r="C31" s="11"/>
      <c r="D31" s="6">
        <v>88.84</v>
      </c>
      <c r="E31" s="2"/>
      <c r="F31" s="7">
        <f t="shared" si="13"/>
        <v>1.960715073935114</v>
      </c>
      <c r="G31" s="2"/>
      <c r="H31" s="6">
        <v>134.36000000000001</v>
      </c>
      <c r="I31" s="2"/>
      <c r="J31" s="7">
        <f t="shared" si="14"/>
        <v>1.9125311643935553E-3</v>
      </c>
      <c r="K31" s="2"/>
      <c r="L31" s="6">
        <f t="shared" si="15"/>
        <v>-45.52000000000001</v>
      </c>
      <c r="M31" s="2"/>
      <c r="N31" s="7">
        <f t="shared" si="16"/>
        <v>-0.33879130693658832</v>
      </c>
      <c r="O31" s="11"/>
      <c r="P31" s="6">
        <v>1811.81</v>
      </c>
      <c r="Q31" s="2"/>
      <c r="R31" s="7">
        <f t="shared" si="17"/>
        <v>3.6539155639588286E-3</v>
      </c>
      <c r="S31" s="2"/>
      <c r="T31" s="6">
        <v>1258.4000000000001</v>
      </c>
      <c r="U31" s="2"/>
      <c r="V31" s="7">
        <f t="shared" si="18"/>
        <v>2.1476373352551483E-3</v>
      </c>
      <c r="W31" s="2"/>
      <c r="X31" s="6">
        <f t="shared" si="19"/>
        <v>553.40999999999985</v>
      </c>
      <c r="Y31" s="2"/>
      <c r="Z31" s="7">
        <f t="shared" si="20"/>
        <v>0.43977272727272715</v>
      </c>
    </row>
    <row r="32" spans="1:26" s="24" customFormat="1" hidden="1" outlineLevel="2" x14ac:dyDescent="0.25">
      <c r="A32" s="27"/>
      <c r="B32" s="11" t="str">
        <f>CONCATENATE("          ", "6113", " - ", "GROUP INSURANCE")</f>
        <v xml:space="preserve">          6113 - GROUP INSURANCE</v>
      </c>
      <c r="C32" s="11"/>
      <c r="D32" s="6">
        <v>2021.26</v>
      </c>
      <c r="E32" s="2"/>
      <c r="F32" s="7">
        <f t="shared" si="13"/>
        <v>44.609578459501222</v>
      </c>
      <c r="G32" s="2"/>
      <c r="H32" s="6">
        <v>2019.97</v>
      </c>
      <c r="I32" s="2"/>
      <c r="J32" s="7">
        <f t="shared" si="14"/>
        <v>2.8753018577999771E-2</v>
      </c>
      <c r="K32" s="2"/>
      <c r="L32" s="6">
        <f t="shared" si="15"/>
        <v>1.2899999999999636</v>
      </c>
      <c r="M32" s="2"/>
      <c r="N32" s="7">
        <f t="shared" si="16"/>
        <v>6.3862334589125764E-4</v>
      </c>
      <c r="O32" s="11"/>
      <c r="P32" s="6">
        <v>20204.86</v>
      </c>
      <c r="Q32" s="2"/>
      <c r="R32" s="7">
        <f t="shared" si="17"/>
        <v>4.0747568686346353E-2</v>
      </c>
      <c r="S32" s="2"/>
      <c r="T32" s="6">
        <v>18929.169999999998</v>
      </c>
      <c r="U32" s="2"/>
      <c r="V32" s="7">
        <f t="shared" si="18"/>
        <v>3.230530214350897E-2</v>
      </c>
      <c r="W32" s="2"/>
      <c r="X32" s="6">
        <f t="shared" si="19"/>
        <v>1275.6900000000023</v>
      </c>
      <c r="Y32" s="2"/>
      <c r="Z32" s="7">
        <f t="shared" si="20"/>
        <v>6.7392812257484211E-2</v>
      </c>
    </row>
    <row r="33" spans="1:26" s="24" customFormat="1" hidden="1" outlineLevel="2" x14ac:dyDescent="0.25">
      <c r="A33" s="27"/>
      <c r="B33" s="11" t="str">
        <f>CONCATENATE("          ", "6114", " - ", "STATE UNEMPLOYMENT INSURANCE")</f>
        <v xml:space="preserve">          6114 - STATE UNEMPLOYMENT INSURANCE</v>
      </c>
      <c r="C33" s="11"/>
      <c r="D33" s="6">
        <v>12.16</v>
      </c>
      <c r="E33" s="2"/>
      <c r="F33" s="7">
        <f t="shared" si="13"/>
        <v>0.26837342749944826</v>
      </c>
      <c r="G33" s="2"/>
      <c r="H33" s="6">
        <v>36.380000000000003</v>
      </c>
      <c r="I33" s="2"/>
      <c r="J33" s="7">
        <f t="shared" si="14"/>
        <v>5.1784670854895462E-4</v>
      </c>
      <c r="K33" s="2"/>
      <c r="L33" s="6">
        <f t="shared" si="15"/>
        <v>-24.220000000000002</v>
      </c>
      <c r="M33" s="2"/>
      <c r="N33" s="7">
        <f t="shared" si="16"/>
        <v>-0.66575041231445853</v>
      </c>
      <c r="O33" s="11"/>
      <c r="P33" s="6">
        <v>280.82</v>
      </c>
      <c r="Q33" s="2"/>
      <c r="R33" s="7">
        <f t="shared" si="17"/>
        <v>5.6633563600538589E-4</v>
      </c>
      <c r="S33" s="2"/>
      <c r="T33" s="6">
        <v>376.09</v>
      </c>
      <c r="U33" s="2"/>
      <c r="V33" s="7">
        <f t="shared" si="18"/>
        <v>6.4185070360466348E-4</v>
      </c>
      <c r="W33" s="2"/>
      <c r="X33" s="6">
        <f t="shared" si="19"/>
        <v>-95.269999999999982</v>
      </c>
      <c r="Y33" s="2"/>
      <c r="Z33" s="7">
        <f t="shared" si="20"/>
        <v>-0.25331702518014304</v>
      </c>
    </row>
    <row r="34" spans="1:26" s="24" customFormat="1" hidden="1" outlineLevel="2" x14ac:dyDescent="0.25">
      <c r="A34" s="27"/>
      <c r="B34" s="11" t="str">
        <f>CONCATENATE("          ", "6115", " - ", "P.E.R.S.")</f>
        <v xml:space="preserve">          6115 - P.E.R.S.</v>
      </c>
      <c r="C34" s="11"/>
      <c r="D34" s="6">
        <v>568.97</v>
      </c>
      <c r="E34" s="2"/>
      <c r="F34" s="7">
        <f t="shared" si="13"/>
        <v>12.557272125358642</v>
      </c>
      <c r="G34" s="2"/>
      <c r="H34" s="6">
        <v>508.51</v>
      </c>
      <c r="I34" s="2"/>
      <c r="J34" s="7">
        <f t="shared" si="14"/>
        <v>7.2383240726835866E-3</v>
      </c>
      <c r="K34" s="2"/>
      <c r="L34" s="6">
        <f t="shared" si="15"/>
        <v>60.460000000000036</v>
      </c>
      <c r="M34" s="2"/>
      <c r="N34" s="7">
        <f t="shared" si="16"/>
        <v>0.11889638355194596</v>
      </c>
      <c r="O34" s="11"/>
      <c r="P34" s="6">
        <v>6491.94</v>
      </c>
      <c r="Q34" s="2"/>
      <c r="R34" s="7">
        <f t="shared" si="17"/>
        <v>1.30924327640795E-2</v>
      </c>
      <c r="S34" s="2"/>
      <c r="T34" s="6">
        <v>6048.96</v>
      </c>
      <c r="U34" s="2"/>
      <c r="V34" s="7">
        <f t="shared" si="18"/>
        <v>1.0323404589530341E-2</v>
      </c>
      <c r="W34" s="2"/>
      <c r="X34" s="6">
        <f t="shared" si="19"/>
        <v>442.97999999999956</v>
      </c>
      <c r="Y34" s="2"/>
      <c r="Z34" s="7">
        <f t="shared" si="20"/>
        <v>7.323242342485313E-2</v>
      </c>
    </row>
    <row r="35" spans="1:26" s="24" customFormat="1" hidden="1" outlineLevel="2" x14ac:dyDescent="0.25">
      <c r="A35" s="27"/>
      <c r="B35" s="11" t="str">
        <f>CONCATENATE("          ", "6118", " - ", "VACATION")</f>
        <v xml:space="preserve">          6118 - VACATION</v>
      </c>
      <c r="C35" s="11"/>
      <c r="D35" s="6">
        <v>610.59</v>
      </c>
      <c r="E35" s="2"/>
      <c r="F35" s="7">
        <f t="shared" si="13"/>
        <v>13.475833149415143</v>
      </c>
      <c r="G35" s="2"/>
      <c r="H35" s="6">
        <v>395.2</v>
      </c>
      <c r="I35" s="2"/>
      <c r="J35" s="7">
        <f t="shared" si="14"/>
        <v>5.6254265865460923E-3</v>
      </c>
      <c r="K35" s="2"/>
      <c r="L35" s="6">
        <f t="shared" si="15"/>
        <v>215.39000000000004</v>
      </c>
      <c r="M35" s="2"/>
      <c r="N35" s="7">
        <f t="shared" si="16"/>
        <v>0.5450151821862349</v>
      </c>
      <c r="O35" s="11"/>
      <c r="P35" s="6">
        <v>4786.55</v>
      </c>
      <c r="Q35" s="2"/>
      <c r="R35" s="7">
        <f t="shared" si="17"/>
        <v>9.6531366659126146E-3</v>
      </c>
      <c r="S35" s="2"/>
      <c r="T35" s="6">
        <v>4389.38</v>
      </c>
      <c r="U35" s="2"/>
      <c r="V35" s="7">
        <f t="shared" si="18"/>
        <v>7.4910969219820741E-3</v>
      </c>
      <c r="W35" s="2"/>
      <c r="X35" s="6">
        <f t="shared" si="19"/>
        <v>397.17000000000007</v>
      </c>
      <c r="Y35" s="2"/>
      <c r="Z35" s="7">
        <f t="shared" si="20"/>
        <v>9.0484305300520818E-2</v>
      </c>
    </row>
    <row r="36" spans="1:26" s="24" customFormat="1" hidden="1" outlineLevel="2" x14ac:dyDescent="0.25">
      <c r="A36" s="27"/>
      <c r="B36" s="11" t="str">
        <f>CONCATENATE("          ", "6119", " - ", "SICK LEAVE")</f>
        <v xml:space="preserve">          6119 - SICK LEAVE</v>
      </c>
      <c r="C36" s="11"/>
      <c r="D36" s="6">
        <v>385.14</v>
      </c>
      <c r="E36" s="2"/>
      <c r="F36" s="7">
        <f t="shared" si="13"/>
        <v>8.5001103509159126</v>
      </c>
      <c r="G36" s="2"/>
      <c r="H36" s="6">
        <v>249.28</v>
      </c>
      <c r="I36" s="2"/>
      <c r="J36" s="7">
        <f t="shared" si="14"/>
        <v>3.5483460007444583E-3</v>
      </c>
      <c r="K36" s="2"/>
      <c r="L36" s="6">
        <f t="shared" si="15"/>
        <v>135.85999999999999</v>
      </c>
      <c r="M36" s="2"/>
      <c r="N36" s="7">
        <f t="shared" si="16"/>
        <v>0.54500962772785622</v>
      </c>
      <c r="O36" s="11"/>
      <c r="P36" s="6">
        <v>3228.78</v>
      </c>
      <c r="Q36" s="2"/>
      <c r="R36" s="7">
        <f t="shared" si="17"/>
        <v>6.5115489453082768E-3</v>
      </c>
      <c r="S36" s="2"/>
      <c r="T36" s="6">
        <v>2947.17</v>
      </c>
      <c r="U36" s="2"/>
      <c r="V36" s="7">
        <f t="shared" si="18"/>
        <v>5.0297618605720873E-3</v>
      </c>
      <c r="W36" s="2"/>
      <c r="X36" s="6">
        <f t="shared" si="19"/>
        <v>281.61000000000013</v>
      </c>
      <c r="Y36" s="2"/>
      <c r="Z36" s="7">
        <f t="shared" si="20"/>
        <v>9.5552682743106146E-2</v>
      </c>
    </row>
    <row r="37" spans="1:26" s="24" customFormat="1" hidden="1" outlineLevel="2" x14ac:dyDescent="0.25">
      <c r="A37" s="27"/>
      <c r="B37" s="11" t="str">
        <f>CONCATENATE("          ", "6156", " - ", "EMPLOYEE MEALS")</f>
        <v xml:space="preserve">          6156 - EMPLOYEE MEALS</v>
      </c>
      <c r="C37" s="11"/>
      <c r="D37" s="6"/>
      <c r="E37" s="2"/>
      <c r="F37" s="7">
        <f t="shared" si="13"/>
        <v>0</v>
      </c>
      <c r="G37" s="2"/>
      <c r="H37" s="6">
        <v>149.26</v>
      </c>
      <c r="I37" s="2"/>
      <c r="J37" s="7">
        <f t="shared" si="14"/>
        <v>2.1246234117101967E-3</v>
      </c>
      <c r="K37" s="2"/>
      <c r="L37" s="6">
        <f t="shared" si="15"/>
        <v>-149.26</v>
      </c>
      <c r="M37" s="2"/>
      <c r="N37" s="7">
        <f t="shared" si="16"/>
        <v>-1</v>
      </c>
      <c r="O37" s="11"/>
      <c r="P37" s="6">
        <v>1410.65</v>
      </c>
      <c r="Q37" s="2"/>
      <c r="R37" s="7">
        <f t="shared" si="17"/>
        <v>2.844887703621529E-3</v>
      </c>
      <c r="S37" s="2"/>
      <c r="T37" s="6">
        <v>1634.9</v>
      </c>
      <c r="U37" s="2"/>
      <c r="V37" s="7">
        <f t="shared" si="18"/>
        <v>2.7901877617678332E-3</v>
      </c>
      <c r="W37" s="2"/>
      <c r="X37" s="6">
        <f t="shared" si="19"/>
        <v>-224.25</v>
      </c>
      <c r="Y37" s="2"/>
      <c r="Z37" s="7">
        <f t="shared" si="20"/>
        <v>-0.13716435255978959</v>
      </c>
    </row>
    <row r="38" spans="1:26" s="25" customFormat="1" outlineLevel="1" collapsed="1" x14ac:dyDescent="0.25">
      <c r="A38" s="26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2817.79</v>
      </c>
      <c r="E38" s="1"/>
      <c r="F38" s="5">
        <f t="shared" ref="F38:F44" si="21">IF(D$12=0,0,D38/D$12)</f>
        <v>62.189141469874208</v>
      </c>
      <c r="G38" s="1"/>
      <c r="H38" s="1">
        <f>SUM(OSRRefH22_1x_0)</f>
        <v>14341.35</v>
      </c>
      <c r="I38" s="1"/>
      <c r="J38" s="5">
        <f t="shared" ref="J38:J44" si="22">IF(H$12=0,0,H38/H$12)</f>
        <v>0.20414021148016903</v>
      </c>
      <c r="K38" s="1"/>
      <c r="L38" s="1">
        <f t="shared" ref="L38:L44" si="23">+D38-H38</f>
        <v>-11523.560000000001</v>
      </c>
      <c r="M38" s="1"/>
      <c r="N38" s="5">
        <f t="shared" ref="N38:N44" si="24">IF(H38=0,0,L38/H38)</f>
        <v>-0.80351989178145722</v>
      </c>
      <c r="O38" s="13"/>
      <c r="P38" s="1">
        <f>SUM(OSRRefP22_1x_0)</f>
        <v>108091.19</v>
      </c>
      <c r="Q38" s="1"/>
      <c r="R38" s="5">
        <f t="shared" ref="R38:R44" si="25">IF(P$12=0,0,P38/P$12)</f>
        <v>0.21798979002645472</v>
      </c>
      <c r="S38" s="1"/>
      <c r="T38" s="1">
        <f>SUM(OSRRefT22_1x_0)</f>
        <v>146781.04</v>
      </c>
      <c r="U38" s="1"/>
      <c r="V38" s="5">
        <f t="shared" ref="V38:V44" si="26">IF(T$12=0,0,T38/T$12)</f>
        <v>0.25050257597868669</v>
      </c>
      <c r="W38" s="1"/>
      <c r="X38" s="1">
        <f t="shared" ref="X38:X44" si="27">+P38-T38</f>
        <v>-38689.850000000006</v>
      </c>
      <c r="Y38" s="1"/>
      <c r="Z38" s="5">
        <f t="shared" ref="Z38:Z44" si="28">IF(T38=0,0,X38/T38)</f>
        <v>-0.2635888804167078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6436.12</v>
      </c>
      <c r="E39" s="2"/>
      <c r="F39" s="7">
        <f t="shared" si="21"/>
        <v>142.04634738468332</v>
      </c>
      <c r="G39" s="2"/>
      <c r="H39" s="6">
        <v>5404.52</v>
      </c>
      <c r="I39" s="2"/>
      <c r="J39" s="7">
        <f t="shared" si="22"/>
        <v>7.6929986071660142E-2</v>
      </c>
      <c r="K39" s="2"/>
      <c r="L39" s="6">
        <f t="shared" si="23"/>
        <v>1031.5999999999995</v>
      </c>
      <c r="M39" s="2"/>
      <c r="N39" s="7">
        <f t="shared" si="24"/>
        <v>0.1908772656961209</v>
      </c>
      <c r="O39" s="11"/>
      <c r="P39" s="6">
        <v>58067.23</v>
      </c>
      <c r="Q39" s="2"/>
      <c r="R39" s="7">
        <f t="shared" si="25"/>
        <v>0.11710541141343575</v>
      </c>
      <c r="S39" s="2"/>
      <c r="T39" s="6">
        <v>54754.39</v>
      </c>
      <c r="U39" s="2"/>
      <c r="V39" s="7">
        <f t="shared" si="26"/>
        <v>9.3446099994533627E-2</v>
      </c>
      <c r="W39" s="2"/>
      <c r="X39" s="6">
        <f t="shared" si="27"/>
        <v>3312.8400000000038</v>
      </c>
      <c r="Y39" s="2"/>
      <c r="Z39" s="7">
        <f t="shared" si="28"/>
        <v>6.0503641808446841E-2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-3618.33</v>
      </c>
      <c r="E40" s="2"/>
      <c r="F40" s="7">
        <f t="shared" si="21"/>
        <v>-79.8572059148091</v>
      </c>
      <c r="G40" s="2"/>
      <c r="H40" s="6"/>
      <c r="I40" s="2"/>
      <c r="J40" s="7">
        <f t="shared" si="22"/>
        <v>0</v>
      </c>
      <c r="K40" s="2"/>
      <c r="L40" s="6">
        <f t="shared" si="23"/>
        <v>-3618.33</v>
      </c>
      <c r="M40" s="2"/>
      <c r="N40" s="7">
        <f t="shared" si="24"/>
        <v>0</v>
      </c>
      <c r="O40" s="11"/>
      <c r="P40" s="6">
        <v>-3618.33</v>
      </c>
      <c r="Q40" s="2"/>
      <c r="R40" s="7">
        <f t="shared" si="25"/>
        <v>-7.2971626729840047E-3</v>
      </c>
      <c r="S40" s="2"/>
      <c r="T40" s="6"/>
      <c r="U40" s="2"/>
      <c r="V40" s="7">
        <f t="shared" si="26"/>
        <v>0</v>
      </c>
      <c r="W40" s="2"/>
      <c r="X40" s="6">
        <f t="shared" si="27"/>
        <v>-3618.33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3650.82</v>
      </c>
      <c r="I41" s="2"/>
      <c r="J41" s="7">
        <f t="shared" si="22"/>
        <v>5.1967155593861857E-2</v>
      </c>
      <c r="K41" s="2"/>
      <c r="L41" s="6">
        <f t="shared" si="23"/>
        <v>-3650.82</v>
      </c>
      <c r="M41" s="2"/>
      <c r="N41" s="7">
        <f t="shared" si="24"/>
        <v>-1</v>
      </c>
      <c r="O41" s="11"/>
      <c r="P41" s="6">
        <v>1174.26</v>
      </c>
      <c r="Q41" s="2"/>
      <c r="R41" s="7">
        <f t="shared" si="25"/>
        <v>2.3681549887318728E-3</v>
      </c>
      <c r="S41" s="2"/>
      <c r="T41" s="6">
        <v>45584.310000000005</v>
      </c>
      <c r="U41" s="2"/>
      <c r="V41" s="7">
        <f t="shared" si="26"/>
        <v>7.7796063300893684E-2</v>
      </c>
      <c r="W41" s="2"/>
      <c r="X41" s="6">
        <f t="shared" si="27"/>
        <v>-44410.05</v>
      </c>
      <c r="Y41" s="2"/>
      <c r="Z41" s="7">
        <f t="shared" si="28"/>
        <v>-0.97423982067514014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/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4878.2700000000004</v>
      </c>
      <c r="Q42" s="2"/>
      <c r="R42" s="7">
        <f t="shared" si="25"/>
        <v>9.8381103306601891E-3</v>
      </c>
      <c r="S42" s="2"/>
      <c r="T42" s="6"/>
      <c r="U42" s="2"/>
      <c r="V42" s="7">
        <f t="shared" si="26"/>
        <v>0</v>
      </c>
      <c r="W42" s="2"/>
      <c r="X42" s="6">
        <f t="shared" si="27"/>
        <v>4878.2700000000004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1"/>
        <v>0</v>
      </c>
      <c r="G43" s="2"/>
      <c r="H43" s="6">
        <v>4415.82</v>
      </c>
      <c r="I43" s="2"/>
      <c r="J43" s="7">
        <f t="shared" si="22"/>
        <v>6.2856455539984729E-2</v>
      </c>
      <c r="K43" s="2"/>
      <c r="L43" s="6">
        <f t="shared" si="23"/>
        <v>-4415.82</v>
      </c>
      <c r="M43" s="2"/>
      <c r="N43" s="7">
        <f t="shared" si="24"/>
        <v>-1</v>
      </c>
      <c r="O43" s="11"/>
      <c r="P43" s="6">
        <v>44034.28</v>
      </c>
      <c r="Q43" s="2"/>
      <c r="R43" s="7">
        <f t="shared" si="25"/>
        <v>8.8804864218500271E-2</v>
      </c>
      <c r="S43" s="2"/>
      <c r="T43" s="6">
        <v>37211.009999999995</v>
      </c>
      <c r="U43" s="2"/>
      <c r="V43" s="7">
        <f t="shared" si="26"/>
        <v>6.350584421372589E-2</v>
      </c>
      <c r="W43" s="2"/>
      <c r="X43" s="6">
        <f t="shared" si="27"/>
        <v>6823.2700000000041</v>
      </c>
      <c r="Y43" s="2"/>
      <c r="Z43" s="7">
        <f t="shared" si="28"/>
        <v>0.18336696585231105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870.19</v>
      </c>
      <c r="I44" s="2"/>
      <c r="J44" s="7">
        <f t="shared" si="22"/>
        <v>1.2386614274662309E-2</v>
      </c>
      <c r="K44" s="2"/>
      <c r="L44" s="6">
        <f t="shared" si="23"/>
        <v>-870.19</v>
      </c>
      <c r="M44" s="2"/>
      <c r="N44" s="7">
        <f t="shared" si="24"/>
        <v>-1</v>
      </c>
      <c r="O44" s="11"/>
      <c r="P44" s="6">
        <v>3555.48</v>
      </c>
      <c r="Q44" s="2"/>
      <c r="R44" s="7">
        <f t="shared" si="25"/>
        <v>7.1704117481106392E-3</v>
      </c>
      <c r="S44" s="2"/>
      <c r="T44" s="6">
        <v>9231.33</v>
      </c>
      <c r="U44" s="2"/>
      <c r="V44" s="7">
        <f t="shared" si="26"/>
        <v>1.5754568469533461E-2</v>
      </c>
      <c r="W44" s="2"/>
      <c r="X44" s="6">
        <f t="shared" si="27"/>
        <v>-5675.85</v>
      </c>
      <c r="Y44" s="2"/>
      <c r="Z44" s="7">
        <f t="shared" si="28"/>
        <v>-0.61484639808131658</v>
      </c>
    </row>
    <row r="45" spans="1:26" s="25" customFormat="1" outlineLevel="1" collapsed="1" x14ac:dyDescent="0.25">
      <c r="A45" s="26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7" si="29">IF(D$12=0,0,D45/D$12)</f>
        <v>0</v>
      </c>
      <c r="G45" s="1"/>
      <c r="H45" s="1">
        <f>SUM(OSRRefH22_2x_0)</f>
        <v>28.58</v>
      </c>
      <c r="I45" s="1"/>
      <c r="J45" s="5">
        <f t="shared" ref="J45:J57" si="30">IF(H$12=0,0,H45/H$12)</f>
        <v>4.0681855223554482E-4</v>
      </c>
      <c r="K45" s="1"/>
      <c r="L45" s="1">
        <f t="shared" ref="L45:L57" si="31">+D45-H45</f>
        <v>-28.58</v>
      </c>
      <c r="M45" s="1"/>
      <c r="N45" s="5">
        <f t="shared" ref="N45:N57" si="32">IF(H45=0,0,L45/H45)</f>
        <v>-1</v>
      </c>
      <c r="O45" s="13"/>
      <c r="P45" s="1">
        <f>SUM(OSRRefP22_2x_0)</f>
        <v>1464.31</v>
      </c>
      <c r="Q45" s="1"/>
      <c r="R45" s="5">
        <f t="shared" ref="R45:R57" si="33">IF(P$12=0,0,P45/P$12)</f>
        <v>2.9531049610392662E-3</v>
      </c>
      <c r="S45" s="1"/>
      <c r="T45" s="1">
        <f>SUM(OSRRefT22_2x_0)</f>
        <v>112.21</v>
      </c>
      <c r="U45" s="1"/>
      <c r="V45" s="5">
        <f t="shared" ref="V45:V57" si="34">IF(T$12=0,0,T45/T$12)</f>
        <v>1.9150221343688822E-4</v>
      </c>
      <c r="W45" s="1"/>
      <c r="X45" s="1">
        <f t="shared" ref="X45:X57" si="35">+P45-T45</f>
        <v>1352.1</v>
      </c>
      <c r="Y45" s="1"/>
      <c r="Z45" s="5">
        <f t="shared" ref="Z45:Z57" si="36">IF(T45=0,0,X45/T45)</f>
        <v>12.049728188218518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9"/>
        <v>0</v>
      </c>
      <c r="G46" s="2"/>
      <c r="H46" s="6">
        <v>28.58</v>
      </c>
      <c r="I46" s="2"/>
      <c r="J46" s="7">
        <f t="shared" si="30"/>
        <v>4.0681855223554482E-4</v>
      </c>
      <c r="K46" s="2"/>
      <c r="L46" s="6">
        <f t="shared" si="31"/>
        <v>-28.58</v>
      </c>
      <c r="M46" s="2"/>
      <c r="N46" s="7">
        <f t="shared" si="32"/>
        <v>-1</v>
      </c>
      <c r="O46" s="11"/>
      <c r="P46" s="6">
        <v>1464.31</v>
      </c>
      <c r="Q46" s="2"/>
      <c r="R46" s="7">
        <f t="shared" si="33"/>
        <v>2.9531049610392662E-3</v>
      </c>
      <c r="S46" s="2"/>
      <c r="T46" s="6">
        <v>112.21</v>
      </c>
      <c r="U46" s="2"/>
      <c r="V46" s="7">
        <f t="shared" si="34"/>
        <v>1.9150221343688822E-4</v>
      </c>
      <c r="W46" s="2"/>
      <c r="X46" s="6">
        <f t="shared" si="35"/>
        <v>1352.1</v>
      </c>
      <c r="Y46" s="2"/>
      <c r="Z46" s="7">
        <f t="shared" si="36"/>
        <v>12.049728188218518</v>
      </c>
    </row>
    <row r="47" spans="1:26" s="25" customFormat="1" outlineLevel="1" collapsed="1" x14ac:dyDescent="0.25">
      <c r="A47" s="26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-56.69</v>
      </c>
      <c r="I47" s="1"/>
      <c r="J47" s="5">
        <f t="shared" si="30"/>
        <v>-8.0694694633425598E-4</v>
      </c>
      <c r="K47" s="1"/>
      <c r="L47" s="1">
        <f t="shared" si="31"/>
        <v>56.69</v>
      </c>
      <c r="M47" s="1"/>
      <c r="N47" s="5">
        <f t="shared" si="32"/>
        <v>-1</v>
      </c>
      <c r="O47" s="13"/>
      <c r="P47" s="1">
        <f>SUM(OSRRefP22_3x_0)</f>
        <v>-198.56</v>
      </c>
      <c r="Q47" s="1"/>
      <c r="R47" s="5">
        <f t="shared" si="33"/>
        <v>-4.0044015342649894E-4</v>
      </c>
      <c r="S47" s="1"/>
      <c r="T47" s="1">
        <f>SUM(OSRRefT22_3x_0)</f>
        <v>-267.73</v>
      </c>
      <c r="U47" s="1"/>
      <c r="V47" s="5">
        <f t="shared" si="34"/>
        <v>-4.5691905893822379E-4</v>
      </c>
      <c r="W47" s="1"/>
      <c r="X47" s="1">
        <f t="shared" si="35"/>
        <v>69.170000000000016</v>
      </c>
      <c r="Y47" s="1"/>
      <c r="Z47" s="5">
        <f t="shared" si="36"/>
        <v>-0.2583573002651926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29"/>
        <v>0</v>
      </c>
      <c r="G48" s="2"/>
      <c r="H48" s="6">
        <v>-56.69</v>
      </c>
      <c r="I48" s="2"/>
      <c r="J48" s="7">
        <f t="shared" si="30"/>
        <v>-8.0694694633425598E-4</v>
      </c>
      <c r="K48" s="2"/>
      <c r="L48" s="6">
        <f t="shared" si="31"/>
        <v>56.69</v>
      </c>
      <c r="M48" s="2"/>
      <c r="N48" s="7">
        <f t="shared" si="32"/>
        <v>-1</v>
      </c>
      <c r="O48" s="11"/>
      <c r="P48" s="6">
        <v>-198.56</v>
      </c>
      <c r="Q48" s="2"/>
      <c r="R48" s="7">
        <f t="shared" si="33"/>
        <v>-4.0044015342649894E-4</v>
      </c>
      <c r="S48" s="2"/>
      <c r="T48" s="6">
        <v>-267.73</v>
      </c>
      <c r="U48" s="2"/>
      <c r="V48" s="7">
        <f t="shared" si="34"/>
        <v>-4.5691905893822379E-4</v>
      </c>
      <c r="W48" s="2"/>
      <c r="X48" s="6">
        <f t="shared" si="35"/>
        <v>69.170000000000016</v>
      </c>
      <c r="Y48" s="2"/>
      <c r="Z48" s="7">
        <f t="shared" si="36"/>
        <v>-0.2583573002651926</v>
      </c>
    </row>
    <row r="49" spans="1:26" s="25" customFormat="1" outlineLevel="1" collapsed="1" x14ac:dyDescent="0.25">
      <c r="A49" s="26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60</v>
      </c>
      <c r="E49" s="1"/>
      <c r="F49" s="5">
        <f t="shared" si="29"/>
        <v>1.324210990951225</v>
      </c>
      <c r="G49" s="1"/>
      <c r="H49" s="1">
        <f>SUM(OSRRefH22_4x_0)</f>
        <v>1569.26</v>
      </c>
      <c r="I49" s="1"/>
      <c r="J49" s="5">
        <f t="shared" si="30"/>
        <v>2.2337441612356582E-2</v>
      </c>
      <c r="K49" s="1"/>
      <c r="L49" s="1">
        <f t="shared" si="31"/>
        <v>-1509.26</v>
      </c>
      <c r="M49" s="1"/>
      <c r="N49" s="5">
        <f t="shared" si="32"/>
        <v>-0.96176541809515315</v>
      </c>
      <c r="O49" s="13"/>
      <c r="P49" s="1">
        <f>SUM(OSRRefP22_4x_0)</f>
        <v>18133.439999999999</v>
      </c>
      <c r="Q49" s="1"/>
      <c r="R49" s="5">
        <f t="shared" si="33"/>
        <v>3.6570092142174722E-2</v>
      </c>
      <c r="S49" s="1"/>
      <c r="T49" s="1">
        <f>SUM(OSRRefT22_4x_0)</f>
        <v>18199</v>
      </c>
      <c r="U49" s="1"/>
      <c r="V49" s="5">
        <f t="shared" si="34"/>
        <v>3.1059163909971741E-2</v>
      </c>
      <c r="W49" s="1"/>
      <c r="X49" s="1">
        <f t="shared" si="35"/>
        <v>-65.56000000000131</v>
      </c>
      <c r="Y49" s="1"/>
      <c r="Z49" s="5">
        <f t="shared" si="36"/>
        <v>-3.6023957360295242E-3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6">
        <v>60</v>
      </c>
      <c r="E50" s="2"/>
      <c r="F50" s="7">
        <f t="shared" si="29"/>
        <v>1.324210990951225</v>
      </c>
      <c r="G50" s="2"/>
      <c r="H50" s="6">
        <v>1569.26</v>
      </c>
      <c r="I50" s="2"/>
      <c r="J50" s="7">
        <f t="shared" si="30"/>
        <v>2.2337441612356582E-2</v>
      </c>
      <c r="K50" s="2"/>
      <c r="L50" s="6">
        <f t="shared" si="31"/>
        <v>-1509.26</v>
      </c>
      <c r="M50" s="2"/>
      <c r="N50" s="7">
        <f t="shared" si="32"/>
        <v>-0.96176541809515315</v>
      </c>
      <c r="O50" s="11"/>
      <c r="P50" s="6">
        <v>18133.439999999999</v>
      </c>
      <c r="Q50" s="2"/>
      <c r="R50" s="7">
        <f t="shared" si="33"/>
        <v>3.6570092142174722E-2</v>
      </c>
      <c r="S50" s="2"/>
      <c r="T50" s="6">
        <v>18199</v>
      </c>
      <c r="U50" s="2"/>
      <c r="V50" s="7">
        <f t="shared" si="34"/>
        <v>3.1059163909971741E-2</v>
      </c>
      <c r="W50" s="2"/>
      <c r="X50" s="6">
        <f t="shared" si="35"/>
        <v>-65.56000000000131</v>
      </c>
      <c r="Y50" s="2"/>
      <c r="Z50" s="7">
        <f t="shared" si="36"/>
        <v>-3.6023957360295242E-3</v>
      </c>
    </row>
    <row r="51" spans="1:26" s="25" customFormat="1" outlineLevel="1" collapsed="1" x14ac:dyDescent="0.25">
      <c r="A51" s="26"/>
      <c r="B51" s="13" t="str">
        <f>CONCATENATE("     ","Discounts and Markdowns                           ")</f>
        <v xml:space="preserve">     Discounts and Markdowns                           </v>
      </c>
      <c r="C51" s="13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9.9</v>
      </c>
      <c r="I51" s="1"/>
      <c r="J51" s="5">
        <f t="shared" si="30"/>
        <v>1.4092035224394311E-4</v>
      </c>
      <c r="K51" s="1"/>
      <c r="L51" s="1">
        <f t="shared" si="31"/>
        <v>-9.9</v>
      </c>
      <c r="M51" s="1"/>
      <c r="N51" s="5">
        <f t="shared" si="32"/>
        <v>-1</v>
      </c>
      <c r="O51" s="13"/>
      <c r="P51" s="1">
        <f>SUM(OSRRefP22_5x_0)</f>
        <v>125.87</v>
      </c>
      <c r="Q51" s="1"/>
      <c r="R51" s="5">
        <f t="shared" si="33"/>
        <v>2.5384469234384277E-4</v>
      </c>
      <c r="S51" s="1"/>
      <c r="T51" s="1">
        <f>SUM(OSRRefT22_5x_0)</f>
        <v>128.21</v>
      </c>
      <c r="U51" s="1"/>
      <c r="V51" s="5">
        <f t="shared" si="34"/>
        <v>2.1880847326212854E-4</v>
      </c>
      <c r="W51" s="1"/>
      <c r="X51" s="1">
        <f t="shared" si="35"/>
        <v>-2.3400000000000034</v>
      </c>
      <c r="Y51" s="1"/>
      <c r="Z51" s="5">
        <f t="shared" si="36"/>
        <v>-1.8251306450354911E-2</v>
      </c>
    </row>
    <row r="52" spans="1:26" s="24" customFormat="1" hidden="1" outlineLevel="2" x14ac:dyDescent="0.25">
      <c r="A52" s="27"/>
      <c r="B52" s="11" t="str">
        <f>CONCATENATE("          ", "6382", " - ", "DISCOUNTS/MARK DOWNS")</f>
        <v xml:space="preserve">          6382 - DISCOUNTS/MARK DOWNS</v>
      </c>
      <c r="C52" s="11"/>
      <c r="D52" s="6"/>
      <c r="E52" s="2"/>
      <c r="F52" s="7">
        <f t="shared" si="29"/>
        <v>0</v>
      </c>
      <c r="G52" s="2"/>
      <c r="H52" s="6">
        <v>9.9</v>
      </c>
      <c r="I52" s="2"/>
      <c r="J52" s="7">
        <f t="shared" si="30"/>
        <v>1.4092035224394311E-4</v>
      </c>
      <c r="K52" s="2"/>
      <c r="L52" s="6">
        <f t="shared" si="31"/>
        <v>-9.9</v>
      </c>
      <c r="M52" s="2"/>
      <c r="N52" s="7">
        <f t="shared" si="32"/>
        <v>-1</v>
      </c>
      <c r="O52" s="11"/>
      <c r="P52" s="6">
        <v>125.87</v>
      </c>
      <c r="Q52" s="2"/>
      <c r="R52" s="7">
        <f t="shared" si="33"/>
        <v>2.5384469234384277E-4</v>
      </c>
      <c r="S52" s="2"/>
      <c r="T52" s="6">
        <v>128.21</v>
      </c>
      <c r="U52" s="2"/>
      <c r="V52" s="7">
        <f t="shared" si="34"/>
        <v>2.1880847326212854E-4</v>
      </c>
      <c r="W52" s="2"/>
      <c r="X52" s="6">
        <f t="shared" si="35"/>
        <v>-2.3400000000000034</v>
      </c>
      <c r="Y52" s="2"/>
      <c r="Z52" s="7">
        <f t="shared" si="36"/>
        <v>-1.8251306450354911E-2</v>
      </c>
    </row>
    <row r="53" spans="1:26" s="25" customFormat="1" outlineLevel="1" collapsed="1" x14ac:dyDescent="0.25">
      <c r="A53" s="26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SUM(OSRRefP22_6x_0)</f>
        <v>0</v>
      </c>
      <c r="Q53" s="1"/>
      <c r="R53" s="5">
        <f t="shared" si="33"/>
        <v>0</v>
      </c>
      <c r="S53" s="1"/>
      <c r="T53" s="1">
        <f>SUM(OSRRefT22_6x_0)</f>
        <v>142.80000000000001</v>
      </c>
      <c r="U53" s="1"/>
      <c r="V53" s="5">
        <f t="shared" si="34"/>
        <v>2.4370836894026951E-4</v>
      </c>
      <c r="W53" s="1"/>
      <c r="X53" s="1">
        <f t="shared" si="35"/>
        <v>-142.80000000000001</v>
      </c>
      <c r="Y53" s="1"/>
      <c r="Z53" s="5">
        <f t="shared" si="36"/>
        <v>-1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/>
      <c r="Q54" s="2"/>
      <c r="R54" s="7">
        <f t="shared" si="33"/>
        <v>0</v>
      </c>
      <c r="S54" s="2"/>
      <c r="T54" s="6">
        <v>142.80000000000001</v>
      </c>
      <c r="U54" s="2"/>
      <c r="V54" s="7">
        <f t="shared" si="34"/>
        <v>2.4370836894026951E-4</v>
      </c>
      <c r="W54" s="2"/>
      <c r="X54" s="6">
        <f t="shared" si="35"/>
        <v>-142.80000000000001</v>
      </c>
      <c r="Y54" s="2"/>
      <c r="Z54" s="7">
        <f t="shared" si="36"/>
        <v>-1</v>
      </c>
    </row>
    <row r="55" spans="1:26" s="25" customFormat="1" outlineLevel="1" collapsed="1" x14ac:dyDescent="0.25">
      <c r="A55" s="26"/>
      <c r="B55" s="13" t="str">
        <f>CONCATENATE("     ","Freight out/Postage                               ")</f>
        <v xml:space="preserve">     Freight out/Postage                               </v>
      </c>
      <c r="C55" s="13"/>
      <c r="D55" s="1">
        <f>SUM(OSRRefD22_7x_0)</f>
        <v>20.010000000000002</v>
      </c>
      <c r="E55" s="1"/>
      <c r="F55" s="5">
        <f t="shared" si="29"/>
        <v>0.44162436548223361</v>
      </c>
      <c r="G55" s="1"/>
      <c r="H55" s="1">
        <f>SUM(OSRRefH22_7x_0)</f>
        <v>34.24</v>
      </c>
      <c r="I55" s="1"/>
      <c r="J55" s="5">
        <f t="shared" si="30"/>
        <v>4.8738513745783961E-4</v>
      </c>
      <c r="K55" s="1"/>
      <c r="L55" s="1">
        <f t="shared" si="31"/>
        <v>-14.23</v>
      </c>
      <c r="M55" s="1"/>
      <c r="N55" s="5">
        <f t="shared" si="32"/>
        <v>-0.41559579439252337</v>
      </c>
      <c r="O55" s="13"/>
      <c r="P55" s="1">
        <f>SUM(OSRRefP22_7x_0)</f>
        <v>331.18</v>
      </c>
      <c r="Q55" s="1"/>
      <c r="R55" s="5">
        <f t="shared" si="33"/>
        <v>6.6789771359683687E-4</v>
      </c>
      <c r="S55" s="1"/>
      <c r="T55" s="1">
        <f>SUM(OSRRefT22_7x_0)</f>
        <v>541.03</v>
      </c>
      <c r="U55" s="1"/>
      <c r="V55" s="5">
        <f t="shared" si="34"/>
        <v>9.2334410957810927E-4</v>
      </c>
      <c r="W55" s="1"/>
      <c r="X55" s="1">
        <f t="shared" si="35"/>
        <v>-209.84999999999997</v>
      </c>
      <c r="Y55" s="1"/>
      <c r="Z55" s="5">
        <f t="shared" si="36"/>
        <v>-0.38787128255364761</v>
      </c>
    </row>
    <row r="56" spans="1:26" s="24" customFormat="1" hidden="1" outlineLevel="2" x14ac:dyDescent="0.25">
      <c r="A56" s="27"/>
      <c r="B56" s="11" t="str">
        <f>CONCATENATE("          ", "6305", " - ", "FREIGHT OUT")</f>
        <v xml:space="preserve">          6305 - FREIGHT OUT</v>
      </c>
      <c r="C56" s="11"/>
      <c r="D56" s="6">
        <v>20.010000000000002</v>
      </c>
      <c r="E56" s="2"/>
      <c r="F56" s="7">
        <f t="shared" si="29"/>
        <v>0.44162436548223361</v>
      </c>
      <c r="G56" s="2"/>
      <c r="H56" s="6">
        <v>34.24</v>
      </c>
      <c r="I56" s="2"/>
      <c r="J56" s="7">
        <f t="shared" si="30"/>
        <v>4.8738513745783961E-4</v>
      </c>
      <c r="K56" s="2"/>
      <c r="L56" s="6">
        <f t="shared" si="31"/>
        <v>-14.23</v>
      </c>
      <c r="M56" s="2"/>
      <c r="N56" s="7">
        <f t="shared" si="32"/>
        <v>-0.41559579439252337</v>
      </c>
      <c r="O56" s="11"/>
      <c r="P56" s="6">
        <v>331.18</v>
      </c>
      <c r="Q56" s="2"/>
      <c r="R56" s="7">
        <f t="shared" si="33"/>
        <v>6.6789771359683687E-4</v>
      </c>
      <c r="S56" s="2"/>
      <c r="T56" s="6">
        <v>509.41</v>
      </c>
      <c r="U56" s="2"/>
      <c r="V56" s="7">
        <f t="shared" si="34"/>
        <v>8.6938011359847817E-4</v>
      </c>
      <c r="W56" s="2"/>
      <c r="X56" s="6">
        <f t="shared" si="35"/>
        <v>-178.23000000000002</v>
      </c>
      <c r="Y56" s="2"/>
      <c r="Z56" s="7">
        <f t="shared" si="36"/>
        <v>-0.34987534598849651</v>
      </c>
    </row>
    <row r="57" spans="1:26" s="24" customFormat="1" hidden="1" outlineLevel="2" x14ac:dyDescent="0.25">
      <c r="A57" s="27"/>
      <c r="B57" s="11" t="str">
        <f>CONCATENATE("          ", "6307", " - ", "POSTAGE")</f>
        <v xml:space="preserve">          6307 - POSTAGE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/>
      <c r="Q57" s="2"/>
      <c r="R57" s="7">
        <f t="shared" si="33"/>
        <v>0</v>
      </c>
      <c r="S57" s="2"/>
      <c r="T57" s="6">
        <v>31.62</v>
      </c>
      <c r="U57" s="2"/>
      <c r="V57" s="7">
        <f t="shared" si="34"/>
        <v>5.3963995979631103E-5</v>
      </c>
      <c r="W57" s="2"/>
      <c r="X57" s="6">
        <f t="shared" si="35"/>
        <v>-31.62</v>
      </c>
      <c r="Y57" s="2"/>
      <c r="Z57" s="7">
        <f t="shared" si="36"/>
        <v>-1</v>
      </c>
    </row>
    <row r="58" spans="1:26" s="25" customFormat="1" outlineLevel="1" collapsed="1" x14ac:dyDescent="0.25">
      <c r="A58" s="26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SUM(OSRRefD22_8x_0)</f>
        <v>0</v>
      </c>
      <c r="E58" s="1"/>
      <c r="F58" s="5">
        <f t="shared" ref="F58:F63" si="37">IF(D$12=0,0,D58/D$12)</f>
        <v>0</v>
      </c>
      <c r="G58" s="1"/>
      <c r="H58" s="1">
        <f>SUM(OSRRefH22_8x_0)</f>
        <v>49.55</v>
      </c>
      <c r="I58" s="1"/>
      <c r="J58" s="5">
        <f t="shared" ref="J58:J63" si="38">IF(H$12=0,0,H58/H$12)</f>
        <v>7.0531348017044242E-4</v>
      </c>
      <c r="K58" s="1"/>
      <c r="L58" s="1">
        <f t="shared" ref="L58:L63" si="39">+D58-H58</f>
        <v>-49.55</v>
      </c>
      <c r="M58" s="1"/>
      <c r="N58" s="5">
        <f t="shared" ref="N58:N63" si="40">IF(H58=0,0,L58/H58)</f>
        <v>-1</v>
      </c>
      <c r="O58" s="13"/>
      <c r="P58" s="1">
        <f>SUM(OSRRefP22_8x_0)</f>
        <v>1192.3499999999999</v>
      </c>
      <c r="Q58" s="1"/>
      <c r="R58" s="5">
        <f t="shared" ref="R58:R63" si="41">IF(P$12=0,0,P58/P$12)</f>
        <v>2.4046374745068794E-3</v>
      </c>
      <c r="S58" s="1"/>
      <c r="T58" s="1">
        <f>SUM(OSRRefT22_8x_0)</f>
        <v>1301.8800000000001</v>
      </c>
      <c r="U58" s="1"/>
      <c r="V58" s="5">
        <f t="shared" ref="V58:V63" si="42">IF(T$12=0,0,T58/T$12)</f>
        <v>2.2218420963302384E-3</v>
      </c>
      <c r="W58" s="1"/>
      <c r="X58" s="1">
        <f t="shared" ref="X58:X63" si="43">+P58-T58</f>
        <v>-109.5300000000002</v>
      </c>
      <c r="Y58" s="1"/>
      <c r="Z58" s="5">
        <f t="shared" ref="Z58:Z63" si="44">IF(T58=0,0,X58/T58)</f>
        <v>-8.4132178080929265E-2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7"/>
        <v>0</v>
      </c>
      <c r="G59" s="2"/>
      <c r="H59" s="6">
        <v>49.55</v>
      </c>
      <c r="I59" s="2"/>
      <c r="J59" s="7">
        <f t="shared" si="38"/>
        <v>7.0531348017044242E-4</v>
      </c>
      <c r="K59" s="2"/>
      <c r="L59" s="6">
        <f t="shared" si="39"/>
        <v>-49.55</v>
      </c>
      <c r="M59" s="2"/>
      <c r="N59" s="7">
        <f t="shared" si="40"/>
        <v>-1</v>
      </c>
      <c r="O59" s="11"/>
      <c r="P59" s="6">
        <v>1192.3499999999999</v>
      </c>
      <c r="Q59" s="2"/>
      <c r="R59" s="7">
        <f t="shared" si="41"/>
        <v>2.4046374745068794E-3</v>
      </c>
      <c r="S59" s="2"/>
      <c r="T59" s="6">
        <v>1301.8800000000001</v>
      </c>
      <c r="U59" s="2"/>
      <c r="V59" s="7">
        <f t="shared" si="42"/>
        <v>2.2218420963302384E-3</v>
      </c>
      <c r="W59" s="2"/>
      <c r="X59" s="6">
        <f t="shared" si="43"/>
        <v>-109.5300000000002</v>
      </c>
      <c r="Y59" s="2"/>
      <c r="Z59" s="7">
        <f t="shared" si="44"/>
        <v>-8.4132178080929265E-2</v>
      </c>
    </row>
    <row r="60" spans="1:26" s="25" customFormat="1" outlineLevel="1" collapsed="1" x14ac:dyDescent="0.25">
      <c r="A60" s="26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SUM(OSRRefD22_9x_0)</f>
        <v>0</v>
      </c>
      <c r="E60" s="1"/>
      <c r="F60" s="5">
        <f t="shared" si="37"/>
        <v>0</v>
      </c>
      <c r="G60" s="1"/>
      <c r="H60" s="1">
        <f>SUM(OSRRefH22_9x_0)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3"/>
      <c r="P60" s="1">
        <f>SUM(OSRRefP22_9x_0)</f>
        <v>1088.6200000000001</v>
      </c>
      <c r="Q60" s="1"/>
      <c r="R60" s="5">
        <f t="shared" si="41"/>
        <v>2.1954429886339409E-3</v>
      </c>
      <c r="S60" s="1"/>
      <c r="T60" s="1">
        <f>SUM(OSRRefT22_9x_0)</f>
        <v>541.02</v>
      </c>
      <c r="U60" s="1"/>
      <c r="V60" s="5">
        <f t="shared" si="42"/>
        <v>9.2332704316571844E-4</v>
      </c>
      <c r="W60" s="1"/>
      <c r="X60" s="1">
        <f t="shared" si="43"/>
        <v>547.60000000000014</v>
      </c>
      <c r="Y60" s="1"/>
      <c r="Z60" s="5">
        <f t="shared" si="44"/>
        <v>1.0121622121178517</v>
      </c>
    </row>
    <row r="61" spans="1:26" s="24" customFormat="1" hidden="1" outlineLevel="2" x14ac:dyDescent="0.25">
      <c r="A61" s="27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437.31</v>
      </c>
      <c r="Q61" s="2"/>
      <c r="R61" s="7">
        <f t="shared" si="41"/>
        <v>8.8193233025252952E-4</v>
      </c>
      <c r="S61" s="2"/>
      <c r="T61" s="6"/>
      <c r="U61" s="2"/>
      <c r="V61" s="7">
        <f t="shared" si="42"/>
        <v>0</v>
      </c>
      <c r="W61" s="2"/>
      <c r="X61" s="6">
        <f t="shared" si="43"/>
        <v>437.31</v>
      </c>
      <c r="Y61" s="2"/>
      <c r="Z61" s="7">
        <f t="shared" si="44"/>
        <v>0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70.73</v>
      </c>
      <c r="Q62" s="2"/>
      <c r="R62" s="7">
        <f t="shared" si="41"/>
        <v>1.4264268761007389E-4</v>
      </c>
      <c r="S62" s="2"/>
      <c r="T62" s="6">
        <v>67.47</v>
      </c>
      <c r="U62" s="2"/>
      <c r="V62" s="7">
        <f t="shared" si="42"/>
        <v>1.151470844005601E-4</v>
      </c>
      <c r="W62" s="2"/>
      <c r="X62" s="6">
        <f t="shared" si="43"/>
        <v>3.2600000000000051</v>
      </c>
      <c r="Y62" s="2"/>
      <c r="Z62" s="7">
        <f t="shared" si="44"/>
        <v>4.8317770861123537E-2</v>
      </c>
    </row>
    <row r="63" spans="1:26" s="24" customFormat="1" hidden="1" outlineLevel="2" x14ac:dyDescent="0.25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0</v>
      </c>
      <c r="M63" s="2"/>
      <c r="N63" s="7">
        <f t="shared" si="40"/>
        <v>0</v>
      </c>
      <c r="O63" s="11"/>
      <c r="P63" s="6">
        <v>580.58000000000004</v>
      </c>
      <c r="Q63" s="2"/>
      <c r="R63" s="7">
        <f t="shared" si="41"/>
        <v>1.1708679707713376E-3</v>
      </c>
      <c r="S63" s="2"/>
      <c r="T63" s="6">
        <v>473.55</v>
      </c>
      <c r="U63" s="2"/>
      <c r="V63" s="7">
        <f t="shared" si="42"/>
        <v>8.0817995876515843E-4</v>
      </c>
      <c r="W63" s="2"/>
      <c r="X63" s="6">
        <f t="shared" si="43"/>
        <v>107.03000000000003</v>
      </c>
      <c r="Y63" s="2"/>
      <c r="Z63" s="7">
        <f t="shared" si="44"/>
        <v>0.22601626016260168</v>
      </c>
    </row>
    <row r="64" spans="1:26" s="25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SUM(OSRRefD22_10x_0)</f>
        <v>0</v>
      </c>
      <c r="E64" s="1"/>
      <c r="F64" s="5">
        <f t="shared" ref="F64:F66" si="45">IF(D$12=0,0,D64/D$12)</f>
        <v>0</v>
      </c>
      <c r="G64" s="1"/>
      <c r="H64" s="1">
        <f>SUM(OSRRefH22_10x_0)</f>
        <v>154.97999999999999</v>
      </c>
      <c r="I64" s="1"/>
      <c r="J64" s="5">
        <f t="shared" ref="J64:J66" si="46">IF(H$12=0,0,H64/H$12)</f>
        <v>2.2060440596733638E-3</v>
      </c>
      <c r="K64" s="1"/>
      <c r="L64" s="1">
        <f t="shared" ref="L64:L66" si="47">+D64-H64</f>
        <v>-154.97999999999999</v>
      </c>
      <c r="M64" s="1"/>
      <c r="N64" s="5">
        <f t="shared" ref="N64:N66" si="48">IF(H64=0,0,L64/H64)</f>
        <v>-1</v>
      </c>
      <c r="O64" s="13"/>
      <c r="P64" s="1">
        <f>SUM(OSRRefP22_10x_0)</f>
        <v>1180.31</v>
      </c>
      <c r="Q64" s="1"/>
      <c r="R64" s="5">
        <f t="shared" ref="R64:R66" si="49">IF(P$12=0,0,P64/P$12)</f>
        <v>2.3803561517467312E-3</v>
      </c>
      <c r="S64" s="1"/>
      <c r="T64" s="1">
        <f>SUM(OSRRefT22_10x_0)</f>
        <v>1370.17</v>
      </c>
      <c r="U64" s="1"/>
      <c r="V64" s="5">
        <f t="shared" ref="V64:V66" si="50">IF(T$12=0,0,T64/T$12)</f>
        <v>2.338388626546842E-3</v>
      </c>
      <c r="W64" s="1"/>
      <c r="X64" s="1">
        <f t="shared" ref="X64:X66" si="51">+P64-T64</f>
        <v>-189.86000000000013</v>
      </c>
      <c r="Y64" s="1"/>
      <c r="Z64" s="5">
        <f t="shared" ref="Z64:Z66" si="52">IF(T64=0,0,X64/T64)</f>
        <v>-0.13856674719195436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1"/>
      <c r="P65" s="6"/>
      <c r="Q65" s="2"/>
      <c r="R65" s="7">
        <f t="shared" si="49"/>
        <v>0</v>
      </c>
      <c r="S65" s="2"/>
      <c r="T65" s="6">
        <v>26.93</v>
      </c>
      <c r="U65" s="2"/>
      <c r="V65" s="7">
        <f t="shared" si="50"/>
        <v>4.5959848568357547E-5</v>
      </c>
      <c r="W65" s="2"/>
      <c r="X65" s="6">
        <f t="shared" si="51"/>
        <v>-26.93</v>
      </c>
      <c r="Y65" s="2"/>
      <c r="Z65" s="7">
        <f t="shared" si="52"/>
        <v>-1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45"/>
        <v>0</v>
      </c>
      <c r="G66" s="2"/>
      <c r="H66" s="6">
        <v>154.97999999999999</v>
      </c>
      <c r="I66" s="2"/>
      <c r="J66" s="7">
        <f t="shared" si="46"/>
        <v>2.2060440596733638E-3</v>
      </c>
      <c r="K66" s="2"/>
      <c r="L66" s="6">
        <f t="shared" si="47"/>
        <v>-154.97999999999999</v>
      </c>
      <c r="M66" s="2"/>
      <c r="N66" s="7">
        <f t="shared" si="48"/>
        <v>-1</v>
      </c>
      <c r="O66" s="11"/>
      <c r="P66" s="6">
        <v>1180.31</v>
      </c>
      <c r="Q66" s="2"/>
      <c r="R66" s="7">
        <f t="shared" si="49"/>
        <v>2.3803561517467312E-3</v>
      </c>
      <c r="S66" s="2"/>
      <c r="T66" s="6">
        <v>1343.24</v>
      </c>
      <c r="U66" s="2"/>
      <c r="V66" s="7">
        <f t="shared" si="50"/>
        <v>2.2924287779784846E-3</v>
      </c>
      <c r="W66" s="2"/>
      <c r="X66" s="6">
        <f t="shared" si="51"/>
        <v>-162.93000000000006</v>
      </c>
      <c r="Y66" s="2"/>
      <c r="Z66" s="7">
        <f t="shared" si="52"/>
        <v>-0.12129626872338529</v>
      </c>
    </row>
    <row r="67" spans="1:26" s="25" customFormat="1" outlineLevel="1" collapsed="1" x14ac:dyDescent="0.25">
      <c r="A67" s="26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SUM(OSRRefD22_11x_0)</f>
        <v>0</v>
      </c>
      <c r="E67" s="1"/>
      <c r="F67" s="5">
        <f t="shared" ref="F67:F69" si="53">IF(D$12=0,0,D67/D$12)</f>
        <v>0</v>
      </c>
      <c r="G67" s="1"/>
      <c r="H67" s="1">
        <f>SUM(OSRRefH22_11x_0)</f>
        <v>0</v>
      </c>
      <c r="I67" s="1"/>
      <c r="J67" s="5">
        <f t="shared" ref="J67:J69" si="54">IF(H$12=0,0,H67/H$12)</f>
        <v>0</v>
      </c>
      <c r="K67" s="1"/>
      <c r="L67" s="1">
        <f t="shared" ref="L67:L69" si="55">+D67-H67</f>
        <v>0</v>
      </c>
      <c r="M67" s="1"/>
      <c r="N67" s="5">
        <f t="shared" ref="N67:N69" si="56">IF(H67=0,0,L67/H67)</f>
        <v>0</v>
      </c>
      <c r="O67" s="13"/>
      <c r="P67" s="1">
        <f>SUM(OSRRefP22_11x_0)</f>
        <v>0</v>
      </c>
      <c r="Q67" s="1"/>
      <c r="R67" s="5">
        <f t="shared" ref="R67:R69" si="57">IF(P$12=0,0,P67/P$12)</f>
        <v>0</v>
      </c>
      <c r="S67" s="1"/>
      <c r="T67" s="1">
        <f>SUM(OSRRefT22_11x_0)</f>
        <v>43.18</v>
      </c>
      <c r="U67" s="1"/>
      <c r="V67" s="5">
        <f t="shared" ref="V67:V69" si="58">IF(T$12=0,0,T67/T$12)</f>
        <v>7.3692768703367207E-5</v>
      </c>
      <c r="W67" s="1"/>
      <c r="X67" s="1">
        <f t="shared" ref="X67:X69" si="59">+P67-T67</f>
        <v>-43.18</v>
      </c>
      <c r="Y67" s="1"/>
      <c r="Z67" s="5">
        <f t="shared" ref="Z67:Z69" si="60">IF(T67=0,0,X67/T67)</f>
        <v>-1</v>
      </c>
    </row>
    <row r="68" spans="1:26" s="24" customFormat="1" hidden="1" outlineLevel="2" x14ac:dyDescent="0.25">
      <c r="A68" s="27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53"/>
        <v>0</v>
      </c>
      <c r="G68" s="2"/>
      <c r="H68" s="6"/>
      <c r="I68" s="2"/>
      <c r="J68" s="7">
        <f t="shared" si="54"/>
        <v>0</v>
      </c>
      <c r="K68" s="2"/>
      <c r="L68" s="6">
        <f t="shared" si="55"/>
        <v>0</v>
      </c>
      <c r="M68" s="2"/>
      <c r="N68" s="7">
        <f t="shared" si="56"/>
        <v>0</v>
      </c>
      <c r="O68" s="11"/>
      <c r="P68" s="6"/>
      <c r="Q68" s="2"/>
      <c r="R68" s="7">
        <f t="shared" si="57"/>
        <v>0</v>
      </c>
      <c r="S68" s="2"/>
      <c r="T68" s="6">
        <v>50</v>
      </c>
      <c r="U68" s="2"/>
      <c r="V68" s="7">
        <f t="shared" si="58"/>
        <v>8.533206195387587E-5</v>
      </c>
      <c r="W68" s="2"/>
      <c r="X68" s="6">
        <f t="shared" si="59"/>
        <v>-50</v>
      </c>
      <c r="Y68" s="2"/>
      <c r="Z68" s="7">
        <f t="shared" si="60"/>
        <v>-1</v>
      </c>
    </row>
    <row r="69" spans="1:26" s="24" customFormat="1" hidden="1" outlineLevel="2" x14ac:dyDescent="0.25">
      <c r="A69" s="27"/>
      <c r="B69" s="11" t="str">
        <f>CONCATENATE("          ", "6275", " - ", "SUBSCRIPTIONS")</f>
        <v xml:space="preserve">          6275 - SUBSCRIPTIONS</v>
      </c>
      <c r="C69" s="11"/>
      <c r="D69" s="6"/>
      <c r="E69" s="2"/>
      <c r="F69" s="7">
        <f t="shared" si="53"/>
        <v>0</v>
      </c>
      <c r="G69" s="2"/>
      <c r="H69" s="6"/>
      <c r="I69" s="2"/>
      <c r="J69" s="7">
        <f t="shared" si="54"/>
        <v>0</v>
      </c>
      <c r="K69" s="2"/>
      <c r="L69" s="6">
        <f t="shared" si="55"/>
        <v>0</v>
      </c>
      <c r="M69" s="2"/>
      <c r="N69" s="7">
        <f t="shared" si="56"/>
        <v>0</v>
      </c>
      <c r="O69" s="11"/>
      <c r="P69" s="6"/>
      <c r="Q69" s="2"/>
      <c r="R69" s="7">
        <f t="shared" si="57"/>
        <v>0</v>
      </c>
      <c r="S69" s="2"/>
      <c r="T69" s="6">
        <v>-6.82</v>
      </c>
      <c r="U69" s="2"/>
      <c r="V69" s="7">
        <f t="shared" si="58"/>
        <v>-1.1639293250508669E-5</v>
      </c>
      <c r="W69" s="2"/>
      <c r="X69" s="6">
        <f t="shared" si="59"/>
        <v>6.82</v>
      </c>
      <c r="Y69" s="2"/>
      <c r="Z69" s="7">
        <f t="shared" si="60"/>
        <v>-1</v>
      </c>
    </row>
    <row r="70" spans="1:26" s="25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39.28</v>
      </c>
      <c r="E70" s="1"/>
      <c r="F70" s="5">
        <f t="shared" ref="F70:F76" si="61">IF(D$12=0,0,D70/D$12)</f>
        <v>0.86691679540940203</v>
      </c>
      <c r="G70" s="1"/>
      <c r="H70" s="1">
        <f>SUM(OSRRefH22_12x_0)</f>
        <v>351.57</v>
      </c>
      <c r="I70" s="1"/>
      <c r="J70" s="5">
        <f t="shared" ref="J70:J76" si="62">IF(H$12=0,0,H70/H$12)</f>
        <v>5.0043806301417245E-3</v>
      </c>
      <c r="K70" s="1"/>
      <c r="L70" s="1">
        <f t="shared" ref="L70:L76" si="63">+D70-H70</f>
        <v>-312.28999999999996</v>
      </c>
      <c r="M70" s="1"/>
      <c r="N70" s="5">
        <f t="shared" ref="N70:N76" si="64">IF(H70=0,0,L70/H70)</f>
        <v>-0.88827260573996636</v>
      </c>
      <c r="O70" s="13"/>
      <c r="P70" s="1">
        <f>SUM(OSRRefP22_12x_0)</f>
        <v>5975.7599999999993</v>
      </c>
      <c r="Q70" s="1"/>
      <c r="R70" s="5">
        <f t="shared" ref="R70:R76" si="65">IF(P$12=0,0,P70/P$12)</f>
        <v>1.2051441635978722E-2</v>
      </c>
      <c r="S70" s="1"/>
      <c r="T70" s="1">
        <f>SUM(OSRRefT22_12x_0)</f>
        <v>2100.69</v>
      </c>
      <c r="U70" s="1"/>
      <c r="V70" s="5">
        <f t="shared" ref="V70:V76" si="66">IF(T$12=0,0,T70/T$12)</f>
        <v>3.5851241845177503E-3</v>
      </c>
      <c r="W70" s="1"/>
      <c r="X70" s="1">
        <f t="shared" ref="X70:X76" si="67">+P70-T70</f>
        <v>3875.0699999999993</v>
      </c>
      <c r="Y70" s="1"/>
      <c r="Z70" s="5">
        <f t="shared" ref="Z70:Z76" si="68">IF(T70=0,0,X70/T70)</f>
        <v>1.844665324250603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61"/>
        <v>0</v>
      </c>
      <c r="G71" s="2"/>
      <c r="H71" s="6"/>
      <c r="I71" s="2"/>
      <c r="J71" s="7">
        <f t="shared" si="62"/>
        <v>0</v>
      </c>
      <c r="K71" s="2"/>
      <c r="L71" s="6">
        <f t="shared" si="63"/>
        <v>0</v>
      </c>
      <c r="M71" s="2"/>
      <c r="N71" s="7">
        <f t="shared" si="64"/>
        <v>0</v>
      </c>
      <c r="O71" s="11"/>
      <c r="P71" s="6">
        <v>354.82</v>
      </c>
      <c r="Q71" s="2"/>
      <c r="R71" s="7">
        <f t="shared" si="65"/>
        <v>7.1557300180696186E-4</v>
      </c>
      <c r="S71" s="2"/>
      <c r="T71" s="6"/>
      <c r="U71" s="2"/>
      <c r="V71" s="7">
        <f t="shared" si="66"/>
        <v>0</v>
      </c>
      <c r="W71" s="2"/>
      <c r="X71" s="6">
        <f t="shared" si="67"/>
        <v>354.82</v>
      </c>
      <c r="Y71" s="2"/>
      <c r="Z71" s="7">
        <f t="shared" si="68"/>
        <v>0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61"/>
        <v>0</v>
      </c>
      <c r="G72" s="2"/>
      <c r="H72" s="6"/>
      <c r="I72" s="2"/>
      <c r="J72" s="7">
        <f t="shared" si="62"/>
        <v>0</v>
      </c>
      <c r="K72" s="2"/>
      <c r="L72" s="6">
        <f t="shared" si="63"/>
        <v>0</v>
      </c>
      <c r="M72" s="2"/>
      <c r="N72" s="7">
        <f t="shared" si="64"/>
        <v>0</v>
      </c>
      <c r="O72" s="11"/>
      <c r="P72" s="6">
        <v>151.25</v>
      </c>
      <c r="Q72" s="2"/>
      <c r="R72" s="7">
        <f t="shared" si="65"/>
        <v>3.050290753714644E-4</v>
      </c>
      <c r="S72" s="2"/>
      <c r="T72" s="6">
        <v>93.07</v>
      </c>
      <c r="U72" s="2"/>
      <c r="V72" s="7">
        <f t="shared" si="66"/>
        <v>1.5883710012094455E-4</v>
      </c>
      <c r="W72" s="2"/>
      <c r="X72" s="6">
        <f t="shared" si="67"/>
        <v>58.180000000000007</v>
      </c>
      <c r="Y72" s="2"/>
      <c r="Z72" s="7">
        <f t="shared" si="68"/>
        <v>0.62512087675942851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61"/>
        <v>0</v>
      </c>
      <c r="G73" s="2"/>
      <c r="H73" s="6">
        <v>22.04</v>
      </c>
      <c r="I73" s="2"/>
      <c r="J73" s="7">
        <f t="shared" si="62"/>
        <v>3.1372571348045511E-4</v>
      </c>
      <c r="K73" s="2"/>
      <c r="L73" s="6">
        <f t="shared" si="63"/>
        <v>-22.04</v>
      </c>
      <c r="M73" s="2"/>
      <c r="N73" s="7">
        <f t="shared" si="64"/>
        <v>-1</v>
      </c>
      <c r="O73" s="11"/>
      <c r="P73" s="6">
        <v>328.56</v>
      </c>
      <c r="Q73" s="2"/>
      <c r="R73" s="7">
        <f t="shared" si="65"/>
        <v>6.6261390415899729E-4</v>
      </c>
      <c r="S73" s="2"/>
      <c r="T73" s="6">
        <v>367.7</v>
      </c>
      <c r="U73" s="2"/>
      <c r="V73" s="7">
        <f t="shared" si="66"/>
        <v>6.275319836088031E-4</v>
      </c>
      <c r="W73" s="2"/>
      <c r="X73" s="6">
        <f t="shared" si="67"/>
        <v>-39.139999999999986</v>
      </c>
      <c r="Y73" s="2"/>
      <c r="Z73" s="7">
        <f t="shared" si="68"/>
        <v>-0.10644547185205327</v>
      </c>
    </row>
    <row r="74" spans="1:26" s="24" customFormat="1" hidden="1" outlineLevel="2" x14ac:dyDescent="0.25">
      <c r="A74" s="27"/>
      <c r="B74" s="11" t="str">
        <f>CONCATENATE("          ", "6245", " - ", "PRINTING")</f>
        <v xml:space="preserve">          6245 - PRINTING</v>
      </c>
      <c r="C74" s="11"/>
      <c r="D74" s="6"/>
      <c r="E74" s="2"/>
      <c r="F74" s="7">
        <f t="shared" si="61"/>
        <v>0</v>
      </c>
      <c r="G74" s="2"/>
      <c r="H74" s="6"/>
      <c r="I74" s="2"/>
      <c r="J74" s="7">
        <f t="shared" si="62"/>
        <v>0</v>
      </c>
      <c r="K74" s="2"/>
      <c r="L74" s="6">
        <f t="shared" si="63"/>
        <v>0</v>
      </c>
      <c r="M74" s="2"/>
      <c r="N74" s="7">
        <f t="shared" si="64"/>
        <v>0</v>
      </c>
      <c r="O74" s="11"/>
      <c r="P74" s="6">
        <v>81.739999999999995</v>
      </c>
      <c r="Q74" s="2"/>
      <c r="R74" s="7">
        <f t="shared" si="65"/>
        <v>1.6484678757595699E-4</v>
      </c>
      <c r="S74" s="2"/>
      <c r="T74" s="6"/>
      <c r="U74" s="2"/>
      <c r="V74" s="7">
        <f t="shared" si="66"/>
        <v>0</v>
      </c>
      <c r="W74" s="2"/>
      <c r="X74" s="6">
        <f t="shared" si="67"/>
        <v>81.739999999999995</v>
      </c>
      <c r="Y74" s="2"/>
      <c r="Z74" s="7">
        <f t="shared" si="68"/>
        <v>0</v>
      </c>
    </row>
    <row r="75" spans="1:26" s="24" customFormat="1" hidden="1" outlineLevel="2" x14ac:dyDescent="0.25">
      <c r="A75" s="27"/>
      <c r="B75" s="11" t="str">
        <f>CONCATENATE("          ", "6247", " - ", "STORE SUPPLIES")</f>
        <v xml:space="preserve">          6247 - STORE SUPPLIES</v>
      </c>
      <c r="C75" s="11"/>
      <c r="D75" s="6">
        <v>39.28</v>
      </c>
      <c r="E75" s="2"/>
      <c r="F75" s="7">
        <f t="shared" si="61"/>
        <v>0.86691679540940203</v>
      </c>
      <c r="G75" s="2"/>
      <c r="H75" s="6">
        <v>329.53</v>
      </c>
      <c r="I75" s="2"/>
      <c r="J75" s="7">
        <f t="shared" si="62"/>
        <v>4.6906549166612693E-3</v>
      </c>
      <c r="K75" s="2"/>
      <c r="L75" s="6">
        <f t="shared" si="63"/>
        <v>-290.25</v>
      </c>
      <c r="M75" s="2"/>
      <c r="N75" s="7">
        <f t="shared" si="64"/>
        <v>-0.88079992716899835</v>
      </c>
      <c r="O75" s="11"/>
      <c r="P75" s="6">
        <v>5024.9399999999996</v>
      </c>
      <c r="Q75" s="2"/>
      <c r="R75" s="7">
        <f t="shared" si="65"/>
        <v>1.0133902823121231E-2</v>
      </c>
      <c r="S75" s="2"/>
      <c r="T75" s="6">
        <v>1452.05</v>
      </c>
      <c r="U75" s="2"/>
      <c r="V75" s="7">
        <f t="shared" si="66"/>
        <v>2.4781284112025091E-3</v>
      </c>
      <c r="W75" s="2"/>
      <c r="X75" s="6">
        <f t="shared" si="67"/>
        <v>3572.8899999999994</v>
      </c>
      <c r="Y75" s="2"/>
      <c r="Z75" s="7">
        <f t="shared" si="68"/>
        <v>2.4605833132467887</v>
      </c>
    </row>
    <row r="76" spans="1:26" s="24" customFormat="1" hidden="1" outlineLevel="2" x14ac:dyDescent="0.25">
      <c r="A76" s="27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61"/>
        <v>0</v>
      </c>
      <c r="G76" s="2"/>
      <c r="H76" s="6"/>
      <c r="I76" s="2"/>
      <c r="J76" s="7">
        <f t="shared" si="62"/>
        <v>0</v>
      </c>
      <c r="K76" s="2"/>
      <c r="L76" s="6">
        <f t="shared" si="63"/>
        <v>0</v>
      </c>
      <c r="M76" s="2"/>
      <c r="N76" s="7">
        <f t="shared" si="64"/>
        <v>0</v>
      </c>
      <c r="O76" s="11"/>
      <c r="P76" s="6">
        <v>34.450000000000003</v>
      </c>
      <c r="Q76" s="2"/>
      <c r="R76" s="7">
        <f t="shared" si="65"/>
        <v>6.9476043944112059E-5</v>
      </c>
      <c r="S76" s="2"/>
      <c r="T76" s="6">
        <v>187.87</v>
      </c>
      <c r="U76" s="2"/>
      <c r="V76" s="7">
        <f t="shared" si="66"/>
        <v>3.2062668958549322E-4</v>
      </c>
      <c r="W76" s="2"/>
      <c r="X76" s="6">
        <f t="shared" si="67"/>
        <v>-153.42000000000002</v>
      </c>
      <c r="Y76" s="2"/>
      <c r="Z76" s="7">
        <f t="shared" si="68"/>
        <v>-0.81662851972108375</v>
      </c>
    </row>
    <row r="77" spans="1:26" s="25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SUM(OSRRefD22_13x_0)</f>
        <v>124.95</v>
      </c>
      <c r="E77" s="1"/>
      <c r="F77" s="5">
        <f t="shared" ref="F77:F80" si="69">IF(D$12=0,0,D77/D$12)</f>
        <v>2.757669388655926</v>
      </c>
      <c r="G77" s="1"/>
      <c r="H77" s="1">
        <f>SUM(OSRRefH22_13x_0)</f>
        <v>126.6</v>
      </c>
      <c r="I77" s="1"/>
      <c r="J77" s="5">
        <f t="shared" ref="J77:J80" si="70">IF(H$12=0,0,H77/H$12)</f>
        <v>1.8020723832407267E-3</v>
      </c>
      <c r="K77" s="1"/>
      <c r="L77" s="1">
        <f t="shared" ref="L77:L80" si="71">+D77-H77</f>
        <v>-1.6499999999999915</v>
      </c>
      <c r="M77" s="1"/>
      <c r="N77" s="5">
        <f t="shared" ref="N77:N80" si="72">IF(H77=0,0,L77/H77)</f>
        <v>-1.303317535545017E-2</v>
      </c>
      <c r="O77" s="13"/>
      <c r="P77" s="1">
        <f>SUM(OSRRefP22_13x_0)</f>
        <v>1250.73</v>
      </c>
      <c r="Q77" s="1"/>
      <c r="R77" s="5">
        <f t="shared" ref="R77:R80" si="73">IF(P$12=0,0,P77/P$12)</f>
        <v>2.5223736557973661E-3</v>
      </c>
      <c r="S77" s="1"/>
      <c r="T77" s="1">
        <f>SUM(OSRRefT22_13x_0)</f>
        <v>1345.5</v>
      </c>
      <c r="U77" s="1"/>
      <c r="V77" s="5">
        <f t="shared" ref="V77:V80" si="74">IF(T$12=0,0,T77/T$12)</f>
        <v>2.2962857871787999E-3</v>
      </c>
      <c r="W77" s="1"/>
      <c r="X77" s="1">
        <f t="shared" ref="X77:X80" si="75">+P77-T77</f>
        <v>-94.769999999999982</v>
      </c>
      <c r="Y77" s="1"/>
      <c r="Z77" s="5">
        <f t="shared" ref="Z77:Z80" si="76">IF(T77=0,0,X77/T77)</f>
        <v>-7.0434782608695637E-2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6">
        <v>124.95</v>
      </c>
      <c r="E78" s="2"/>
      <c r="F78" s="7">
        <f t="shared" si="69"/>
        <v>2.757669388655926</v>
      </c>
      <c r="G78" s="2"/>
      <c r="H78" s="6">
        <v>126.6</v>
      </c>
      <c r="I78" s="2"/>
      <c r="J78" s="7">
        <f t="shared" si="70"/>
        <v>1.8020723832407267E-3</v>
      </c>
      <c r="K78" s="2"/>
      <c r="L78" s="6">
        <f t="shared" si="71"/>
        <v>-1.6499999999999915</v>
      </c>
      <c r="M78" s="2"/>
      <c r="N78" s="7">
        <f t="shared" si="72"/>
        <v>-1.303317535545017E-2</v>
      </c>
      <c r="O78" s="11"/>
      <c r="P78" s="6">
        <v>1250.73</v>
      </c>
      <c r="Q78" s="2"/>
      <c r="R78" s="7">
        <f t="shared" si="73"/>
        <v>2.5223736557973661E-3</v>
      </c>
      <c r="S78" s="2"/>
      <c r="T78" s="6">
        <v>1345.5</v>
      </c>
      <c r="U78" s="2"/>
      <c r="V78" s="7">
        <f t="shared" si="74"/>
        <v>2.2962857871787999E-3</v>
      </c>
      <c r="W78" s="2"/>
      <c r="X78" s="6">
        <f t="shared" si="75"/>
        <v>-94.769999999999982</v>
      </c>
      <c r="Y78" s="2"/>
      <c r="Z78" s="7">
        <f t="shared" si="76"/>
        <v>-7.0434782608695637E-2</v>
      </c>
    </row>
    <row r="79" spans="1:26" s="25" customFormat="1" outlineLevel="1" collapsed="1" x14ac:dyDescent="0.25">
      <c r="A79" s="26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SUM(OSRRefD22_14x_0)</f>
        <v>0</v>
      </c>
      <c r="E79" s="1"/>
      <c r="F79" s="5">
        <f t="shared" si="69"/>
        <v>0</v>
      </c>
      <c r="G79" s="1"/>
      <c r="H79" s="1">
        <f>SUM(OSRRefH22_14x_0)</f>
        <v>0</v>
      </c>
      <c r="I79" s="1"/>
      <c r="J79" s="5">
        <f t="shared" si="70"/>
        <v>0</v>
      </c>
      <c r="K79" s="1"/>
      <c r="L79" s="1">
        <f t="shared" si="71"/>
        <v>0</v>
      </c>
      <c r="M79" s="1"/>
      <c r="N79" s="5">
        <f t="shared" si="72"/>
        <v>0</v>
      </c>
      <c r="O79" s="13"/>
      <c r="P79" s="1">
        <f>SUM(OSRRefP22_14x_0)</f>
        <v>96</v>
      </c>
      <c r="Q79" s="1"/>
      <c r="R79" s="5">
        <f t="shared" si="73"/>
        <v>1.9360523131015261E-4</v>
      </c>
      <c r="S79" s="1"/>
      <c r="T79" s="1">
        <f>SUM(OSRRefT22_14x_0)</f>
        <v>98.82</v>
      </c>
      <c r="U79" s="1"/>
      <c r="V79" s="5">
        <f t="shared" si="74"/>
        <v>1.6865028724564026E-4</v>
      </c>
      <c r="W79" s="1"/>
      <c r="X79" s="1">
        <f t="shared" si="75"/>
        <v>-2.8199999999999932</v>
      </c>
      <c r="Y79" s="1"/>
      <c r="Z79" s="5">
        <f t="shared" si="76"/>
        <v>-2.8536733454766174E-2</v>
      </c>
    </row>
    <row r="80" spans="1:26" s="24" customFormat="1" hidden="1" outlineLevel="2" x14ac:dyDescent="0.25">
      <c r="A80" s="27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69"/>
        <v>0</v>
      </c>
      <c r="G80" s="2"/>
      <c r="H80" s="6"/>
      <c r="I80" s="2"/>
      <c r="J80" s="7">
        <f t="shared" si="70"/>
        <v>0</v>
      </c>
      <c r="K80" s="2"/>
      <c r="L80" s="6">
        <f t="shared" si="71"/>
        <v>0</v>
      </c>
      <c r="M80" s="2"/>
      <c r="N80" s="7">
        <f t="shared" si="72"/>
        <v>0</v>
      </c>
      <c r="O80" s="11"/>
      <c r="P80" s="6">
        <v>96</v>
      </c>
      <c r="Q80" s="2"/>
      <c r="R80" s="7">
        <f t="shared" si="73"/>
        <v>1.9360523131015261E-4</v>
      </c>
      <c r="S80" s="2"/>
      <c r="T80" s="6">
        <v>98.82</v>
      </c>
      <c r="U80" s="2"/>
      <c r="V80" s="7">
        <f t="shared" si="74"/>
        <v>1.6865028724564026E-4</v>
      </c>
      <c r="W80" s="2"/>
      <c r="X80" s="6">
        <f t="shared" si="75"/>
        <v>-2.8199999999999932</v>
      </c>
      <c r="Y80" s="2"/>
      <c r="Z80" s="7">
        <f t="shared" si="76"/>
        <v>-2.8536733454766174E-2</v>
      </c>
    </row>
    <row r="81" spans="1:26" s="53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1">
        <f>+D26-D28+D82</f>
        <v>-14338.099999999999</v>
      </c>
      <c r="E84" s="14"/>
      <c r="F84" s="20">
        <f>IF(D$12=0,0,D84/D$12)</f>
        <v>-316.44449348929595</v>
      </c>
      <c r="G84" s="14"/>
      <c r="H84" s="21">
        <f>+H26-H28+H82</f>
        <v>15520.689999999995</v>
      </c>
      <c r="I84" s="14"/>
      <c r="J84" s="20">
        <f>IF(H$12=0,0,H84/H$12)</f>
        <v>0.22092738402717621</v>
      </c>
      <c r="K84" s="15"/>
      <c r="L84" s="21">
        <f>+D84-H84</f>
        <v>-29858.789999999994</v>
      </c>
      <c r="M84" s="15"/>
      <c r="N84" s="20">
        <f>IF(H84=0,0,L84/H84)</f>
        <v>-1.9238055782313803</v>
      </c>
      <c r="O84" s="29"/>
      <c r="P84" s="21">
        <f>+P26-P28+P82</f>
        <v>71715.820000000036</v>
      </c>
      <c r="Q84" s="14"/>
      <c r="R84" s="20">
        <f>IF(P$12=0,0,P84/P$12)</f>
        <v>0.14463081166351327</v>
      </c>
      <c r="S84" s="14"/>
      <c r="T84" s="21">
        <f>+T26-T28+T82</f>
        <v>91982.050000000047</v>
      </c>
      <c r="U84" s="14"/>
      <c r="V84" s="20">
        <f>IF(T$12=0,0,T84/T$12)</f>
        <v>0.15698035978489025</v>
      </c>
      <c r="W84" s="15"/>
      <c r="X84" s="21">
        <f>+P84-T84</f>
        <v>-20266.23000000001</v>
      </c>
      <c r="Y84" s="15"/>
      <c r="Z84" s="20">
        <f>IF(T84=0,0,X84/T84)</f>
        <v>-0.22032809662319985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3173.57</v>
      </c>
      <c r="E86" s="4"/>
      <c r="F86" s="12">
        <f>IF(D$12=0,0,D86/D$12)</f>
        <v>70.041271242551318</v>
      </c>
      <c r="G86" s="4"/>
      <c r="H86" s="4">
        <v>7811.87</v>
      </c>
      <c r="I86" s="4"/>
      <c r="J86" s="12">
        <f>IF(H$12=0,0,H86/H$12)</f>
        <v>0.11119711839231231</v>
      </c>
      <c r="K86" s="4"/>
      <c r="L86" s="4">
        <f>+D86-H86</f>
        <v>-4638.2999999999993</v>
      </c>
      <c r="M86" s="4"/>
      <c r="N86" s="12">
        <f>IF(H86=0,0,L86/H86)</f>
        <v>-0.5937502800225809</v>
      </c>
      <c r="O86" s="10"/>
      <c r="P86" s="4">
        <v>56300.71</v>
      </c>
      <c r="Q86" s="4"/>
      <c r="R86" s="12">
        <f>IF(P$12=0,0,P86/P$12)</f>
        <v>0.11354283315078981</v>
      </c>
      <c r="S86" s="4"/>
      <c r="T86" s="4">
        <v>60914.119999999995</v>
      </c>
      <c r="U86" s="4"/>
      <c r="V86" s="12">
        <f>IF(T$12=0,0,T86/T$12)</f>
        <v>0.10395854923411658</v>
      </c>
      <c r="W86" s="4"/>
      <c r="X86" s="4">
        <f>+P86-T86</f>
        <v>-4613.4099999999962</v>
      </c>
      <c r="Y86" s="4"/>
      <c r="Z86" s="12">
        <f>IF(T86=0,0,X86/T86)</f>
        <v>-7.5736298907379707E-2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0">
        <f>+D84-D86</f>
        <v>-17511.669999999998</v>
      </c>
      <c r="E88" s="14"/>
      <c r="F88" s="36">
        <f>IF(D$12=0,0,D88/D$12)</f>
        <v>-386.48576473184727</v>
      </c>
      <c r="G88" s="14"/>
      <c r="H88" s="30">
        <f>+H84-H86</f>
        <v>7708.8199999999952</v>
      </c>
      <c r="I88" s="14"/>
      <c r="J88" s="36">
        <f>IF(H$12=0,0,H88/H$12)</f>
        <v>0.10973026563486392</v>
      </c>
      <c r="K88" s="15"/>
      <c r="L88" s="30">
        <f>D88-H88</f>
        <v>-25220.489999999994</v>
      </c>
      <c r="M88" s="15"/>
      <c r="N88" s="36">
        <f>IF(H88=0,0,L88/H88)</f>
        <v>-3.2716407958675919</v>
      </c>
      <c r="O88" s="29"/>
      <c r="P88" s="30">
        <f>+P84-P86</f>
        <v>15415.110000000037</v>
      </c>
      <c r="Q88" s="14"/>
      <c r="R88" s="36">
        <f>IF(P$12=0,0,P88/P$12)</f>
        <v>3.1087978512723474E-2</v>
      </c>
      <c r="S88" s="14"/>
      <c r="T88" s="30">
        <f>+T84-T86</f>
        <v>31067.930000000051</v>
      </c>
      <c r="U88" s="14"/>
      <c r="V88" s="36">
        <f>IF(T$12=0,0,T88/T$12)</f>
        <v>5.3021810550773665E-2</v>
      </c>
      <c r="W88" s="15"/>
      <c r="X88" s="30">
        <f>P88-T88</f>
        <v>-15652.820000000014</v>
      </c>
      <c r="Y88" s="15"/>
      <c r="Z88" s="36">
        <f>IF(T88=0,0,X88/T88)</f>
        <v>-0.50382564915010397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1">
        <f>SUM(D88:D90)</f>
        <v>-17511.669999999998</v>
      </c>
      <c r="E91" s="14"/>
      <c r="F91" s="32">
        <f>IF(D$12=0,0,D91/D$12)</f>
        <v>-386.48576473184727</v>
      </c>
      <c r="G91" s="14"/>
      <c r="H91" s="31">
        <f>SUM(H88:H90)</f>
        <v>7708.8199999999952</v>
      </c>
      <c r="I91" s="14"/>
      <c r="J91" s="32">
        <f>IF(H$12=0,0,H91/H$12)</f>
        <v>0.10973026563486392</v>
      </c>
      <c r="K91" s="15"/>
      <c r="L91" s="31">
        <f>+D91-H91</f>
        <v>-25220.489999999994</v>
      </c>
      <c r="M91" s="15"/>
      <c r="N91" s="32">
        <f>IF(H91=0,0,L91/H91)</f>
        <v>-3.2716407958675919</v>
      </c>
      <c r="O91" s="29"/>
      <c r="P91" s="31">
        <f>SUM(P88:P90)</f>
        <v>15415.110000000037</v>
      </c>
      <c r="Q91" s="14"/>
      <c r="R91" s="32">
        <f>IF(P$12=0,0,P91/P$12)</f>
        <v>3.1087978512723474E-2</v>
      </c>
      <c r="S91" s="14"/>
      <c r="T91" s="31">
        <f>SUM(T88:T90)</f>
        <v>31067.930000000051</v>
      </c>
      <c r="U91" s="14"/>
      <c r="V91" s="32">
        <f>IF(T$12=0,0,T91/T$12)</f>
        <v>5.3021810550773665E-2</v>
      </c>
      <c r="W91" s="15"/>
      <c r="X91" s="31">
        <f>+P91-T91</f>
        <v>-15652.820000000014</v>
      </c>
      <c r="Y91" s="15"/>
      <c r="Z91" s="32">
        <f>IF(T91=0,0,X91/T91)</f>
        <v>-0.50382564915010397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4">
        <v>43965.470981631945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9" t="s">
        <v>313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1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","321", " - ", "Student Union C-Store")</f>
        <v>Department 321 - Student Union C-Store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34467.61</v>
      </c>
      <c r="I12" s="4"/>
      <c r="J12" s="12"/>
      <c r="K12" s="4"/>
      <c r="L12" s="4">
        <f t="shared" ref="L12:L14" si="0">+D12-H12</f>
        <v>-34467.61</v>
      </c>
      <c r="M12" s="4"/>
      <c r="N12" s="12">
        <f t="shared" ref="N12:N14" si="1">IF(H12=0,0,L12/H12)</f>
        <v>-1</v>
      </c>
      <c r="O12" s="10"/>
      <c r="P12" s="4">
        <f>SUM(OSRRefP13x_0)</f>
        <v>281486.67000000004</v>
      </c>
      <c r="Q12" s="4"/>
      <c r="R12" s="12"/>
      <c r="S12" s="4"/>
      <c r="T12" s="4">
        <f>SUM(OSRRefT13x_0)</f>
        <v>299242.52</v>
      </c>
      <c r="U12" s="4"/>
      <c r="V12" s="12"/>
      <c r="W12" s="4"/>
      <c r="X12" s="4">
        <f t="shared" ref="X12:X14" si="2">+P12-T12</f>
        <v>-17755.849999999977</v>
      </c>
      <c r="Y12" s="4"/>
      <c r="Z12" s="12">
        <f t="shared" ref="Z12:Z14" si="3">IF(T12=0,0,X12/T12)</f>
        <v>-5.9335986075775511E-2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--7245.07</f>
        <v>7245.07</v>
      </c>
      <c r="I13" s="2"/>
      <c r="J13" s="19"/>
      <c r="K13" s="2"/>
      <c r="L13" s="2">
        <f t="shared" si="0"/>
        <v>-7245.07</v>
      </c>
      <c r="M13" s="2"/>
      <c r="N13" s="19">
        <f t="shared" si="1"/>
        <v>-1</v>
      </c>
      <c r="O13" s="11"/>
      <c r="P13" s="2">
        <f>--65192.75</f>
        <v>65192.75</v>
      </c>
      <c r="Q13" s="2"/>
      <c r="R13" s="19"/>
      <c r="S13" s="2"/>
      <c r="T13" s="2">
        <f>--74443.87</f>
        <v>74443.87</v>
      </c>
      <c r="U13" s="2"/>
      <c r="V13" s="19"/>
      <c r="W13" s="2"/>
      <c r="X13" s="2">
        <f t="shared" si="2"/>
        <v>-9251.1199999999953</v>
      </c>
      <c r="Y13" s="2"/>
      <c r="Z13" s="19">
        <f t="shared" si="3"/>
        <v>-0.12426973503661209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--27222.54</f>
        <v>27222.54</v>
      </c>
      <c r="I14" s="2"/>
      <c r="J14" s="19"/>
      <c r="K14" s="2"/>
      <c r="L14" s="2">
        <f t="shared" si="0"/>
        <v>-27222.54</v>
      </c>
      <c r="M14" s="2"/>
      <c r="N14" s="19">
        <f t="shared" si="1"/>
        <v>-1</v>
      </c>
      <c r="O14" s="11"/>
      <c r="P14" s="2">
        <f>--216293.92</f>
        <v>216293.92</v>
      </c>
      <c r="Q14" s="2"/>
      <c r="R14" s="19"/>
      <c r="S14" s="2"/>
      <c r="T14" s="2">
        <f>--224798.65</f>
        <v>224798.65</v>
      </c>
      <c r="U14" s="2"/>
      <c r="V14" s="19"/>
      <c r="W14" s="2"/>
      <c r="X14" s="2">
        <f t="shared" si="2"/>
        <v>-8504.7299999999814</v>
      </c>
      <c r="Y14" s="2"/>
      <c r="Z14" s="19">
        <f t="shared" si="3"/>
        <v>-3.7832656023512518E-2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11619.12</v>
      </c>
      <c r="E16" s="4"/>
      <c r="F16" s="12">
        <f t="shared" ref="F16:F18" si="5">IF(D$12=0,0,D16/D$12)</f>
        <v>0</v>
      </c>
      <c r="G16" s="4"/>
      <c r="H16" s="4">
        <f>SUM(OSRRefH16x_0)</f>
        <v>14944.930000000002</v>
      </c>
      <c r="I16" s="4"/>
      <c r="J16" s="12">
        <f t="shared" ref="J16:J18" si="6">IF(H$12=0,0,H16/H$12)</f>
        <v>0.43359345193937154</v>
      </c>
      <c r="K16" s="4"/>
      <c r="L16" s="4">
        <f t="shared" ref="L16:L18" si="7">+D16-H16</f>
        <v>-3325.8100000000013</v>
      </c>
      <c r="M16" s="4"/>
      <c r="N16" s="12">
        <f t="shared" ref="N16:N18" si="8">IF(H16=0,0,L16/H16)</f>
        <v>-0.22253767665689975</v>
      </c>
      <c r="O16" s="10"/>
      <c r="P16" s="4">
        <f>SUM(OSRRefP16x_0)</f>
        <v>146497.13</v>
      </c>
      <c r="Q16" s="4"/>
      <c r="R16" s="12">
        <f t="shared" ref="R16:R18" si="9">IF(P$12=0,0,P16/P$12)</f>
        <v>0.52044073703383531</v>
      </c>
      <c r="S16" s="4"/>
      <c r="T16" s="4">
        <f>SUM(OSRRefT16x_0)</f>
        <v>141545.06</v>
      </c>
      <c r="U16" s="4"/>
      <c r="V16" s="12">
        <f t="shared" ref="V16:V18" si="10">IF(T$12=0,0,T16/T$12)</f>
        <v>0.47301118838325512</v>
      </c>
      <c r="W16" s="4"/>
      <c r="X16" s="4">
        <f t="shared" ref="X16:X18" si="11">+P16-T16</f>
        <v>4952.070000000007</v>
      </c>
      <c r="Y16" s="4"/>
      <c r="Z16" s="12">
        <f t="shared" ref="Z16:Z18" si="12">IF(T16=0,0,X16/T16)</f>
        <v>3.4985820063236452E-2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-407.13</v>
      </c>
      <c r="E17" s="2"/>
      <c r="F17" s="19">
        <f t="shared" si="5"/>
        <v>0</v>
      </c>
      <c r="G17" s="2"/>
      <c r="H17" s="2">
        <v>15181.670000000002</v>
      </c>
      <c r="I17" s="2"/>
      <c r="J17" s="19">
        <f t="shared" si="6"/>
        <v>0.44046192933017408</v>
      </c>
      <c r="K17" s="2"/>
      <c r="L17" s="2">
        <f t="shared" si="7"/>
        <v>-15588.800000000001</v>
      </c>
      <c r="M17" s="2"/>
      <c r="N17" s="19">
        <f t="shared" si="8"/>
        <v>-1.0268172078565796</v>
      </c>
      <c r="O17" s="11"/>
      <c r="P17" s="2">
        <v>133769.34</v>
      </c>
      <c r="Q17" s="2"/>
      <c r="R17" s="19">
        <f t="shared" si="9"/>
        <v>0.47522442181720354</v>
      </c>
      <c r="S17" s="2"/>
      <c r="T17" s="2">
        <v>129404.37999999999</v>
      </c>
      <c r="U17" s="2"/>
      <c r="V17" s="19">
        <f t="shared" si="10"/>
        <v>0.43243981503698065</v>
      </c>
      <c r="W17" s="2"/>
      <c r="X17" s="2">
        <f t="shared" si="11"/>
        <v>4364.9600000000064</v>
      </c>
      <c r="Y17" s="2"/>
      <c r="Z17" s="19">
        <f t="shared" si="12"/>
        <v>3.3731161186352478E-2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12026.25</v>
      </c>
      <c r="E18" s="2"/>
      <c r="F18" s="19">
        <f t="shared" si="5"/>
        <v>0</v>
      </c>
      <c r="G18" s="2"/>
      <c r="H18" s="2">
        <v>-236.74</v>
      </c>
      <c r="I18" s="2"/>
      <c r="J18" s="19">
        <f t="shared" si="6"/>
        <v>-6.8684773908025539E-3</v>
      </c>
      <c r="K18" s="2"/>
      <c r="L18" s="2">
        <f t="shared" si="7"/>
        <v>12262.99</v>
      </c>
      <c r="M18" s="2"/>
      <c r="N18" s="19">
        <f t="shared" si="8"/>
        <v>-51.799400185857898</v>
      </c>
      <c r="O18" s="11"/>
      <c r="P18" s="2">
        <v>12727.79</v>
      </c>
      <c r="Q18" s="2"/>
      <c r="R18" s="19">
        <f t="shared" si="9"/>
        <v>4.5216315216631747E-2</v>
      </c>
      <c r="S18" s="2"/>
      <c r="T18" s="2">
        <v>12140.68</v>
      </c>
      <c r="U18" s="2"/>
      <c r="V18" s="19">
        <f t="shared" si="10"/>
        <v>4.0571373346274454E-2</v>
      </c>
      <c r="W18" s="2"/>
      <c r="X18" s="2">
        <f t="shared" si="11"/>
        <v>587.11000000000058</v>
      </c>
      <c r="Y18" s="2"/>
      <c r="Z18" s="19">
        <f t="shared" si="12"/>
        <v>4.8358905761456572E-2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-11619.12</v>
      </c>
      <c r="E20" s="14"/>
      <c r="F20" s="20">
        <f>IF(D$12=0,0,D20/D$12)</f>
        <v>0</v>
      </c>
      <c r="G20" s="14"/>
      <c r="H20" s="21">
        <f>H12-H16</f>
        <v>19522.68</v>
      </c>
      <c r="I20" s="14"/>
      <c r="J20" s="20">
        <f>IF(H$12=0,0,H20/H$12)</f>
        <v>0.56640654806062851</v>
      </c>
      <c r="K20" s="15"/>
      <c r="L20" s="21">
        <f>+D20-H20</f>
        <v>-31141.800000000003</v>
      </c>
      <c r="M20" s="15"/>
      <c r="N20" s="20">
        <f>IF(H20=0,0,L20/H20)</f>
        <v>-1.595160090725249</v>
      </c>
      <c r="O20" s="29"/>
      <c r="P20" s="21">
        <f>P12-P16</f>
        <v>134989.54000000004</v>
      </c>
      <c r="Q20" s="14"/>
      <c r="R20" s="20">
        <f>IF(P$12=0,0,P20/P$12)</f>
        <v>0.47955926296616469</v>
      </c>
      <c r="S20" s="14"/>
      <c r="T20" s="21">
        <f>T12-T16</f>
        <v>157697.46000000002</v>
      </c>
      <c r="U20" s="14"/>
      <c r="V20" s="20">
        <f>IF(T$12=0,0,T20/T$12)</f>
        <v>0.52698881161674482</v>
      </c>
      <c r="W20" s="15"/>
      <c r="X20" s="21">
        <f>+P20-T20</f>
        <v>-22707.919999999984</v>
      </c>
      <c r="Y20" s="15"/>
      <c r="Z20" s="20">
        <f>IF(T20=0,0,X20/T20)</f>
        <v>-0.14399673907239838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1822.71</v>
      </c>
      <c r="E22" s="22"/>
      <c r="F22" s="35">
        <f t="shared" ref="F22:F30" si="13">IF(D$12=0,0,D22/D$12)</f>
        <v>0</v>
      </c>
      <c r="G22" s="22"/>
      <c r="H22" s="22">
        <f>SUM(OSRRefH22x_0)</f>
        <v>7256.1200000000008</v>
      </c>
      <c r="I22" s="22"/>
      <c r="J22" s="35">
        <f t="shared" ref="J22:J30" si="14">IF(H$12=0,0,H22/H$12)</f>
        <v>0.21051996352517627</v>
      </c>
      <c r="K22" s="4"/>
      <c r="L22" s="22">
        <f t="shared" ref="L22:L30" si="15">+D22-H22</f>
        <v>-5433.4100000000008</v>
      </c>
      <c r="M22" s="4"/>
      <c r="N22" s="35">
        <f t="shared" ref="N22:N30" si="16">IF(H22=0,0,L22/H22)</f>
        <v>-0.74880376840515317</v>
      </c>
      <c r="O22" s="10"/>
      <c r="P22" s="22">
        <f>SUM(OSRRefP22x_0)</f>
        <v>119727.50000000001</v>
      </c>
      <c r="Q22" s="22"/>
      <c r="R22" s="35">
        <f t="shared" ref="R22:R30" si="17">IF(P$12=0,0,P22/P$12)</f>
        <v>0.42533985712360728</v>
      </c>
      <c r="S22" s="22"/>
      <c r="T22" s="22">
        <f>SUM(OSRRefT22x_0)</f>
        <v>89083.200000000012</v>
      </c>
      <c r="U22" s="22"/>
      <c r="V22" s="35">
        <f t="shared" ref="V22:V30" si="18">IF(T$12=0,0,T22/T$12)</f>
        <v>0.29769566169941358</v>
      </c>
      <c r="W22" s="4"/>
      <c r="X22" s="22">
        <f t="shared" ref="X22:X30" si="19">+P22-T22</f>
        <v>30644.300000000003</v>
      </c>
      <c r="Y22" s="4"/>
      <c r="Z22" s="35">
        <f t="shared" ref="Z22:Z30" si="20">IF(T22=0,0,X22/T22)</f>
        <v>0.34399639887206568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91.74</v>
      </c>
      <c r="I23" s="1"/>
      <c r="J23" s="5">
        <f t="shared" si="14"/>
        <v>2.6616292803591543E-3</v>
      </c>
      <c r="K23" s="1"/>
      <c r="L23" s="1">
        <f t="shared" si="15"/>
        <v>-91.74</v>
      </c>
      <c r="M23" s="1"/>
      <c r="N23" s="5">
        <f t="shared" si="16"/>
        <v>-1</v>
      </c>
      <c r="O23" s="13"/>
      <c r="P23" s="1">
        <f>SUM(OSRRefP22_0x_0)</f>
        <v>10263.029999999999</v>
      </c>
      <c r="Q23" s="1"/>
      <c r="R23" s="5">
        <f t="shared" si="17"/>
        <v>3.646009240863874E-2</v>
      </c>
      <c r="S23" s="1"/>
      <c r="T23" s="1">
        <f>SUM(OSRRefT22_0x_0)</f>
        <v>781.69</v>
      </c>
      <c r="U23" s="1"/>
      <c r="V23" s="5">
        <f t="shared" si="18"/>
        <v>2.6122290375044294E-3</v>
      </c>
      <c r="W23" s="1"/>
      <c r="X23" s="1">
        <f t="shared" si="19"/>
        <v>9481.3399999999983</v>
      </c>
      <c r="Y23" s="1"/>
      <c r="Z23" s="5">
        <f t="shared" si="20"/>
        <v>12.129283987258374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42.5</v>
      </c>
      <c r="I24" s="2"/>
      <c r="J24" s="7">
        <f t="shared" si="14"/>
        <v>1.2330416875437548E-3</v>
      </c>
      <c r="K24" s="2"/>
      <c r="L24" s="6">
        <f t="shared" si="15"/>
        <v>-42.5</v>
      </c>
      <c r="M24" s="2"/>
      <c r="N24" s="7">
        <f t="shared" si="16"/>
        <v>-1</v>
      </c>
      <c r="O24" s="11"/>
      <c r="P24" s="6">
        <v>2418.25</v>
      </c>
      <c r="Q24" s="2"/>
      <c r="R24" s="7">
        <f t="shared" si="17"/>
        <v>8.5909929589205753E-3</v>
      </c>
      <c r="S24" s="2"/>
      <c r="T24" s="6">
        <v>378.48</v>
      </c>
      <c r="U24" s="2"/>
      <c r="V24" s="7">
        <f t="shared" si="18"/>
        <v>1.2647935193167068E-3</v>
      </c>
      <c r="W24" s="2"/>
      <c r="X24" s="6">
        <f t="shared" si="19"/>
        <v>2039.77</v>
      </c>
      <c r="Y24" s="2"/>
      <c r="Z24" s="7">
        <f t="shared" si="20"/>
        <v>5.3893732826041001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40.409999999999997</v>
      </c>
      <c r="I25" s="2"/>
      <c r="J25" s="7">
        <f t="shared" si="14"/>
        <v>1.1724050492621912E-3</v>
      </c>
      <c r="K25" s="2"/>
      <c r="L25" s="6">
        <f t="shared" si="15"/>
        <v>-40.409999999999997</v>
      </c>
      <c r="M25" s="2"/>
      <c r="N25" s="7">
        <f t="shared" si="16"/>
        <v>-1</v>
      </c>
      <c r="O25" s="11"/>
      <c r="P25" s="6">
        <v>874.82</v>
      </c>
      <c r="Q25" s="2"/>
      <c r="R25" s="7">
        <f t="shared" si="17"/>
        <v>3.1078558711146072E-3</v>
      </c>
      <c r="S25" s="2"/>
      <c r="T25" s="6">
        <v>321.77</v>
      </c>
      <c r="U25" s="2"/>
      <c r="V25" s="7">
        <f t="shared" si="18"/>
        <v>1.0752816812263175E-3</v>
      </c>
      <c r="W25" s="2"/>
      <c r="X25" s="6">
        <f t="shared" si="19"/>
        <v>553.05000000000007</v>
      </c>
      <c r="Y25" s="2"/>
      <c r="Z25" s="7">
        <f t="shared" si="20"/>
        <v>1.7187742797650498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4676.5</v>
      </c>
      <c r="Q26" s="2"/>
      <c r="R26" s="7">
        <f t="shared" si="17"/>
        <v>1.6613575342661873E-2</v>
      </c>
      <c r="S26" s="2"/>
      <c r="T26" s="6"/>
      <c r="U26" s="2"/>
      <c r="V26" s="7">
        <f t="shared" si="18"/>
        <v>0</v>
      </c>
      <c r="W26" s="2"/>
      <c r="X26" s="6">
        <f t="shared" si="19"/>
        <v>4676.5</v>
      </c>
      <c r="Y26" s="2"/>
      <c r="Z26" s="7">
        <f t="shared" si="20"/>
        <v>0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8.83</v>
      </c>
      <c r="I27" s="2"/>
      <c r="J27" s="7">
        <f t="shared" si="14"/>
        <v>2.5618254355320834E-4</v>
      </c>
      <c r="K27" s="2"/>
      <c r="L27" s="6">
        <f t="shared" si="15"/>
        <v>-8.83</v>
      </c>
      <c r="M27" s="2"/>
      <c r="N27" s="7">
        <f t="shared" si="16"/>
        <v>-1</v>
      </c>
      <c r="O27" s="11"/>
      <c r="P27" s="6">
        <v>125.59</v>
      </c>
      <c r="Q27" s="2"/>
      <c r="R27" s="7">
        <f t="shared" si="17"/>
        <v>4.4616677585478554E-4</v>
      </c>
      <c r="S27" s="2"/>
      <c r="T27" s="6">
        <v>81.44</v>
      </c>
      <c r="U27" s="2"/>
      <c r="V27" s="7">
        <f t="shared" si="18"/>
        <v>2.7215383696140504E-4</v>
      </c>
      <c r="W27" s="2"/>
      <c r="X27" s="6">
        <f t="shared" si="19"/>
        <v>44.150000000000006</v>
      </c>
      <c r="Y27" s="2"/>
      <c r="Z27" s="7">
        <f t="shared" si="20"/>
        <v>0.54211689587426337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670.55</v>
      </c>
      <c r="Q28" s="2"/>
      <c r="R28" s="7">
        <f t="shared" si="17"/>
        <v>2.3821731949154107E-3</v>
      </c>
      <c r="S28" s="2"/>
      <c r="T28" s="6"/>
      <c r="U28" s="2"/>
      <c r="V28" s="7">
        <f t="shared" si="18"/>
        <v>0</v>
      </c>
      <c r="W28" s="2"/>
      <c r="X28" s="6">
        <f t="shared" si="19"/>
        <v>670.55</v>
      </c>
      <c r="Y28" s="2"/>
      <c r="Z28" s="7">
        <f t="shared" si="20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>
        <v>1098.8</v>
      </c>
      <c r="Q29" s="2"/>
      <c r="R29" s="7">
        <f t="shared" si="17"/>
        <v>3.9035596250437004E-3</v>
      </c>
      <c r="S29" s="2"/>
      <c r="T29" s="6"/>
      <c r="U29" s="2"/>
      <c r="V29" s="7">
        <f t="shared" si="18"/>
        <v>0</v>
      </c>
      <c r="W29" s="2"/>
      <c r="X29" s="6">
        <f t="shared" si="19"/>
        <v>1098.8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>
        <v>398.52</v>
      </c>
      <c r="Q30" s="2"/>
      <c r="R30" s="7">
        <f t="shared" si="17"/>
        <v>1.4157686401277897E-3</v>
      </c>
      <c r="S30" s="2"/>
      <c r="T30" s="6"/>
      <c r="U30" s="2"/>
      <c r="V30" s="7">
        <f t="shared" si="18"/>
        <v>0</v>
      </c>
      <c r="W30" s="2"/>
      <c r="X30" s="6">
        <f t="shared" si="19"/>
        <v>398.52</v>
      </c>
      <c r="Y30" s="2"/>
      <c r="Z30" s="7">
        <f t="shared" si="20"/>
        <v>0</v>
      </c>
    </row>
    <row r="31" spans="1:26" s="25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6" si="21">IF(D$12=0,0,D31/D$12)</f>
        <v>0</v>
      </c>
      <c r="G31" s="1"/>
      <c r="H31" s="1">
        <f>SUM(OSRRefH22_1x_0)</f>
        <v>3765.1</v>
      </c>
      <c r="I31" s="1"/>
      <c r="J31" s="5">
        <f t="shared" ref="J31:J36" si="22">IF(H$12=0,0,H31/H$12)</f>
        <v>0.10923588841814097</v>
      </c>
      <c r="K31" s="1"/>
      <c r="L31" s="1">
        <f t="shared" ref="L31:L36" si="23">+D31-H31</f>
        <v>-3765.1</v>
      </c>
      <c r="M31" s="1"/>
      <c r="N31" s="5">
        <f t="shared" ref="N31:N36" si="24">IF(H31=0,0,L31/H31)</f>
        <v>-1</v>
      </c>
      <c r="O31" s="13"/>
      <c r="P31" s="1">
        <f>SUM(OSRRefP22_1x_0)</f>
        <v>51305.1</v>
      </c>
      <c r="Q31" s="1"/>
      <c r="R31" s="5">
        <f t="shared" ref="R31:R36" si="25">IF(P$12=0,0,P31/P$12)</f>
        <v>0.18226475875394024</v>
      </c>
      <c r="S31" s="1"/>
      <c r="T31" s="1">
        <f>SUM(OSRRefT22_1x_0)</f>
        <v>35630.060000000005</v>
      </c>
      <c r="U31" s="1"/>
      <c r="V31" s="5">
        <f t="shared" ref="V31:V36" si="26">IF(T$12=0,0,T31/T$12)</f>
        <v>0.11906750417687968</v>
      </c>
      <c r="W31" s="1"/>
      <c r="X31" s="1">
        <f t="shared" ref="X31:X36" si="27">+P31-T31</f>
        <v>15675.039999999994</v>
      </c>
      <c r="Y31" s="1"/>
      <c r="Z31" s="5">
        <f t="shared" ref="Z31:Z36" si="28">IF(T31=0,0,X31/T31)</f>
        <v>0.43993863608424999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1"/>
        <v>0</v>
      </c>
      <c r="G32" s="2"/>
      <c r="H32" s="6"/>
      <c r="I32" s="2"/>
      <c r="J32" s="7">
        <f t="shared" si="22"/>
        <v>0</v>
      </c>
      <c r="K32" s="2"/>
      <c r="L32" s="6">
        <f t="shared" si="23"/>
        <v>0</v>
      </c>
      <c r="M32" s="2"/>
      <c r="N32" s="7">
        <f t="shared" si="24"/>
        <v>0</v>
      </c>
      <c r="O32" s="11"/>
      <c r="P32" s="6">
        <v>10272</v>
      </c>
      <c r="Q32" s="2"/>
      <c r="R32" s="7">
        <f t="shared" si="25"/>
        <v>3.6491958926509728E-2</v>
      </c>
      <c r="S32" s="2"/>
      <c r="T32" s="6"/>
      <c r="U32" s="2"/>
      <c r="V32" s="7">
        <f t="shared" si="26"/>
        <v>0</v>
      </c>
      <c r="W32" s="2"/>
      <c r="X32" s="6">
        <f t="shared" si="27"/>
        <v>10272</v>
      </c>
      <c r="Y32" s="2"/>
      <c r="Z32" s="7">
        <f t="shared" si="28"/>
        <v>0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1"/>
        <v>0</v>
      </c>
      <c r="G33" s="2"/>
      <c r="H33" s="6">
        <v>555.55999999999995</v>
      </c>
      <c r="I33" s="2"/>
      <c r="J33" s="7">
        <f t="shared" si="22"/>
        <v>1.611832093957196E-2</v>
      </c>
      <c r="K33" s="2"/>
      <c r="L33" s="6">
        <f t="shared" si="23"/>
        <v>-555.55999999999995</v>
      </c>
      <c r="M33" s="2"/>
      <c r="N33" s="7">
        <f t="shared" si="24"/>
        <v>-1</v>
      </c>
      <c r="O33" s="11"/>
      <c r="P33" s="6">
        <v>3822.17</v>
      </c>
      <c r="Q33" s="2"/>
      <c r="R33" s="7">
        <f t="shared" si="25"/>
        <v>1.3578511550831162E-2</v>
      </c>
      <c r="S33" s="2"/>
      <c r="T33" s="6">
        <v>2571.71</v>
      </c>
      <c r="U33" s="2"/>
      <c r="V33" s="7">
        <f t="shared" si="26"/>
        <v>8.5940661106583376E-3</v>
      </c>
      <c r="W33" s="2"/>
      <c r="X33" s="6">
        <f t="shared" si="27"/>
        <v>1250.46</v>
      </c>
      <c r="Y33" s="2"/>
      <c r="Z33" s="7">
        <f t="shared" si="28"/>
        <v>0.48623678408529736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13120.47</v>
      </c>
      <c r="Q34" s="2"/>
      <c r="R34" s="7">
        <f t="shared" si="25"/>
        <v>4.6611336870765491E-2</v>
      </c>
      <c r="S34" s="2"/>
      <c r="T34" s="6">
        <v>625.26</v>
      </c>
      <c r="U34" s="2"/>
      <c r="V34" s="7">
        <f t="shared" si="26"/>
        <v>2.0894757870639504E-3</v>
      </c>
      <c r="W34" s="2"/>
      <c r="X34" s="6">
        <f t="shared" si="27"/>
        <v>12495.21</v>
      </c>
      <c r="Y34" s="2"/>
      <c r="Z34" s="7">
        <f t="shared" si="28"/>
        <v>19.984022646579021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1"/>
        <v>0</v>
      </c>
      <c r="G35" s="2"/>
      <c r="H35" s="6">
        <v>2832.29</v>
      </c>
      <c r="I35" s="2"/>
      <c r="J35" s="7">
        <f t="shared" si="22"/>
        <v>8.2172509205018854E-2</v>
      </c>
      <c r="K35" s="2"/>
      <c r="L35" s="6">
        <f t="shared" si="23"/>
        <v>-2832.29</v>
      </c>
      <c r="M35" s="2"/>
      <c r="N35" s="7">
        <f t="shared" si="24"/>
        <v>-1</v>
      </c>
      <c r="O35" s="11"/>
      <c r="P35" s="6">
        <v>23036.15</v>
      </c>
      <c r="Q35" s="2"/>
      <c r="R35" s="7">
        <f t="shared" si="25"/>
        <v>8.1837445446350965E-2</v>
      </c>
      <c r="S35" s="2"/>
      <c r="T35" s="6">
        <v>30807.08</v>
      </c>
      <c r="U35" s="2"/>
      <c r="V35" s="7">
        <f t="shared" si="26"/>
        <v>0.10295020908124955</v>
      </c>
      <c r="W35" s="2"/>
      <c r="X35" s="6">
        <f t="shared" si="27"/>
        <v>-7770.93</v>
      </c>
      <c r="Y35" s="2"/>
      <c r="Z35" s="7">
        <f t="shared" si="28"/>
        <v>-0.25224493850114971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1"/>
        <v>0</v>
      </c>
      <c r="G36" s="2"/>
      <c r="H36" s="6">
        <v>377.25</v>
      </c>
      <c r="I36" s="2"/>
      <c r="J36" s="7">
        <f t="shared" si="22"/>
        <v>1.0945058273550154E-2</v>
      </c>
      <c r="K36" s="2"/>
      <c r="L36" s="6">
        <f t="shared" si="23"/>
        <v>-377.25</v>
      </c>
      <c r="M36" s="2"/>
      <c r="N36" s="7">
        <f t="shared" si="24"/>
        <v>-1</v>
      </c>
      <c r="O36" s="11"/>
      <c r="P36" s="6">
        <v>1054.31</v>
      </c>
      <c r="Q36" s="2"/>
      <c r="R36" s="7">
        <f t="shared" si="25"/>
        <v>3.7455059594829121E-3</v>
      </c>
      <c r="S36" s="2"/>
      <c r="T36" s="6">
        <v>1626.01</v>
      </c>
      <c r="U36" s="2"/>
      <c r="V36" s="7">
        <f t="shared" si="26"/>
        <v>5.4337531979078372E-3</v>
      </c>
      <c r="W36" s="2"/>
      <c r="X36" s="6">
        <f t="shared" si="27"/>
        <v>-571.70000000000005</v>
      </c>
      <c r="Y36" s="2"/>
      <c r="Z36" s="7">
        <f t="shared" si="28"/>
        <v>-0.35159685364788656</v>
      </c>
    </row>
    <row r="37" spans="1:26" s="25" customFormat="1" outlineLevel="1" collapsed="1" x14ac:dyDescent="0.25">
      <c r="A37" s="26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0" si="29">IF(D$12=0,0,D37/D$12)</f>
        <v>0</v>
      </c>
      <c r="G37" s="1"/>
      <c r="H37" s="1">
        <f>SUM(OSRRefH22_2x_0)</f>
        <v>92</v>
      </c>
      <c r="I37" s="1"/>
      <c r="J37" s="5">
        <f t="shared" ref="J37:J50" si="30">IF(H$12=0,0,H37/H$12)</f>
        <v>2.6691725942123634E-3</v>
      </c>
      <c r="K37" s="1"/>
      <c r="L37" s="1">
        <f t="shared" ref="L37:L50" si="31">+D37-H37</f>
        <v>-92</v>
      </c>
      <c r="M37" s="1"/>
      <c r="N37" s="5">
        <f t="shared" ref="N37:N50" si="32">IF(H37=0,0,L37/H37)</f>
        <v>-1</v>
      </c>
      <c r="O37" s="13"/>
      <c r="P37" s="1">
        <f>SUM(OSRRefP22_2x_0)</f>
        <v>2.4900000000000002</v>
      </c>
      <c r="Q37" s="1"/>
      <c r="R37" s="5">
        <f t="shared" ref="R37:R50" si="33">IF(P$12=0,0,P37/P$12)</f>
        <v>8.8458895762275348E-6</v>
      </c>
      <c r="S37" s="1"/>
      <c r="T37" s="1">
        <f>SUM(OSRRefT22_2x_0)</f>
        <v>516.5</v>
      </c>
      <c r="U37" s="1"/>
      <c r="V37" s="5">
        <f t="shared" ref="V37:V50" si="34">IF(T$12=0,0,T37/T$12)</f>
        <v>1.7260247641277715E-3</v>
      </c>
      <c r="W37" s="1"/>
      <c r="X37" s="1">
        <f t="shared" ref="X37:X50" si="35">+P37-T37</f>
        <v>-514.01</v>
      </c>
      <c r="Y37" s="1"/>
      <c r="Z37" s="5">
        <f t="shared" ref="Z37:Z50" si="36">IF(T37=0,0,X37/T37)</f>
        <v>-0.99517909002904159</v>
      </c>
    </row>
    <row r="38" spans="1:26" s="24" customFormat="1" hidden="1" outlineLevel="2" x14ac:dyDescent="0.25">
      <c r="A38" s="27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9"/>
        <v>0</v>
      </c>
      <c r="G38" s="2"/>
      <c r="H38" s="6">
        <v>92</v>
      </c>
      <c r="I38" s="2"/>
      <c r="J38" s="7">
        <f t="shared" si="30"/>
        <v>2.6691725942123634E-3</v>
      </c>
      <c r="K38" s="2"/>
      <c r="L38" s="6">
        <f t="shared" si="31"/>
        <v>-92</v>
      </c>
      <c r="M38" s="2"/>
      <c r="N38" s="7">
        <f t="shared" si="32"/>
        <v>-1</v>
      </c>
      <c r="O38" s="11"/>
      <c r="P38" s="6">
        <v>2.4900000000000002</v>
      </c>
      <c r="Q38" s="2"/>
      <c r="R38" s="7">
        <f t="shared" si="33"/>
        <v>8.8458895762275348E-6</v>
      </c>
      <c r="S38" s="2"/>
      <c r="T38" s="6">
        <v>516.5</v>
      </c>
      <c r="U38" s="2"/>
      <c r="V38" s="7">
        <f t="shared" si="34"/>
        <v>1.7260247641277715E-3</v>
      </c>
      <c r="W38" s="2"/>
      <c r="X38" s="6">
        <f t="shared" si="35"/>
        <v>-514.01</v>
      </c>
      <c r="Y38" s="2"/>
      <c r="Z38" s="7">
        <f t="shared" si="36"/>
        <v>-0.99517909002904159</v>
      </c>
    </row>
    <row r="39" spans="1:26" s="25" customFormat="1" outlineLevel="1" collapsed="1" x14ac:dyDescent="0.25">
      <c r="A39" s="26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29"/>
        <v>0</v>
      </c>
      <c r="G39" s="1"/>
      <c r="H39" s="1">
        <f>SUM(OSRRefH22_3x_0)</f>
        <v>-24.93</v>
      </c>
      <c r="I39" s="1"/>
      <c r="J39" s="5">
        <f t="shared" si="30"/>
        <v>-7.2328774754037192E-4</v>
      </c>
      <c r="K39" s="1"/>
      <c r="L39" s="1">
        <f t="shared" si="31"/>
        <v>24.93</v>
      </c>
      <c r="M39" s="1"/>
      <c r="N39" s="5">
        <f t="shared" si="32"/>
        <v>-1</v>
      </c>
      <c r="O39" s="13"/>
      <c r="P39" s="1">
        <f>SUM(OSRRefP22_3x_0)</f>
        <v>-74.03</v>
      </c>
      <c r="Q39" s="1"/>
      <c r="R39" s="5">
        <f t="shared" si="33"/>
        <v>-2.6299646800326276E-4</v>
      </c>
      <c r="S39" s="1"/>
      <c r="T39" s="1">
        <f>SUM(OSRRefT22_3x_0)</f>
        <v>-119.15</v>
      </c>
      <c r="U39" s="1"/>
      <c r="V39" s="5">
        <f t="shared" si="34"/>
        <v>-3.9817202448368631E-4</v>
      </c>
      <c r="W39" s="1"/>
      <c r="X39" s="1">
        <f t="shared" si="35"/>
        <v>45.120000000000005</v>
      </c>
      <c r="Y39" s="1"/>
      <c r="Z39" s="5">
        <f t="shared" si="36"/>
        <v>-0.37868233319345362</v>
      </c>
    </row>
    <row r="40" spans="1:26" s="24" customFormat="1" hidden="1" outlineLevel="2" x14ac:dyDescent="0.25">
      <c r="A40" s="27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29"/>
        <v>0</v>
      </c>
      <c r="G40" s="2"/>
      <c r="H40" s="6">
        <v>-24.93</v>
      </c>
      <c r="I40" s="2"/>
      <c r="J40" s="7">
        <f t="shared" si="30"/>
        <v>-7.2328774754037192E-4</v>
      </c>
      <c r="K40" s="2"/>
      <c r="L40" s="6">
        <f t="shared" si="31"/>
        <v>24.93</v>
      </c>
      <c r="M40" s="2"/>
      <c r="N40" s="7">
        <f t="shared" si="32"/>
        <v>-1</v>
      </c>
      <c r="O40" s="11"/>
      <c r="P40" s="6">
        <v>-74.03</v>
      </c>
      <c r="Q40" s="2"/>
      <c r="R40" s="7">
        <f t="shared" si="33"/>
        <v>-2.6299646800326276E-4</v>
      </c>
      <c r="S40" s="2"/>
      <c r="T40" s="6">
        <v>-119.15</v>
      </c>
      <c r="U40" s="2"/>
      <c r="V40" s="7">
        <f t="shared" si="34"/>
        <v>-3.9817202448368631E-4</v>
      </c>
      <c r="W40" s="2"/>
      <c r="X40" s="6">
        <f t="shared" si="35"/>
        <v>45.120000000000005</v>
      </c>
      <c r="Y40" s="2"/>
      <c r="Z40" s="7">
        <f t="shared" si="36"/>
        <v>-0.37868233319345362</v>
      </c>
    </row>
    <row r="41" spans="1:26" s="25" customFormat="1" outlineLevel="1" collapsed="1" x14ac:dyDescent="0.25">
      <c r="A41" s="26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29"/>
        <v>0</v>
      </c>
      <c r="G41" s="1"/>
      <c r="H41" s="1">
        <f>SUM(OSRRefH22_4x_0)</f>
        <v>811.6</v>
      </c>
      <c r="I41" s="1"/>
      <c r="J41" s="5">
        <f t="shared" si="30"/>
        <v>2.3546744320247327E-2</v>
      </c>
      <c r="K41" s="1"/>
      <c r="L41" s="1">
        <f t="shared" si="31"/>
        <v>-811.6</v>
      </c>
      <c r="M41" s="1"/>
      <c r="N41" s="5">
        <f t="shared" si="32"/>
        <v>-1</v>
      </c>
      <c r="O41" s="13"/>
      <c r="P41" s="1">
        <f>SUM(OSRRefP22_4x_0)</f>
        <v>10703.22</v>
      </c>
      <c r="Q41" s="1"/>
      <c r="R41" s="5">
        <f t="shared" si="33"/>
        <v>3.802389647793978E-2</v>
      </c>
      <c r="S41" s="1"/>
      <c r="T41" s="1">
        <f>SUM(OSRRefT22_4x_0)</f>
        <v>9330.66</v>
      </c>
      <c r="U41" s="1"/>
      <c r="V41" s="5">
        <f t="shared" si="34"/>
        <v>3.1180929768937913E-2</v>
      </c>
      <c r="W41" s="1"/>
      <c r="X41" s="1">
        <f t="shared" si="35"/>
        <v>1372.5599999999995</v>
      </c>
      <c r="Y41" s="1"/>
      <c r="Z41" s="5">
        <f t="shared" si="36"/>
        <v>0.14710213425416846</v>
      </c>
    </row>
    <row r="42" spans="1:26" s="24" customFormat="1" hidden="1" outlineLevel="2" x14ac:dyDescent="0.25">
      <c r="A42" s="27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29"/>
        <v>0</v>
      </c>
      <c r="G42" s="2"/>
      <c r="H42" s="6">
        <v>811.6</v>
      </c>
      <c r="I42" s="2"/>
      <c r="J42" s="7">
        <f t="shared" si="30"/>
        <v>2.3546744320247327E-2</v>
      </c>
      <c r="K42" s="2"/>
      <c r="L42" s="6">
        <f t="shared" si="31"/>
        <v>-811.6</v>
      </c>
      <c r="M42" s="2"/>
      <c r="N42" s="7">
        <f t="shared" si="32"/>
        <v>-1</v>
      </c>
      <c r="O42" s="11"/>
      <c r="P42" s="6">
        <v>10703.22</v>
      </c>
      <c r="Q42" s="2"/>
      <c r="R42" s="7">
        <f t="shared" si="33"/>
        <v>3.802389647793978E-2</v>
      </c>
      <c r="S42" s="2"/>
      <c r="T42" s="6">
        <v>9330.66</v>
      </c>
      <c r="U42" s="2"/>
      <c r="V42" s="7">
        <f t="shared" si="34"/>
        <v>3.1180929768937913E-2</v>
      </c>
      <c r="W42" s="2"/>
      <c r="X42" s="6">
        <f t="shared" si="35"/>
        <v>1372.5599999999995</v>
      </c>
      <c r="Y42" s="2"/>
      <c r="Z42" s="7">
        <f t="shared" si="36"/>
        <v>0.14710213425416846</v>
      </c>
    </row>
    <row r="43" spans="1:26" s="25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1075.3699999999999</v>
      </c>
      <c r="E43" s="1"/>
      <c r="F43" s="5">
        <f t="shared" si="29"/>
        <v>0</v>
      </c>
      <c r="G43" s="1"/>
      <c r="H43" s="1">
        <f>SUM(OSRRefH22_5x_0)</f>
        <v>968.86</v>
      </c>
      <c r="I43" s="1"/>
      <c r="J43" s="5">
        <f t="shared" si="30"/>
        <v>2.8109288691615112E-2</v>
      </c>
      <c r="K43" s="1"/>
      <c r="L43" s="1">
        <f t="shared" si="31"/>
        <v>106.50999999999988</v>
      </c>
      <c r="M43" s="1"/>
      <c r="N43" s="5">
        <f t="shared" si="32"/>
        <v>0.10993332370001845</v>
      </c>
      <c r="O43" s="13"/>
      <c r="P43" s="1">
        <f>SUM(OSRRefP22_5x_0)</f>
        <v>9901.6200000000008</v>
      </c>
      <c r="Q43" s="1"/>
      <c r="R43" s="5">
        <f t="shared" si="33"/>
        <v>3.5176159496291597E-2</v>
      </c>
      <c r="S43" s="1"/>
      <c r="T43" s="1">
        <f>SUM(OSRRefT22_5x_0)</f>
        <v>9688.6</v>
      </c>
      <c r="U43" s="1"/>
      <c r="V43" s="5">
        <f t="shared" si="34"/>
        <v>3.2377083310219414E-2</v>
      </c>
      <c r="W43" s="1"/>
      <c r="X43" s="1">
        <f t="shared" si="35"/>
        <v>213.02000000000044</v>
      </c>
      <c r="Y43" s="1"/>
      <c r="Z43" s="5">
        <f t="shared" si="36"/>
        <v>2.1986664740003759E-2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1075.3699999999999</v>
      </c>
      <c r="E44" s="2"/>
      <c r="F44" s="7">
        <f t="shared" si="29"/>
        <v>0</v>
      </c>
      <c r="G44" s="2"/>
      <c r="H44" s="6">
        <v>968.86</v>
      </c>
      <c r="I44" s="2"/>
      <c r="J44" s="7">
        <f t="shared" si="30"/>
        <v>2.8109288691615112E-2</v>
      </c>
      <c r="K44" s="2"/>
      <c r="L44" s="6">
        <f t="shared" si="31"/>
        <v>106.50999999999988</v>
      </c>
      <c r="M44" s="2"/>
      <c r="N44" s="7">
        <f t="shared" si="32"/>
        <v>0.10993332370001845</v>
      </c>
      <c r="O44" s="11"/>
      <c r="P44" s="6">
        <v>9901.6200000000008</v>
      </c>
      <c r="Q44" s="2"/>
      <c r="R44" s="7">
        <f t="shared" si="33"/>
        <v>3.5176159496291597E-2</v>
      </c>
      <c r="S44" s="2"/>
      <c r="T44" s="6">
        <v>9688.6</v>
      </c>
      <c r="U44" s="2"/>
      <c r="V44" s="7">
        <f t="shared" si="34"/>
        <v>3.2377083310219414E-2</v>
      </c>
      <c r="W44" s="2"/>
      <c r="X44" s="6">
        <f t="shared" si="35"/>
        <v>213.02000000000044</v>
      </c>
      <c r="Y44" s="2"/>
      <c r="Z44" s="7">
        <f t="shared" si="36"/>
        <v>2.1986664740003759E-2</v>
      </c>
    </row>
    <row r="45" spans="1:26" s="25" customFormat="1" outlineLevel="1" collapsed="1" x14ac:dyDescent="0.25">
      <c r="A45" s="26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si="29"/>
        <v>0</v>
      </c>
      <c r="G45" s="1"/>
      <c r="H45" s="1">
        <f>SUM(OSRRefH22_6x_0)</f>
        <v>1.5</v>
      </c>
      <c r="I45" s="1"/>
      <c r="J45" s="5">
        <f t="shared" si="30"/>
        <v>4.351911838389723E-5</v>
      </c>
      <c r="K45" s="1"/>
      <c r="L45" s="1">
        <f t="shared" si="31"/>
        <v>-1.5</v>
      </c>
      <c r="M45" s="1"/>
      <c r="N45" s="5">
        <f t="shared" si="32"/>
        <v>-1</v>
      </c>
      <c r="O45" s="13"/>
      <c r="P45" s="1">
        <f>SUM(OSRRefP22_6x_0)</f>
        <v>1356.19</v>
      </c>
      <c r="Q45" s="1"/>
      <c r="R45" s="5">
        <f t="shared" si="33"/>
        <v>4.8179546122024174E-3</v>
      </c>
      <c r="S45" s="1"/>
      <c r="T45" s="1">
        <f>SUM(OSRRefT22_6x_0)</f>
        <v>1263.54</v>
      </c>
      <c r="U45" s="1"/>
      <c r="V45" s="5">
        <f t="shared" si="34"/>
        <v>4.2224614336224672E-3</v>
      </c>
      <c r="W45" s="1"/>
      <c r="X45" s="1">
        <f t="shared" si="35"/>
        <v>92.650000000000091</v>
      </c>
      <c r="Y45" s="1"/>
      <c r="Z45" s="5">
        <f t="shared" si="36"/>
        <v>7.3325735631638175E-2</v>
      </c>
    </row>
    <row r="46" spans="1:26" s="24" customFormat="1" hidden="1" outlineLevel="2" x14ac:dyDescent="0.25">
      <c r="A46" s="27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9"/>
        <v>0</v>
      </c>
      <c r="G46" s="2"/>
      <c r="H46" s="6">
        <v>1.5</v>
      </c>
      <c r="I46" s="2"/>
      <c r="J46" s="7">
        <f t="shared" si="30"/>
        <v>4.351911838389723E-5</v>
      </c>
      <c r="K46" s="2"/>
      <c r="L46" s="6">
        <f t="shared" si="31"/>
        <v>-1.5</v>
      </c>
      <c r="M46" s="2"/>
      <c r="N46" s="7">
        <f t="shared" si="32"/>
        <v>-1</v>
      </c>
      <c r="O46" s="11"/>
      <c r="P46" s="6">
        <v>1356.19</v>
      </c>
      <c r="Q46" s="2"/>
      <c r="R46" s="7">
        <f t="shared" si="33"/>
        <v>4.8179546122024174E-3</v>
      </c>
      <c r="S46" s="2"/>
      <c r="T46" s="6">
        <v>1263.54</v>
      </c>
      <c r="U46" s="2"/>
      <c r="V46" s="7">
        <f t="shared" si="34"/>
        <v>4.2224614336224672E-3</v>
      </c>
      <c r="W46" s="2"/>
      <c r="X46" s="6">
        <f t="shared" si="35"/>
        <v>92.650000000000091</v>
      </c>
      <c r="Y46" s="2"/>
      <c r="Z46" s="7">
        <f t="shared" si="36"/>
        <v>7.3325735631638175E-2</v>
      </c>
    </row>
    <row r="47" spans="1:26" s="25" customFormat="1" outlineLevel="1" collapsed="1" x14ac:dyDescent="0.25">
      <c r="A47" s="26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SUM(OSRRefD22_7x_0)</f>
        <v>0</v>
      </c>
      <c r="E47" s="1"/>
      <c r="F47" s="5">
        <f t="shared" si="29"/>
        <v>0</v>
      </c>
      <c r="G47" s="1"/>
      <c r="H47" s="1">
        <f>SUM(OSRRefH22_7x_0)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SUM(OSRRefP22_7x_0)</f>
        <v>1665.12</v>
      </c>
      <c r="Q47" s="1"/>
      <c r="R47" s="5">
        <f t="shared" si="33"/>
        <v>5.9154488558907587E-3</v>
      </c>
      <c r="S47" s="1"/>
      <c r="T47" s="1">
        <f>SUM(OSRRefT22_7x_0)</f>
        <v>1461.38</v>
      </c>
      <c r="U47" s="1"/>
      <c r="V47" s="5">
        <f t="shared" si="34"/>
        <v>4.8835974245905961E-3</v>
      </c>
      <c r="W47" s="1"/>
      <c r="X47" s="1">
        <f t="shared" si="35"/>
        <v>203.73999999999978</v>
      </c>
      <c r="Y47" s="1"/>
      <c r="Z47" s="5">
        <f t="shared" si="36"/>
        <v>0.13941616827929748</v>
      </c>
    </row>
    <row r="48" spans="1:26" s="24" customFormat="1" hidden="1" outlineLevel="2" x14ac:dyDescent="0.25">
      <c r="A48" s="27"/>
      <c r="B48" s="11" t="str">
        <f>CONCATENATE("          ", "6371", " - ", "COMPUTER SOFTWARE MAINTENANCE")</f>
        <v xml:space="preserve">          6371 - COMPUTER SOFTWARE MAINTENANCE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437.31</v>
      </c>
      <c r="Q48" s="2"/>
      <c r="R48" s="7">
        <f t="shared" si="33"/>
        <v>1.5535726789478164E-3</v>
      </c>
      <c r="S48" s="2"/>
      <c r="T48" s="6"/>
      <c r="U48" s="2"/>
      <c r="V48" s="7">
        <f t="shared" si="34"/>
        <v>0</v>
      </c>
      <c r="W48" s="2"/>
      <c r="X48" s="6">
        <f t="shared" si="35"/>
        <v>437.31</v>
      </c>
      <c r="Y48" s="2"/>
      <c r="Z48" s="7">
        <f t="shared" si="36"/>
        <v>0</v>
      </c>
    </row>
    <row r="49" spans="1:26" s="24" customFormat="1" hidden="1" outlineLevel="2" x14ac:dyDescent="0.25">
      <c r="A49" s="27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141.44999999999999</v>
      </c>
      <c r="Q49" s="2"/>
      <c r="R49" s="7">
        <f t="shared" si="33"/>
        <v>5.025104741194315E-4</v>
      </c>
      <c r="S49" s="2"/>
      <c r="T49" s="6">
        <v>134.94</v>
      </c>
      <c r="U49" s="2"/>
      <c r="V49" s="7">
        <f t="shared" si="34"/>
        <v>4.5093858987686639E-4</v>
      </c>
      <c r="W49" s="2"/>
      <c r="X49" s="6">
        <f t="shared" si="35"/>
        <v>6.5099999999999909</v>
      </c>
      <c r="Y49" s="2"/>
      <c r="Z49" s="7">
        <f t="shared" si="36"/>
        <v>4.8243663850600201E-2</v>
      </c>
    </row>
    <row r="50" spans="1:26" s="24" customFormat="1" hidden="1" outlineLevel="2" x14ac:dyDescent="0.25">
      <c r="A50" s="27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1"/>
      <c r="P50" s="6">
        <v>1086.3599999999999</v>
      </c>
      <c r="Q50" s="2"/>
      <c r="R50" s="7">
        <f t="shared" si="33"/>
        <v>3.8593657028235112E-3</v>
      </c>
      <c r="S50" s="2"/>
      <c r="T50" s="6">
        <v>1326.44</v>
      </c>
      <c r="U50" s="2"/>
      <c r="V50" s="7">
        <f t="shared" si="34"/>
        <v>4.4326588347137295E-3</v>
      </c>
      <c r="W50" s="2"/>
      <c r="X50" s="6">
        <f t="shared" si="35"/>
        <v>-240.08000000000015</v>
      </c>
      <c r="Y50" s="2"/>
      <c r="Z50" s="7">
        <f t="shared" si="36"/>
        <v>-0.1809957480172493</v>
      </c>
    </row>
    <row r="51" spans="1:26" s="25" customFormat="1" outlineLevel="1" collapsed="1" x14ac:dyDescent="0.25">
      <c r="A51" s="26"/>
      <c r="B51" s="13" t="str">
        <f>CONCATENATE("     ","Royalty &amp; Commissions                             ")</f>
        <v xml:space="preserve">     Royalty &amp; Commissions                             </v>
      </c>
      <c r="C51" s="13"/>
      <c r="D51" s="1">
        <f>SUM(OSRRefD22_8x_0)</f>
        <v>0</v>
      </c>
      <c r="E51" s="1"/>
      <c r="F51" s="5">
        <f t="shared" ref="F51:F56" si="37">IF(D$12=0,0,D51/D$12)</f>
        <v>0</v>
      </c>
      <c r="G51" s="1"/>
      <c r="H51" s="1">
        <f>SUM(OSRRefH22_8x_0)</f>
        <v>0</v>
      </c>
      <c r="I51" s="1"/>
      <c r="J51" s="5">
        <f t="shared" ref="J51:J56" si="38">IF(H$12=0,0,H51/H$12)</f>
        <v>0</v>
      </c>
      <c r="K51" s="1"/>
      <c r="L51" s="1">
        <f t="shared" ref="L51:L56" si="39">+D51-H51</f>
        <v>0</v>
      </c>
      <c r="M51" s="1"/>
      <c r="N51" s="5">
        <f t="shared" ref="N51:N56" si="40">IF(H51=0,0,L51/H51)</f>
        <v>0</v>
      </c>
      <c r="O51" s="13"/>
      <c r="P51" s="1">
        <f>SUM(OSRRefP22_8x_0)</f>
        <v>24556.14</v>
      </c>
      <c r="Q51" s="1"/>
      <c r="R51" s="5">
        <f t="shared" ref="R51:R56" si="41">IF(P$12=0,0,P51/P$12)</f>
        <v>8.7237310384893171E-2</v>
      </c>
      <c r="S51" s="1"/>
      <c r="T51" s="1">
        <f>SUM(OSRRefT22_8x_0)</f>
        <v>22801.38</v>
      </c>
      <c r="U51" s="1"/>
      <c r="V51" s="5">
        <f t="shared" ref="V51:V56" si="42">IF(T$12=0,0,T51/T$12)</f>
        <v>7.6196992325823221E-2</v>
      </c>
      <c r="W51" s="1"/>
      <c r="X51" s="1">
        <f t="shared" ref="X51:X56" si="43">+P51-T51</f>
        <v>1754.7599999999984</v>
      </c>
      <c r="Y51" s="1"/>
      <c r="Z51" s="5">
        <f t="shared" ref="Z51:Z56" si="44">IF(T51=0,0,X51/T51)</f>
        <v>7.6958499880270329E-2</v>
      </c>
    </row>
    <row r="52" spans="1:26" s="24" customFormat="1" hidden="1" outlineLevel="2" x14ac:dyDescent="0.25">
      <c r="A52" s="27"/>
      <c r="B52" s="11" t="str">
        <f>CONCATENATE("          ", "6254", " - ", "ROYALTY &amp; COMMISSIONS")</f>
        <v xml:space="preserve">          6254 - ROYALTY &amp; COMMISSIONS</v>
      </c>
      <c r="C52" s="11"/>
      <c r="D52" s="6"/>
      <c r="E52" s="2"/>
      <c r="F52" s="7">
        <f t="shared" si="37"/>
        <v>0</v>
      </c>
      <c r="G52" s="2"/>
      <c r="H52" s="6"/>
      <c r="I52" s="2"/>
      <c r="J52" s="7">
        <f t="shared" si="38"/>
        <v>0</v>
      </c>
      <c r="K52" s="2"/>
      <c r="L52" s="6">
        <f t="shared" si="39"/>
        <v>0</v>
      </c>
      <c r="M52" s="2"/>
      <c r="N52" s="7">
        <f t="shared" si="40"/>
        <v>0</v>
      </c>
      <c r="O52" s="11"/>
      <c r="P52" s="6">
        <v>24556.14</v>
      </c>
      <c r="Q52" s="2"/>
      <c r="R52" s="7">
        <f t="shared" si="41"/>
        <v>8.7237310384893171E-2</v>
      </c>
      <c r="S52" s="2"/>
      <c r="T52" s="6">
        <v>22801.38</v>
      </c>
      <c r="U52" s="2"/>
      <c r="V52" s="7">
        <f t="shared" si="42"/>
        <v>7.6196992325823221E-2</v>
      </c>
      <c r="W52" s="2"/>
      <c r="X52" s="6">
        <f t="shared" si="43"/>
        <v>1754.7599999999984</v>
      </c>
      <c r="Y52" s="2"/>
      <c r="Z52" s="7">
        <f t="shared" si="44"/>
        <v>7.6958499880270329E-2</v>
      </c>
    </row>
    <row r="53" spans="1:26" s="25" customFormat="1" outlineLevel="1" collapsed="1" x14ac:dyDescent="0.25">
      <c r="A53" s="26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SUM(OSRRefD22_9x_0)</f>
        <v>65.22</v>
      </c>
      <c r="E53" s="1"/>
      <c r="F53" s="5">
        <f t="shared" si="37"/>
        <v>0</v>
      </c>
      <c r="G53" s="1"/>
      <c r="H53" s="1">
        <f>SUM(OSRRefH22_9x_0)</f>
        <v>218.47</v>
      </c>
      <c r="I53" s="1"/>
      <c r="J53" s="5">
        <f t="shared" si="38"/>
        <v>6.338414528886685E-3</v>
      </c>
      <c r="K53" s="1"/>
      <c r="L53" s="1">
        <f t="shared" si="39"/>
        <v>-153.25</v>
      </c>
      <c r="M53" s="1"/>
      <c r="N53" s="5">
        <f t="shared" si="40"/>
        <v>-0.70146930928731632</v>
      </c>
      <c r="O53" s="13"/>
      <c r="P53" s="1">
        <f>SUM(OSRRefP22_9x_0)</f>
        <v>1895.1799999999998</v>
      </c>
      <c r="Q53" s="1"/>
      <c r="R53" s="5">
        <f t="shared" si="41"/>
        <v>6.7327522116766647E-3</v>
      </c>
      <c r="S53" s="1"/>
      <c r="T53" s="1">
        <f>SUM(OSRRefT22_9x_0)</f>
        <v>1654.5</v>
      </c>
      <c r="U53" s="1"/>
      <c r="V53" s="5">
        <f t="shared" si="42"/>
        <v>5.5289602560491735E-3</v>
      </c>
      <c r="W53" s="1"/>
      <c r="X53" s="1">
        <f t="shared" si="43"/>
        <v>240.67999999999984</v>
      </c>
      <c r="Y53" s="1"/>
      <c r="Z53" s="5">
        <f t="shared" si="44"/>
        <v>0.14546993049259585</v>
      </c>
    </row>
    <row r="54" spans="1:26" s="24" customFormat="1" hidden="1" outlineLevel="2" x14ac:dyDescent="0.25">
      <c r="A54" s="27"/>
      <c r="B54" s="11" t="str">
        <f>CONCATENATE("          ", "6282", " - ", "JANITORIAL/EXTERMINATOR EXPENS")</f>
        <v xml:space="preserve">          6282 - JANITORIAL/EXTERMINATOR EXPENS</v>
      </c>
      <c r="C54" s="11"/>
      <c r="D54" s="6">
        <v>41</v>
      </c>
      <c r="E54" s="2"/>
      <c r="F54" s="7">
        <f t="shared" si="37"/>
        <v>0</v>
      </c>
      <c r="G54" s="2"/>
      <c r="H54" s="6">
        <v>38.5</v>
      </c>
      <c r="I54" s="2"/>
      <c r="J54" s="7">
        <f t="shared" si="38"/>
        <v>1.1169907051866955E-3</v>
      </c>
      <c r="K54" s="2"/>
      <c r="L54" s="6">
        <f t="shared" si="39"/>
        <v>2.5</v>
      </c>
      <c r="M54" s="2"/>
      <c r="N54" s="7">
        <f t="shared" si="40"/>
        <v>6.4935064935064929E-2</v>
      </c>
      <c r="O54" s="11"/>
      <c r="P54" s="6">
        <v>328</v>
      </c>
      <c r="Q54" s="2"/>
      <c r="R54" s="7">
        <f t="shared" si="41"/>
        <v>1.1652416791175224E-3</v>
      </c>
      <c r="S54" s="2"/>
      <c r="T54" s="6">
        <v>308</v>
      </c>
      <c r="U54" s="2"/>
      <c r="V54" s="7">
        <f t="shared" si="42"/>
        <v>1.0292654934198522E-3</v>
      </c>
      <c r="W54" s="2"/>
      <c r="X54" s="6">
        <f t="shared" si="43"/>
        <v>20</v>
      </c>
      <c r="Y54" s="2"/>
      <c r="Z54" s="7">
        <f t="shared" si="44"/>
        <v>6.4935064935064929E-2</v>
      </c>
    </row>
    <row r="55" spans="1:26" s="24" customFormat="1" hidden="1" outlineLevel="2" x14ac:dyDescent="0.25">
      <c r="A55" s="27"/>
      <c r="B55" s="11" t="str">
        <f>CONCATENATE("          ", "6285", " - ", "JANITORIAL SERVICES")</f>
        <v xml:space="preserve">          6285 - JANITORIAL SERVICES</v>
      </c>
      <c r="C55" s="11"/>
      <c r="D55" s="6">
        <v>24.22</v>
      </c>
      <c r="E55" s="2"/>
      <c r="F55" s="7">
        <f t="shared" si="37"/>
        <v>0</v>
      </c>
      <c r="G55" s="2"/>
      <c r="H55" s="6">
        <v>22.62</v>
      </c>
      <c r="I55" s="2"/>
      <c r="J55" s="7">
        <f t="shared" si="38"/>
        <v>6.5626830522917028E-4</v>
      </c>
      <c r="K55" s="2"/>
      <c r="L55" s="6">
        <f t="shared" si="39"/>
        <v>1.5999999999999979</v>
      </c>
      <c r="M55" s="2"/>
      <c r="N55" s="7">
        <f t="shared" si="40"/>
        <v>7.0733863837312019E-2</v>
      </c>
      <c r="O55" s="11"/>
      <c r="P55" s="6">
        <v>232.6</v>
      </c>
      <c r="Q55" s="2"/>
      <c r="R55" s="7">
        <f t="shared" si="41"/>
        <v>8.2632687366687718E-4</v>
      </c>
      <c r="S55" s="2"/>
      <c r="T55" s="6">
        <v>193.86</v>
      </c>
      <c r="U55" s="2"/>
      <c r="V55" s="7">
        <f t="shared" si="42"/>
        <v>6.4783574205965117E-4</v>
      </c>
      <c r="W55" s="2"/>
      <c r="X55" s="6">
        <f t="shared" si="43"/>
        <v>38.739999999999981</v>
      </c>
      <c r="Y55" s="2"/>
      <c r="Z55" s="7">
        <f t="shared" si="44"/>
        <v>0.19983493242546155</v>
      </c>
    </row>
    <row r="56" spans="1:26" s="24" customFormat="1" hidden="1" outlineLevel="2" x14ac:dyDescent="0.25">
      <c r="A56" s="27"/>
      <c r="B56" s="11" t="str">
        <f>CONCATENATE("          ", "6286", " - ", "LAUNDRY EXPENSE")</f>
        <v xml:space="preserve">          6286 - LAUNDRY EXPENSE</v>
      </c>
      <c r="C56" s="11"/>
      <c r="D56" s="6"/>
      <c r="E56" s="2"/>
      <c r="F56" s="7">
        <f t="shared" si="37"/>
        <v>0</v>
      </c>
      <c r="G56" s="2"/>
      <c r="H56" s="6">
        <v>157.35</v>
      </c>
      <c r="I56" s="2"/>
      <c r="J56" s="7">
        <f t="shared" si="38"/>
        <v>4.5651555184708188E-3</v>
      </c>
      <c r="K56" s="2"/>
      <c r="L56" s="6">
        <f t="shared" si="39"/>
        <v>-157.35</v>
      </c>
      <c r="M56" s="2"/>
      <c r="N56" s="7">
        <f t="shared" si="40"/>
        <v>-1</v>
      </c>
      <c r="O56" s="11"/>
      <c r="P56" s="6">
        <v>1334.58</v>
      </c>
      <c r="Q56" s="2"/>
      <c r="R56" s="7">
        <f t="shared" si="41"/>
        <v>4.7411836588922658E-3</v>
      </c>
      <c r="S56" s="2"/>
      <c r="T56" s="6">
        <v>1152.6400000000001</v>
      </c>
      <c r="U56" s="2"/>
      <c r="V56" s="7">
        <f t="shared" si="42"/>
        <v>3.8518590205696705E-3</v>
      </c>
      <c r="W56" s="2"/>
      <c r="X56" s="6">
        <f t="shared" si="43"/>
        <v>181.93999999999983</v>
      </c>
      <c r="Y56" s="2"/>
      <c r="Z56" s="7">
        <f t="shared" si="44"/>
        <v>0.15784633536923914</v>
      </c>
    </row>
    <row r="57" spans="1:26" s="25" customFormat="1" outlineLevel="1" collapsed="1" x14ac:dyDescent="0.25">
      <c r="A57" s="26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SUM(OSRRefD22_10x_0)</f>
        <v>25</v>
      </c>
      <c r="E57" s="1"/>
      <c r="F57" s="5">
        <f t="shared" ref="F57:F63" si="45">IF(D$12=0,0,D57/D$12)</f>
        <v>0</v>
      </c>
      <c r="G57" s="1"/>
      <c r="H57" s="1">
        <f>SUM(OSRRefH22_10x_0)</f>
        <v>1122.2800000000002</v>
      </c>
      <c r="I57" s="1"/>
      <c r="J57" s="5">
        <f t="shared" ref="J57:J63" si="46">IF(H$12=0,0,H57/H$12)</f>
        <v>3.2560424119920127E-2</v>
      </c>
      <c r="K57" s="1"/>
      <c r="L57" s="1">
        <f t="shared" ref="L57:L63" si="47">+D57-H57</f>
        <v>-1097.2800000000002</v>
      </c>
      <c r="M57" s="1"/>
      <c r="N57" s="5">
        <f t="shared" ref="N57:N63" si="48">IF(H57=0,0,L57/H57)</f>
        <v>-0.97772391916455792</v>
      </c>
      <c r="O57" s="13"/>
      <c r="P57" s="1">
        <f>SUM(OSRRefP22_10x_0)</f>
        <v>7627.1100000000006</v>
      </c>
      <c r="Q57" s="1"/>
      <c r="R57" s="5">
        <f t="shared" ref="R57:R63" si="49">IF(P$12=0,0,P57/P$12)</f>
        <v>2.7095812387847706E-2</v>
      </c>
      <c r="S57" s="1"/>
      <c r="T57" s="1">
        <f>SUM(OSRRefT22_10x_0)</f>
        <v>4837.9299999999994</v>
      </c>
      <c r="U57" s="1"/>
      <c r="V57" s="5">
        <f t="shared" ref="V57:V63" si="50">IF(T$12=0,0,T57/T$12)</f>
        <v>1.6167254573313975E-2</v>
      </c>
      <c r="W57" s="1"/>
      <c r="X57" s="1">
        <f t="shared" ref="X57:X63" si="51">+P57-T57</f>
        <v>2789.1800000000012</v>
      </c>
      <c r="Y57" s="1"/>
      <c r="Z57" s="5">
        <f t="shared" ref="Z57:Z63" si="52">IF(T57=0,0,X57/T57)</f>
        <v>0.57652343047543098</v>
      </c>
    </row>
    <row r="58" spans="1:26" s="24" customFormat="1" hidden="1" outlineLevel="2" x14ac:dyDescent="0.25">
      <c r="A58" s="27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45"/>
        <v>0</v>
      </c>
      <c r="G58" s="2"/>
      <c r="H58" s="6"/>
      <c r="I58" s="2"/>
      <c r="J58" s="7">
        <f t="shared" si="46"/>
        <v>0</v>
      </c>
      <c r="K58" s="2"/>
      <c r="L58" s="6">
        <f t="shared" si="47"/>
        <v>0</v>
      </c>
      <c r="M58" s="2"/>
      <c r="N58" s="7">
        <f t="shared" si="48"/>
        <v>0</v>
      </c>
      <c r="O58" s="11"/>
      <c r="P58" s="6">
        <v>354.71</v>
      </c>
      <c r="Q58" s="2"/>
      <c r="R58" s="7">
        <f t="shared" si="49"/>
        <v>1.2601307195115135E-3</v>
      </c>
      <c r="S58" s="2"/>
      <c r="T58" s="6"/>
      <c r="U58" s="2"/>
      <c r="V58" s="7">
        <f t="shared" si="50"/>
        <v>0</v>
      </c>
      <c r="W58" s="2"/>
      <c r="X58" s="6">
        <f t="shared" si="51"/>
        <v>354.71</v>
      </c>
      <c r="Y58" s="2"/>
      <c r="Z58" s="7">
        <f t="shared" si="52"/>
        <v>0</v>
      </c>
    </row>
    <row r="59" spans="1:26" s="24" customFormat="1" hidden="1" outlineLevel="2" x14ac:dyDescent="0.25">
      <c r="A59" s="27"/>
      <c r="B59" s="11" t="str">
        <f>CONCATENATE("          ", "6237", " - ", "JANITORIAL SUPPLIES")</f>
        <v xml:space="preserve">          6237 - JANITORIAL SUPPLIES</v>
      </c>
      <c r="C59" s="11"/>
      <c r="D59" s="6"/>
      <c r="E59" s="2"/>
      <c r="F59" s="7">
        <f t="shared" si="45"/>
        <v>0</v>
      </c>
      <c r="G59" s="2"/>
      <c r="H59" s="6">
        <v>17.63</v>
      </c>
      <c r="I59" s="2"/>
      <c r="J59" s="7">
        <f t="shared" si="46"/>
        <v>5.1149470473873875E-4</v>
      </c>
      <c r="K59" s="2"/>
      <c r="L59" s="6">
        <f t="shared" si="47"/>
        <v>-17.63</v>
      </c>
      <c r="M59" s="2"/>
      <c r="N59" s="7">
        <f t="shared" si="48"/>
        <v>-1</v>
      </c>
      <c r="O59" s="11"/>
      <c r="P59" s="6">
        <v>38.56</v>
      </c>
      <c r="Q59" s="2"/>
      <c r="R59" s="7">
        <f t="shared" si="49"/>
        <v>1.369869486182063E-4</v>
      </c>
      <c r="S59" s="2"/>
      <c r="T59" s="6">
        <v>459.01</v>
      </c>
      <c r="U59" s="2"/>
      <c r="V59" s="7">
        <f t="shared" si="50"/>
        <v>1.5339063445930076E-3</v>
      </c>
      <c r="W59" s="2"/>
      <c r="X59" s="6">
        <f t="shared" si="51"/>
        <v>-420.45</v>
      </c>
      <c r="Y59" s="2"/>
      <c r="Z59" s="7">
        <f t="shared" si="52"/>
        <v>-0.91599311561839614</v>
      </c>
    </row>
    <row r="60" spans="1:26" s="24" customFormat="1" hidden="1" outlineLevel="2" x14ac:dyDescent="0.25">
      <c r="A60" s="27"/>
      <c r="B60" s="11" t="str">
        <f>CONCATENATE("          ", "6241", " - ", "OFFICE EXPENSE")</f>
        <v xml:space="preserve">          6241 - OFFICE EXPENSE</v>
      </c>
      <c r="C60" s="11"/>
      <c r="D60" s="6"/>
      <c r="E60" s="2"/>
      <c r="F60" s="7">
        <f t="shared" si="45"/>
        <v>0</v>
      </c>
      <c r="G60" s="2"/>
      <c r="H60" s="6"/>
      <c r="I60" s="2"/>
      <c r="J60" s="7">
        <f t="shared" si="46"/>
        <v>0</v>
      </c>
      <c r="K60" s="2"/>
      <c r="L60" s="6">
        <f t="shared" si="47"/>
        <v>0</v>
      </c>
      <c r="M60" s="2"/>
      <c r="N60" s="7">
        <f t="shared" si="48"/>
        <v>0</v>
      </c>
      <c r="O60" s="11"/>
      <c r="P60" s="6"/>
      <c r="Q60" s="2"/>
      <c r="R60" s="7">
        <f t="shared" si="49"/>
        <v>0</v>
      </c>
      <c r="S60" s="2"/>
      <c r="T60" s="6">
        <v>34</v>
      </c>
      <c r="U60" s="2"/>
      <c r="V60" s="7">
        <f t="shared" si="50"/>
        <v>1.1362021680608758E-4</v>
      </c>
      <c r="W60" s="2"/>
      <c r="X60" s="6">
        <f t="shared" si="51"/>
        <v>-34</v>
      </c>
      <c r="Y60" s="2"/>
      <c r="Z60" s="7">
        <f t="shared" si="52"/>
        <v>-1</v>
      </c>
    </row>
    <row r="61" spans="1:26" s="24" customFormat="1" hidden="1" outlineLevel="2" x14ac:dyDescent="0.25">
      <c r="A61" s="27"/>
      <c r="B61" s="11" t="str">
        <f>CONCATENATE("          ", "6243", " - ", "PAPER SUPPLIES")</f>
        <v xml:space="preserve">          6243 - PAPER SUPPLIES</v>
      </c>
      <c r="C61" s="11"/>
      <c r="D61" s="6"/>
      <c r="E61" s="2"/>
      <c r="F61" s="7">
        <f t="shared" si="45"/>
        <v>0</v>
      </c>
      <c r="G61" s="2"/>
      <c r="H61" s="6"/>
      <c r="I61" s="2"/>
      <c r="J61" s="7">
        <f t="shared" si="46"/>
        <v>0</v>
      </c>
      <c r="K61" s="2"/>
      <c r="L61" s="6">
        <f t="shared" si="47"/>
        <v>0</v>
      </c>
      <c r="M61" s="2"/>
      <c r="N61" s="7">
        <f t="shared" si="48"/>
        <v>0</v>
      </c>
      <c r="O61" s="11"/>
      <c r="P61" s="6"/>
      <c r="Q61" s="2"/>
      <c r="R61" s="7">
        <f t="shared" si="49"/>
        <v>0</v>
      </c>
      <c r="S61" s="2"/>
      <c r="T61" s="6">
        <v>45.85</v>
      </c>
      <c r="U61" s="2"/>
      <c r="V61" s="7">
        <f t="shared" si="50"/>
        <v>1.5322020413409163E-4</v>
      </c>
      <c r="W61" s="2"/>
      <c r="X61" s="6">
        <f t="shared" si="51"/>
        <v>-45.85</v>
      </c>
      <c r="Y61" s="2"/>
      <c r="Z61" s="7">
        <f t="shared" si="52"/>
        <v>-1</v>
      </c>
    </row>
    <row r="62" spans="1:26" s="24" customFormat="1" hidden="1" outlineLevel="2" x14ac:dyDescent="0.25">
      <c r="A62" s="27"/>
      <c r="B62" s="11" t="str">
        <f>CONCATENATE("          ", "6247", " - ", "STORE SUPPLIES")</f>
        <v xml:space="preserve">          6247 - STORE SUPPLIES</v>
      </c>
      <c r="C62" s="11"/>
      <c r="D62" s="6">
        <v>25</v>
      </c>
      <c r="E62" s="2"/>
      <c r="F62" s="7">
        <f t="shared" si="45"/>
        <v>0</v>
      </c>
      <c r="G62" s="2"/>
      <c r="H62" s="6">
        <v>1104.6500000000001</v>
      </c>
      <c r="I62" s="2"/>
      <c r="J62" s="7">
        <f t="shared" si="46"/>
        <v>3.2048929415181386E-2</v>
      </c>
      <c r="K62" s="2"/>
      <c r="L62" s="6">
        <f t="shared" si="47"/>
        <v>-1079.6500000000001</v>
      </c>
      <c r="M62" s="2"/>
      <c r="N62" s="7">
        <f t="shared" si="48"/>
        <v>-0.97736839722989177</v>
      </c>
      <c r="O62" s="11"/>
      <c r="P62" s="6">
        <v>7192.77</v>
      </c>
      <c r="Q62" s="2"/>
      <c r="R62" s="7">
        <f t="shared" si="49"/>
        <v>2.5552790830201656E-2</v>
      </c>
      <c r="S62" s="2"/>
      <c r="T62" s="6">
        <v>4111.2</v>
      </c>
      <c r="U62" s="2"/>
      <c r="V62" s="7">
        <f t="shared" si="50"/>
        <v>1.3738689274505507E-2</v>
      </c>
      <c r="W62" s="2"/>
      <c r="X62" s="6">
        <f t="shared" si="51"/>
        <v>3081.5700000000006</v>
      </c>
      <c r="Y62" s="2"/>
      <c r="Z62" s="7">
        <f t="shared" si="52"/>
        <v>0.74955487448920044</v>
      </c>
    </row>
    <row r="63" spans="1:26" s="24" customFormat="1" hidden="1" outlineLevel="2" x14ac:dyDescent="0.25">
      <c r="A63" s="27"/>
      <c r="B63" s="11" t="str">
        <f>CONCATENATE("          ", "6248", " - ", "UNIFORMS")</f>
        <v xml:space="preserve">          6248 - UNIFORMS</v>
      </c>
      <c r="C63" s="11"/>
      <c r="D63" s="6"/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0</v>
      </c>
      <c r="M63" s="2"/>
      <c r="N63" s="7">
        <f t="shared" si="48"/>
        <v>0</v>
      </c>
      <c r="O63" s="11"/>
      <c r="P63" s="6">
        <v>41.07</v>
      </c>
      <c r="Q63" s="2"/>
      <c r="R63" s="7">
        <f t="shared" si="49"/>
        <v>1.4590388951633124E-4</v>
      </c>
      <c r="S63" s="2"/>
      <c r="T63" s="6">
        <v>187.87</v>
      </c>
      <c r="U63" s="2"/>
      <c r="V63" s="7">
        <f t="shared" si="50"/>
        <v>6.2781853327528454E-4</v>
      </c>
      <c r="W63" s="2"/>
      <c r="X63" s="6">
        <f t="shared" si="51"/>
        <v>-146.80000000000001</v>
      </c>
      <c r="Y63" s="2"/>
      <c r="Z63" s="7">
        <f t="shared" si="52"/>
        <v>-0.78139138766168104</v>
      </c>
    </row>
    <row r="64" spans="1:26" s="25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SUM(OSRRefD22_11x_0)</f>
        <v>51.5</v>
      </c>
      <c r="E64" s="1"/>
      <c r="F64" s="5">
        <f t="shared" ref="F64:F69" si="53">IF(D$12=0,0,D64/D$12)</f>
        <v>0</v>
      </c>
      <c r="G64" s="1"/>
      <c r="H64" s="1">
        <f>SUM(OSRRefH22_11x_0)</f>
        <v>52.5</v>
      </c>
      <c r="I64" s="1"/>
      <c r="J64" s="5">
        <f t="shared" ref="J64:J69" si="54">IF(H$12=0,0,H64/H$12)</f>
        <v>1.5231691434364029E-3</v>
      </c>
      <c r="K64" s="1"/>
      <c r="L64" s="1">
        <f t="shared" ref="L64:L69" si="55">+D64-H64</f>
        <v>-1</v>
      </c>
      <c r="M64" s="1"/>
      <c r="N64" s="5">
        <f t="shared" ref="N64:N69" si="56">IF(H64=0,0,L64/H64)</f>
        <v>-1.9047619047619049E-2</v>
      </c>
      <c r="O64" s="13"/>
      <c r="P64" s="1">
        <f>SUM(OSRRefP22_11x_0)</f>
        <v>576.59</v>
      </c>
      <c r="Q64" s="1"/>
      <c r="R64" s="5">
        <f t="shared" ref="R64:R69" si="57">IF(P$12=0,0,P64/P$12)</f>
        <v>2.0483740846413789E-3</v>
      </c>
      <c r="S64" s="1"/>
      <c r="T64" s="1">
        <f>SUM(OSRRefT22_11x_0)</f>
        <v>525</v>
      </c>
      <c r="U64" s="1"/>
      <c r="V64" s="5">
        <f t="shared" ref="V64:V69" si="58">IF(T$12=0,0,T64/T$12)</f>
        <v>1.7544298183292935E-3</v>
      </c>
      <c r="W64" s="1"/>
      <c r="X64" s="1">
        <f t="shared" ref="X64:X69" si="59">+P64-T64</f>
        <v>51.590000000000032</v>
      </c>
      <c r="Y64" s="1"/>
      <c r="Z64" s="5">
        <f t="shared" ref="Z64:Z69" si="60">IF(T64=0,0,X64/T64)</f>
        <v>9.8266666666666724E-2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51.5</v>
      </c>
      <c r="E65" s="2"/>
      <c r="F65" s="7">
        <f t="shared" si="53"/>
        <v>0</v>
      </c>
      <c r="G65" s="2"/>
      <c r="H65" s="6">
        <v>52.5</v>
      </c>
      <c r="I65" s="2"/>
      <c r="J65" s="7">
        <f t="shared" si="54"/>
        <v>1.5231691434364029E-3</v>
      </c>
      <c r="K65" s="2"/>
      <c r="L65" s="6">
        <f t="shared" si="55"/>
        <v>-1</v>
      </c>
      <c r="M65" s="2"/>
      <c r="N65" s="7">
        <f t="shared" si="56"/>
        <v>-1.9047619047619049E-2</v>
      </c>
      <c r="O65" s="11"/>
      <c r="P65" s="6">
        <v>576.59</v>
      </c>
      <c r="Q65" s="2"/>
      <c r="R65" s="7">
        <f t="shared" si="57"/>
        <v>2.0483740846413789E-3</v>
      </c>
      <c r="S65" s="2"/>
      <c r="T65" s="6">
        <v>525</v>
      </c>
      <c r="U65" s="2"/>
      <c r="V65" s="7">
        <f t="shared" si="58"/>
        <v>1.7544298183292935E-3</v>
      </c>
      <c r="W65" s="2"/>
      <c r="X65" s="6">
        <f t="shared" si="59"/>
        <v>51.590000000000032</v>
      </c>
      <c r="Y65" s="2"/>
      <c r="Z65" s="7">
        <f t="shared" si="60"/>
        <v>9.8266666666666724E-2</v>
      </c>
    </row>
    <row r="66" spans="1:26" s="25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SUM(OSRRefD22_12x_0)</f>
        <v>0</v>
      </c>
      <c r="E66" s="1"/>
      <c r="F66" s="5">
        <f t="shared" si="53"/>
        <v>0</v>
      </c>
      <c r="G66" s="1"/>
      <c r="H66" s="1">
        <f>SUM(OSRRefH22_12x_0)</f>
        <v>0</v>
      </c>
      <c r="I66" s="1"/>
      <c r="J66" s="5">
        <f t="shared" si="54"/>
        <v>0</v>
      </c>
      <c r="K66" s="1"/>
      <c r="L66" s="1">
        <f t="shared" si="55"/>
        <v>0</v>
      </c>
      <c r="M66" s="1"/>
      <c r="N66" s="5">
        <f t="shared" si="56"/>
        <v>0</v>
      </c>
      <c r="O66" s="13"/>
      <c r="P66" s="1">
        <f>SUM(OSRRefP22_12x_0)</f>
        <v>0</v>
      </c>
      <c r="Q66" s="1"/>
      <c r="R66" s="5">
        <f t="shared" si="57"/>
        <v>0</v>
      </c>
      <c r="S66" s="1"/>
      <c r="T66" s="1">
        <f>SUM(OSRRefT22_12x_0)</f>
        <v>60</v>
      </c>
      <c r="U66" s="1"/>
      <c r="V66" s="5">
        <f t="shared" si="58"/>
        <v>2.0050626495191924E-4</v>
      </c>
      <c r="W66" s="1"/>
      <c r="X66" s="1">
        <f t="shared" si="59"/>
        <v>-60</v>
      </c>
      <c r="Y66" s="1"/>
      <c r="Z66" s="5">
        <f t="shared" si="60"/>
        <v>-1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6"/>
      <c r="E67" s="2"/>
      <c r="F67" s="7">
        <f t="shared" si="53"/>
        <v>0</v>
      </c>
      <c r="G67" s="2"/>
      <c r="H67" s="6"/>
      <c r="I67" s="2"/>
      <c r="J67" s="7">
        <f t="shared" si="54"/>
        <v>0</v>
      </c>
      <c r="K67" s="2"/>
      <c r="L67" s="6">
        <f t="shared" si="55"/>
        <v>0</v>
      </c>
      <c r="M67" s="2"/>
      <c r="N67" s="7">
        <f t="shared" si="56"/>
        <v>0</v>
      </c>
      <c r="O67" s="11"/>
      <c r="P67" s="6"/>
      <c r="Q67" s="2"/>
      <c r="R67" s="7">
        <f t="shared" si="57"/>
        <v>0</v>
      </c>
      <c r="S67" s="2"/>
      <c r="T67" s="6">
        <v>60</v>
      </c>
      <c r="U67" s="2"/>
      <c r="V67" s="7">
        <f t="shared" si="58"/>
        <v>2.0050626495191924E-4</v>
      </c>
      <c r="W67" s="2"/>
      <c r="X67" s="6">
        <f t="shared" si="59"/>
        <v>-60</v>
      </c>
      <c r="Y67" s="2"/>
      <c r="Z67" s="7">
        <f t="shared" si="60"/>
        <v>-1</v>
      </c>
    </row>
    <row r="68" spans="1:26" s="25" customFormat="1" outlineLevel="1" collapsed="1" x14ac:dyDescent="0.25">
      <c r="A68" s="26"/>
      <c r="B68" s="13" t="str">
        <f>CONCATENATE("     ","Utilities                                         ")</f>
        <v xml:space="preserve">     Utilities                                         </v>
      </c>
      <c r="C68" s="13"/>
      <c r="D68" s="1">
        <f>SUM(OSRRefD22_13x_0)</f>
        <v>605.62</v>
      </c>
      <c r="E68" s="1"/>
      <c r="F68" s="5">
        <f t="shared" si="53"/>
        <v>0</v>
      </c>
      <c r="G68" s="1"/>
      <c r="H68" s="1">
        <f>SUM(OSRRefH22_13x_0)</f>
        <v>157</v>
      </c>
      <c r="I68" s="1"/>
      <c r="J68" s="5">
        <f t="shared" si="54"/>
        <v>4.5550010575145768E-3</v>
      </c>
      <c r="K68" s="1"/>
      <c r="L68" s="1">
        <f t="shared" si="55"/>
        <v>448.62</v>
      </c>
      <c r="M68" s="1"/>
      <c r="N68" s="5">
        <f t="shared" si="56"/>
        <v>2.8574522292993629</v>
      </c>
      <c r="O68" s="13"/>
      <c r="P68" s="1">
        <f>SUM(OSRRefP22_13x_0)</f>
        <v>-50.26</v>
      </c>
      <c r="Q68" s="1"/>
      <c r="R68" s="5">
        <f t="shared" si="57"/>
        <v>-1.7855197192819111E-4</v>
      </c>
      <c r="S68" s="1"/>
      <c r="T68" s="1">
        <f>SUM(OSRRefT22_13x_0)</f>
        <v>651.11</v>
      </c>
      <c r="U68" s="1"/>
      <c r="V68" s="5">
        <f t="shared" si="58"/>
        <v>2.1758605695474027E-3</v>
      </c>
      <c r="W68" s="1"/>
      <c r="X68" s="1">
        <f t="shared" si="59"/>
        <v>-701.37</v>
      </c>
      <c r="Y68" s="1"/>
      <c r="Z68" s="5">
        <f t="shared" si="60"/>
        <v>-1.0771912580055598</v>
      </c>
    </row>
    <row r="69" spans="1:26" s="24" customFormat="1" hidden="1" outlineLevel="2" x14ac:dyDescent="0.25">
      <c r="A69" s="27"/>
      <c r="B69" s="11" t="str">
        <f>CONCATENATE("          ", "6274", " - ", "UTILITIES")</f>
        <v xml:space="preserve">          6274 - UTILITIES</v>
      </c>
      <c r="C69" s="11"/>
      <c r="D69" s="6">
        <v>605.62</v>
      </c>
      <c r="E69" s="2"/>
      <c r="F69" s="7">
        <f t="shared" si="53"/>
        <v>0</v>
      </c>
      <c r="G69" s="2"/>
      <c r="H69" s="6">
        <v>157</v>
      </c>
      <c r="I69" s="2"/>
      <c r="J69" s="7">
        <f t="shared" si="54"/>
        <v>4.5550010575145768E-3</v>
      </c>
      <c r="K69" s="2"/>
      <c r="L69" s="6">
        <f t="shared" si="55"/>
        <v>448.62</v>
      </c>
      <c r="M69" s="2"/>
      <c r="N69" s="7">
        <f t="shared" si="56"/>
        <v>2.8574522292993629</v>
      </c>
      <c r="O69" s="11"/>
      <c r="P69" s="6">
        <v>-50.26</v>
      </c>
      <c r="Q69" s="2"/>
      <c r="R69" s="7">
        <f t="shared" si="57"/>
        <v>-1.7855197192819111E-4</v>
      </c>
      <c r="S69" s="2"/>
      <c r="T69" s="6">
        <v>651.11</v>
      </c>
      <c r="U69" s="2"/>
      <c r="V69" s="7">
        <f t="shared" si="58"/>
        <v>2.1758605695474027E-3</v>
      </c>
      <c r="W69" s="2"/>
      <c r="X69" s="6">
        <f t="shared" si="59"/>
        <v>-701.37</v>
      </c>
      <c r="Y69" s="2"/>
      <c r="Z69" s="7">
        <f t="shared" si="60"/>
        <v>-1.0771912580055598</v>
      </c>
    </row>
    <row r="70" spans="1:26" s="53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+D20-D22+D71</f>
        <v>-13441.830000000002</v>
      </c>
      <c r="E73" s="14"/>
      <c r="F73" s="20">
        <f>IF(D$12=0,0,D73/D$12)</f>
        <v>0</v>
      </c>
      <c r="G73" s="14"/>
      <c r="H73" s="21">
        <f>+H20-H22+H71</f>
        <v>12266.56</v>
      </c>
      <c r="I73" s="14"/>
      <c r="J73" s="20">
        <f>IF(H$12=0,0,H73/H$12)</f>
        <v>0.35588658453545224</v>
      </c>
      <c r="K73" s="15"/>
      <c r="L73" s="21">
        <f>+D73-H73</f>
        <v>-25708.39</v>
      </c>
      <c r="M73" s="15"/>
      <c r="N73" s="20">
        <f>IF(H73=0,0,L73/H73)</f>
        <v>-2.0958108874859782</v>
      </c>
      <c r="O73" s="29"/>
      <c r="P73" s="21">
        <f>+P20-P22+P71</f>
        <v>15262.040000000023</v>
      </c>
      <c r="Q73" s="14"/>
      <c r="R73" s="20">
        <f>IF(P$12=0,0,P73/P$12)</f>
        <v>5.4219405842557376E-2</v>
      </c>
      <c r="S73" s="14"/>
      <c r="T73" s="21">
        <f>+T20-T22+T71</f>
        <v>68614.260000000009</v>
      </c>
      <c r="U73" s="14"/>
      <c r="V73" s="20">
        <f>IF(T$12=0,0,T73/T$12)</f>
        <v>0.2292931499173313</v>
      </c>
      <c r="W73" s="15"/>
      <c r="X73" s="21">
        <f>+P73-T73</f>
        <v>-53352.219999999987</v>
      </c>
      <c r="Y73" s="15"/>
      <c r="Z73" s="20">
        <f>IF(T73=0,0,X73/T73)</f>
        <v>-0.77756752022101494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1798.82</v>
      </c>
      <c r="E75" s="4"/>
      <c r="F75" s="12">
        <f>IF(D$12=0,0,D75/D$12)</f>
        <v>0</v>
      </c>
      <c r="G75" s="4"/>
      <c r="H75" s="4">
        <v>3844.3</v>
      </c>
      <c r="I75" s="4"/>
      <c r="J75" s="12">
        <f>IF(H$12=0,0,H75/H$12)</f>
        <v>0.11153369786881075</v>
      </c>
      <c r="K75" s="4"/>
      <c r="L75" s="4">
        <f>+D75-H75</f>
        <v>-2045.4800000000002</v>
      </c>
      <c r="M75" s="4"/>
      <c r="N75" s="12">
        <f>IF(H75=0,0,L75/H75)</f>
        <v>-0.53208126316884741</v>
      </c>
      <c r="O75" s="10"/>
      <c r="P75" s="4">
        <v>31960.799999999999</v>
      </c>
      <c r="Q75" s="4"/>
      <c r="R75" s="12">
        <f>IF(P$12=0,0,P75/P$12)</f>
        <v>0.11354285444493693</v>
      </c>
      <c r="S75" s="4"/>
      <c r="T75" s="4">
        <v>31108.819999999996</v>
      </c>
      <c r="U75" s="4"/>
      <c r="V75" s="12">
        <f>IF(T$12=0,0,T75/T$12)</f>
        <v>0.10395855508769274</v>
      </c>
      <c r="W75" s="4"/>
      <c r="X75" s="4">
        <f>+P75-T75</f>
        <v>851.9800000000032</v>
      </c>
      <c r="Y75" s="4"/>
      <c r="Z75" s="12">
        <f>IF(T75=0,0,X75/T75)</f>
        <v>2.7387088292002183E-2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0">
        <f>+D73-D75</f>
        <v>-15240.650000000001</v>
      </c>
      <c r="E77" s="14"/>
      <c r="F77" s="36">
        <f>IF(D$12=0,0,D77/D$12)</f>
        <v>0</v>
      </c>
      <c r="G77" s="14"/>
      <c r="H77" s="30">
        <f>+H73-H75</f>
        <v>8422.2599999999984</v>
      </c>
      <c r="I77" s="14"/>
      <c r="J77" s="36">
        <f>IF(H$12=0,0,H77/H$12)</f>
        <v>0.24435288666664148</v>
      </c>
      <c r="K77" s="15"/>
      <c r="L77" s="30">
        <f>D77-H77</f>
        <v>-23662.91</v>
      </c>
      <c r="M77" s="15"/>
      <c r="N77" s="36">
        <f>IF(H77=0,0,L77/H77)</f>
        <v>-2.809567740725174</v>
      </c>
      <c r="O77" s="29"/>
      <c r="P77" s="30">
        <f>+P73-P75</f>
        <v>-16698.759999999977</v>
      </c>
      <c r="Q77" s="14"/>
      <c r="R77" s="36">
        <f>IF(P$12=0,0,P77/P$12)</f>
        <v>-5.932344860237955E-2</v>
      </c>
      <c r="S77" s="14"/>
      <c r="T77" s="30">
        <f>+T73-T75</f>
        <v>37505.440000000017</v>
      </c>
      <c r="U77" s="14"/>
      <c r="V77" s="36">
        <f>IF(T$12=0,0,T77/T$12)</f>
        <v>0.12533459482963857</v>
      </c>
      <c r="W77" s="15"/>
      <c r="X77" s="30">
        <f>P77-T77</f>
        <v>-54204.2</v>
      </c>
      <c r="Y77" s="15"/>
      <c r="Z77" s="36">
        <f>IF(T77=0,0,X77/T77)</f>
        <v>-1.4452356778110049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-15240.650000000001</v>
      </c>
      <c r="E80" s="14"/>
      <c r="F80" s="32">
        <f>IF(D$12=0,0,D80/D$12)</f>
        <v>0</v>
      </c>
      <c r="G80" s="14"/>
      <c r="H80" s="31">
        <f>SUM(H77:H79)</f>
        <v>8422.2599999999984</v>
      </c>
      <c r="I80" s="14"/>
      <c r="J80" s="32">
        <f>IF(H$12=0,0,H80/H$12)</f>
        <v>0.24435288666664148</v>
      </c>
      <c r="K80" s="15"/>
      <c r="L80" s="31">
        <f>+D80-H80</f>
        <v>-23662.91</v>
      </c>
      <c r="M80" s="15"/>
      <c r="N80" s="32">
        <f>IF(H80=0,0,L80/H80)</f>
        <v>-2.809567740725174</v>
      </c>
      <c r="O80" s="29"/>
      <c r="P80" s="31">
        <f>SUM(P77:P79)</f>
        <v>-16698.759999999977</v>
      </c>
      <c r="Q80" s="14"/>
      <c r="R80" s="32">
        <f>IF(P$12=0,0,P80/P$12)</f>
        <v>-5.932344860237955E-2</v>
      </c>
      <c r="S80" s="14"/>
      <c r="T80" s="31">
        <f>SUM(T77:T79)</f>
        <v>37505.440000000017</v>
      </c>
      <c r="U80" s="14"/>
      <c r="V80" s="32">
        <f>IF(T$12=0,0,T80/T$12)</f>
        <v>0.12533459482963857</v>
      </c>
      <c r="W80" s="15"/>
      <c r="X80" s="31">
        <f>+P80-T80</f>
        <v>-54204.2</v>
      </c>
      <c r="Y80" s="15"/>
      <c r="Z80" s="32">
        <f>IF(T80=0,0,X80/T80)</f>
        <v>-1.4452356778110049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4">
        <v>43965.471096215275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59" t="s">
        <v>313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61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","322", " - ", "Beach Hut")</f>
        <v>Department 322 - Beach Hut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103290.22</v>
      </c>
      <c r="I12" s="4"/>
      <c r="J12" s="12"/>
      <c r="K12" s="4"/>
      <c r="L12" s="4">
        <f t="shared" ref="L12:L14" si="0">+D12-H12</f>
        <v>-103290.22</v>
      </c>
      <c r="M12" s="4"/>
      <c r="N12" s="12">
        <f t="shared" ref="N12:N14" si="1">IF(H12=0,0,L12/H12)</f>
        <v>-1</v>
      </c>
      <c r="O12" s="10"/>
      <c r="P12" s="4">
        <f>SUM(OSRRefP13x_0)</f>
        <v>689915.82</v>
      </c>
      <c r="Q12" s="4"/>
      <c r="R12" s="12"/>
      <c r="S12" s="4"/>
      <c r="T12" s="4">
        <f>SUM(OSRRefT13x_0)</f>
        <v>832076</v>
      </c>
      <c r="U12" s="4"/>
      <c r="V12" s="12"/>
      <c r="W12" s="4"/>
      <c r="X12" s="4">
        <f t="shared" ref="X12:X14" si="2">+P12-T12</f>
        <v>-142160.18000000005</v>
      </c>
      <c r="Y12" s="4"/>
      <c r="Z12" s="12">
        <f t="shared" ref="Z12:Z14" si="3">IF(T12=0,0,X12/T12)</f>
        <v>-0.17084999447165891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--13574.25</f>
        <v>13574.25</v>
      </c>
      <c r="I13" s="2"/>
      <c r="J13" s="19"/>
      <c r="K13" s="2"/>
      <c r="L13" s="2">
        <f t="shared" si="0"/>
        <v>-13574.25</v>
      </c>
      <c r="M13" s="2"/>
      <c r="N13" s="19">
        <f t="shared" si="1"/>
        <v>-1</v>
      </c>
      <c r="O13" s="11"/>
      <c r="P13" s="2">
        <f>--85250.21</f>
        <v>85250.21</v>
      </c>
      <c r="Q13" s="2"/>
      <c r="R13" s="19"/>
      <c r="S13" s="2"/>
      <c r="T13" s="2">
        <f>--133352.53</f>
        <v>133352.53</v>
      </c>
      <c r="U13" s="2"/>
      <c r="V13" s="19"/>
      <c r="W13" s="2"/>
      <c r="X13" s="2">
        <f t="shared" si="2"/>
        <v>-48102.319999999992</v>
      </c>
      <c r="Y13" s="2"/>
      <c r="Z13" s="19">
        <f t="shared" si="3"/>
        <v>-0.36071546599078391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--89715.97</f>
        <v>89715.97</v>
      </c>
      <c r="I14" s="2"/>
      <c r="J14" s="19"/>
      <c r="K14" s="2"/>
      <c r="L14" s="2">
        <f t="shared" si="0"/>
        <v>-89715.97</v>
      </c>
      <c r="M14" s="2"/>
      <c r="N14" s="19">
        <f t="shared" si="1"/>
        <v>-1</v>
      </c>
      <c r="O14" s="11"/>
      <c r="P14" s="2">
        <f>--604665.61</f>
        <v>604665.61</v>
      </c>
      <c r="Q14" s="2"/>
      <c r="R14" s="19"/>
      <c r="S14" s="2"/>
      <c r="T14" s="2">
        <f>--698723.47</f>
        <v>698723.47</v>
      </c>
      <c r="U14" s="2"/>
      <c r="V14" s="19"/>
      <c r="W14" s="2"/>
      <c r="X14" s="2">
        <f t="shared" si="2"/>
        <v>-94057.859999999986</v>
      </c>
      <c r="Y14" s="2"/>
      <c r="Z14" s="19">
        <f t="shared" si="3"/>
        <v>-0.13461385517792895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48178.22</v>
      </c>
      <c r="E16" s="4"/>
      <c r="F16" s="12">
        <f t="shared" ref="F16:F18" si="5">IF(D$12=0,0,D16/D$12)</f>
        <v>0</v>
      </c>
      <c r="G16" s="4"/>
      <c r="H16" s="4">
        <f>SUM(OSRRefH16x_0)</f>
        <v>48297.98</v>
      </c>
      <c r="I16" s="4"/>
      <c r="J16" s="12">
        <f t="shared" ref="J16:J18" si="6">IF(H$12=0,0,H16/H$12)</f>
        <v>0.46759489911048696</v>
      </c>
      <c r="K16" s="4"/>
      <c r="L16" s="4">
        <f t="shared" ref="L16:L18" si="7">+D16-H16</f>
        <v>-119.76000000000204</v>
      </c>
      <c r="M16" s="4"/>
      <c r="N16" s="12">
        <f t="shared" ref="N16:N18" si="8">IF(H16=0,0,L16/H16)</f>
        <v>-2.4796068075725328E-3</v>
      </c>
      <c r="O16" s="10"/>
      <c r="P16" s="4">
        <f>SUM(OSRRefP16x_0)</f>
        <v>393279.16000000003</v>
      </c>
      <c r="Q16" s="4"/>
      <c r="R16" s="12">
        <f t="shared" ref="R16:R18" si="9">IF(P$12=0,0,P16/P$12)</f>
        <v>0.57003934190116134</v>
      </c>
      <c r="S16" s="4"/>
      <c r="T16" s="4">
        <f>SUM(OSRRefT16x_0)</f>
        <v>393166.15</v>
      </c>
      <c r="U16" s="4"/>
      <c r="V16" s="12">
        <f t="shared" ref="V16:V18" si="10">IF(T$12=0,0,T16/T$12)</f>
        <v>0.47251230656815008</v>
      </c>
      <c r="W16" s="4"/>
      <c r="X16" s="4">
        <f t="shared" ref="X16:X18" si="11">+P16-T16</f>
        <v>113.01000000000931</v>
      </c>
      <c r="Y16" s="4"/>
      <c r="Z16" s="12">
        <f t="shared" ref="Z16:Z18" si="12">IF(T16=0,0,X16/T16)</f>
        <v>2.8743573168750491E-4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-318.77999999999997</v>
      </c>
      <c r="E17" s="2"/>
      <c r="F17" s="19">
        <f t="shared" si="5"/>
        <v>0</v>
      </c>
      <c r="G17" s="2"/>
      <c r="H17" s="2">
        <v>52689.630000000005</v>
      </c>
      <c r="I17" s="2"/>
      <c r="J17" s="19">
        <f t="shared" si="6"/>
        <v>0.5101124772509924</v>
      </c>
      <c r="K17" s="2"/>
      <c r="L17" s="2">
        <f t="shared" si="7"/>
        <v>-53008.41</v>
      </c>
      <c r="M17" s="2"/>
      <c r="N17" s="19">
        <f t="shared" si="8"/>
        <v>-1.0060501468695073</v>
      </c>
      <c r="O17" s="11"/>
      <c r="P17" s="2">
        <v>367126.58</v>
      </c>
      <c r="Q17" s="2"/>
      <c r="R17" s="19">
        <f t="shared" si="9"/>
        <v>0.53213242740251998</v>
      </c>
      <c r="S17" s="2"/>
      <c r="T17" s="2">
        <v>408997.25</v>
      </c>
      <c r="U17" s="2"/>
      <c r="V17" s="19">
        <f t="shared" si="10"/>
        <v>0.49153833303688604</v>
      </c>
      <c r="W17" s="2"/>
      <c r="X17" s="2">
        <f t="shared" si="11"/>
        <v>-41870.669999999984</v>
      </c>
      <c r="Y17" s="2"/>
      <c r="Z17" s="19">
        <f t="shared" si="12"/>
        <v>-0.10237396461712146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48497</v>
      </c>
      <c r="E18" s="2"/>
      <c r="F18" s="19">
        <f t="shared" si="5"/>
        <v>0</v>
      </c>
      <c r="G18" s="2"/>
      <c r="H18" s="2">
        <v>-4391.6499999999996</v>
      </c>
      <c r="I18" s="2"/>
      <c r="J18" s="19">
        <f t="shared" si="6"/>
        <v>-4.2517578140505455E-2</v>
      </c>
      <c r="K18" s="2"/>
      <c r="L18" s="2">
        <f t="shared" si="7"/>
        <v>52888.65</v>
      </c>
      <c r="M18" s="2"/>
      <c r="N18" s="19">
        <f t="shared" si="8"/>
        <v>-12.043002060728885</v>
      </c>
      <c r="O18" s="11"/>
      <c r="P18" s="2">
        <v>26152.58</v>
      </c>
      <c r="Q18" s="2"/>
      <c r="R18" s="19">
        <f t="shared" si="9"/>
        <v>3.7906914498641302E-2</v>
      </c>
      <c r="S18" s="2"/>
      <c r="T18" s="2">
        <v>-15831.1</v>
      </c>
      <c r="U18" s="2"/>
      <c r="V18" s="19">
        <f t="shared" si="10"/>
        <v>-1.9026026468736031E-2</v>
      </c>
      <c r="W18" s="2"/>
      <c r="X18" s="2">
        <f t="shared" si="11"/>
        <v>41983.68</v>
      </c>
      <c r="Y18" s="2"/>
      <c r="Z18" s="19">
        <f t="shared" si="12"/>
        <v>-2.6519749101452206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-48178.22</v>
      </c>
      <c r="E20" s="14"/>
      <c r="F20" s="20">
        <f>IF(D$12=0,0,D20/D$12)</f>
        <v>0</v>
      </c>
      <c r="G20" s="14"/>
      <c r="H20" s="21">
        <f>H12-H16</f>
        <v>54992.24</v>
      </c>
      <c r="I20" s="14"/>
      <c r="J20" s="20">
        <f>IF(H$12=0,0,H20/H$12)</f>
        <v>0.53240510088951298</v>
      </c>
      <c r="K20" s="15"/>
      <c r="L20" s="21">
        <f>+D20-H20</f>
        <v>-103170.45999999999</v>
      </c>
      <c r="M20" s="15"/>
      <c r="N20" s="20">
        <f>IF(H20=0,0,L20/H20)</f>
        <v>-1.8760912448738221</v>
      </c>
      <c r="O20" s="29"/>
      <c r="P20" s="21">
        <f>P12-P16</f>
        <v>296636.65999999992</v>
      </c>
      <c r="Q20" s="14"/>
      <c r="R20" s="20">
        <f>IF(P$12=0,0,P20/P$12)</f>
        <v>0.42996065809883871</v>
      </c>
      <c r="S20" s="14"/>
      <c r="T20" s="21">
        <f>T12-T16</f>
        <v>438909.85</v>
      </c>
      <c r="U20" s="14"/>
      <c r="V20" s="20">
        <f>IF(T$12=0,0,T20/T$12)</f>
        <v>0.52748769343184998</v>
      </c>
      <c r="W20" s="15"/>
      <c r="X20" s="21">
        <f>+P20-T20</f>
        <v>-142273.19000000006</v>
      </c>
      <c r="Y20" s="15"/>
      <c r="Z20" s="20">
        <f>IF(T20=0,0,X20/T20)</f>
        <v>-0.32415128072427646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9996.26</v>
      </c>
      <c r="E22" s="22"/>
      <c r="F22" s="35">
        <f t="shared" ref="F22:F31" si="13">IF(D$12=0,0,D22/D$12)</f>
        <v>0</v>
      </c>
      <c r="G22" s="22"/>
      <c r="H22" s="22">
        <f>SUM(OSRRefH22x_0)</f>
        <v>27591.82</v>
      </c>
      <c r="I22" s="22"/>
      <c r="J22" s="35">
        <f t="shared" ref="J22:J31" si="14">IF(H$12=0,0,H22/H$12)</f>
        <v>0.26712906604323233</v>
      </c>
      <c r="K22" s="4"/>
      <c r="L22" s="22">
        <f t="shared" ref="L22:L31" si="15">+D22-H22</f>
        <v>-17595.559999999998</v>
      </c>
      <c r="M22" s="4"/>
      <c r="N22" s="35">
        <f t="shared" ref="N22:N31" si="16">IF(H22=0,0,L22/H22)</f>
        <v>-0.6377092921017895</v>
      </c>
      <c r="O22" s="10"/>
      <c r="P22" s="22">
        <f>SUM(OSRRefP22x_0)</f>
        <v>270246.46000000002</v>
      </c>
      <c r="Q22" s="22"/>
      <c r="R22" s="35">
        <f t="shared" ref="R22:R31" si="17">IF(P$12=0,0,P22/P$12)</f>
        <v>0.39170932476950598</v>
      </c>
      <c r="S22" s="22"/>
      <c r="T22" s="22">
        <f>SUM(OSRRefT22x_0)</f>
        <v>275278.9800000001</v>
      </c>
      <c r="U22" s="22"/>
      <c r="V22" s="35">
        <f t="shared" ref="V22:V31" si="18">IF(T$12=0,0,T22/T$12)</f>
        <v>0.33083393824602569</v>
      </c>
      <c r="W22" s="4"/>
      <c r="X22" s="22">
        <f t="shared" ref="X22:X31" si="19">+P22-T22</f>
        <v>-5032.5200000000768</v>
      </c>
      <c r="Y22" s="4"/>
      <c r="Z22" s="35">
        <f t="shared" ref="Z22:Z31" si="20">IF(T22=0,0,X22/T22)</f>
        <v>-1.8281526617107035E-2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2204.8799999999997</v>
      </c>
      <c r="E23" s="1"/>
      <c r="F23" s="5">
        <f t="shared" si="13"/>
        <v>0</v>
      </c>
      <c r="G23" s="1"/>
      <c r="H23" s="1">
        <f>SUM(OSRRefH22_0x_0)</f>
        <v>2051.9299999999998</v>
      </c>
      <c r="I23" s="1"/>
      <c r="J23" s="5">
        <f t="shared" si="14"/>
        <v>1.9865675569284293E-2</v>
      </c>
      <c r="K23" s="1"/>
      <c r="L23" s="1">
        <f t="shared" si="15"/>
        <v>152.94999999999982</v>
      </c>
      <c r="M23" s="1"/>
      <c r="N23" s="5">
        <f t="shared" si="16"/>
        <v>7.4539579810227366E-2</v>
      </c>
      <c r="O23" s="13"/>
      <c r="P23" s="1">
        <f>SUM(OSRRefP22_0x_0)</f>
        <v>23799.100000000002</v>
      </c>
      <c r="Q23" s="1"/>
      <c r="R23" s="5">
        <f t="shared" si="17"/>
        <v>3.449565774560729E-2</v>
      </c>
      <c r="S23" s="1"/>
      <c r="T23" s="1">
        <f>SUM(OSRRefT22_0x_0)</f>
        <v>22204.720000000001</v>
      </c>
      <c r="U23" s="1"/>
      <c r="V23" s="5">
        <f t="shared" si="18"/>
        <v>2.6685927727755639E-2</v>
      </c>
      <c r="W23" s="1"/>
      <c r="X23" s="1">
        <f t="shared" si="19"/>
        <v>1594.380000000001</v>
      </c>
      <c r="Y23" s="1"/>
      <c r="Z23" s="5">
        <f t="shared" si="20"/>
        <v>7.1803652556753736E-2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>
        <v>477.36</v>
      </c>
      <c r="E24" s="2"/>
      <c r="F24" s="7">
        <f t="shared" si="13"/>
        <v>0</v>
      </c>
      <c r="G24" s="2"/>
      <c r="H24" s="6">
        <v>347.4</v>
      </c>
      <c r="I24" s="2"/>
      <c r="J24" s="7">
        <f t="shared" si="14"/>
        <v>3.3633387555956407E-3</v>
      </c>
      <c r="K24" s="2"/>
      <c r="L24" s="6">
        <f t="shared" si="15"/>
        <v>129.96000000000004</v>
      </c>
      <c r="M24" s="2"/>
      <c r="N24" s="7">
        <f t="shared" si="16"/>
        <v>0.37409326424870482</v>
      </c>
      <c r="O24" s="11"/>
      <c r="P24" s="6">
        <v>5168.0600000000004</v>
      </c>
      <c r="Q24" s="2"/>
      <c r="R24" s="7">
        <f t="shared" si="17"/>
        <v>7.4908559134069441E-3</v>
      </c>
      <c r="S24" s="2"/>
      <c r="T24" s="6">
        <v>5067.8900000000003</v>
      </c>
      <c r="U24" s="2"/>
      <c r="V24" s="7">
        <f t="shared" si="18"/>
        <v>6.0906575841629855E-3</v>
      </c>
      <c r="W24" s="2"/>
      <c r="X24" s="6">
        <f t="shared" si="19"/>
        <v>100.17000000000007</v>
      </c>
      <c r="Y24" s="2"/>
      <c r="Z24" s="7">
        <f t="shared" si="20"/>
        <v>1.9765622379333422E-2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79.040000000000006</v>
      </c>
      <c r="E25" s="2"/>
      <c r="F25" s="7">
        <f t="shared" si="13"/>
        <v>0</v>
      </c>
      <c r="G25" s="2"/>
      <c r="H25" s="6">
        <v>205.04</v>
      </c>
      <c r="I25" s="2"/>
      <c r="J25" s="7">
        <f t="shared" si="14"/>
        <v>1.9850862937459131E-3</v>
      </c>
      <c r="K25" s="2"/>
      <c r="L25" s="6">
        <f t="shared" si="15"/>
        <v>-125.99999999999999</v>
      </c>
      <c r="M25" s="2"/>
      <c r="N25" s="7">
        <f t="shared" si="16"/>
        <v>-0.61451424112368314</v>
      </c>
      <c r="O25" s="11"/>
      <c r="P25" s="6">
        <v>2916.45</v>
      </c>
      <c r="Q25" s="2"/>
      <c r="R25" s="7">
        <f t="shared" si="17"/>
        <v>4.2272548555271567E-3</v>
      </c>
      <c r="S25" s="2"/>
      <c r="T25" s="6">
        <v>1826.59</v>
      </c>
      <c r="U25" s="2"/>
      <c r="V25" s="7">
        <f t="shared" si="18"/>
        <v>2.1952201481595431E-3</v>
      </c>
      <c r="W25" s="2"/>
      <c r="X25" s="6">
        <f t="shared" si="19"/>
        <v>1089.8599999999999</v>
      </c>
      <c r="Y25" s="2"/>
      <c r="Z25" s="7">
        <f t="shared" si="20"/>
        <v>0.59666372858714867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>
        <v>683.68</v>
      </c>
      <c r="E26" s="2"/>
      <c r="F26" s="7">
        <f t="shared" si="13"/>
        <v>0</v>
      </c>
      <c r="G26" s="2"/>
      <c r="H26" s="6">
        <v>641.14</v>
      </c>
      <c r="I26" s="2"/>
      <c r="J26" s="7">
        <f t="shared" si="14"/>
        <v>6.2071704368525885E-3</v>
      </c>
      <c r="K26" s="2"/>
      <c r="L26" s="6">
        <f t="shared" si="15"/>
        <v>42.539999999999964</v>
      </c>
      <c r="M26" s="2"/>
      <c r="N26" s="7">
        <f t="shared" si="16"/>
        <v>6.6350563059550116E-2</v>
      </c>
      <c r="O26" s="11"/>
      <c r="P26" s="6">
        <v>6581.56</v>
      </c>
      <c r="Q26" s="2"/>
      <c r="R26" s="7">
        <f t="shared" si="17"/>
        <v>9.5396565917273812E-3</v>
      </c>
      <c r="S26" s="2"/>
      <c r="T26" s="6">
        <v>6287.44</v>
      </c>
      <c r="U26" s="2"/>
      <c r="V26" s="7">
        <f t="shared" si="18"/>
        <v>7.5563289891788727E-3</v>
      </c>
      <c r="W26" s="2"/>
      <c r="X26" s="6">
        <f t="shared" si="19"/>
        <v>294.1200000000008</v>
      </c>
      <c r="Y26" s="2"/>
      <c r="Z26" s="7">
        <f t="shared" si="20"/>
        <v>4.6778975226801502E-2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10.82</v>
      </c>
      <c r="E27" s="2"/>
      <c r="F27" s="7">
        <f t="shared" si="13"/>
        <v>0</v>
      </c>
      <c r="G27" s="2"/>
      <c r="H27" s="6">
        <v>44.8</v>
      </c>
      <c r="I27" s="2"/>
      <c r="J27" s="7">
        <f t="shared" si="14"/>
        <v>4.3372935017468254E-4</v>
      </c>
      <c r="K27" s="2"/>
      <c r="L27" s="6">
        <f t="shared" si="15"/>
        <v>-33.979999999999997</v>
      </c>
      <c r="M27" s="2"/>
      <c r="N27" s="7">
        <f t="shared" si="16"/>
        <v>-0.75848214285714288</v>
      </c>
      <c r="O27" s="11"/>
      <c r="P27" s="6">
        <v>444.27</v>
      </c>
      <c r="Q27" s="2"/>
      <c r="R27" s="7">
        <f t="shared" si="17"/>
        <v>6.4394812688887179E-4</v>
      </c>
      <c r="S27" s="2"/>
      <c r="T27" s="6">
        <v>451.89</v>
      </c>
      <c r="U27" s="2"/>
      <c r="V27" s="7">
        <f t="shared" si="18"/>
        <v>5.4308741028463747E-4</v>
      </c>
      <c r="W27" s="2"/>
      <c r="X27" s="6">
        <f t="shared" si="19"/>
        <v>-7.6200000000000045</v>
      </c>
      <c r="Y27" s="2"/>
      <c r="Z27" s="7">
        <f t="shared" si="20"/>
        <v>-1.6862510788023644E-2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>
        <v>290.58</v>
      </c>
      <c r="E28" s="2"/>
      <c r="F28" s="7">
        <f t="shared" si="13"/>
        <v>0</v>
      </c>
      <c r="G28" s="2"/>
      <c r="H28" s="6">
        <v>262.73</v>
      </c>
      <c r="I28" s="2"/>
      <c r="J28" s="7">
        <f t="shared" si="14"/>
        <v>2.5436096466829095E-3</v>
      </c>
      <c r="K28" s="2"/>
      <c r="L28" s="6">
        <f t="shared" si="15"/>
        <v>27.849999999999966</v>
      </c>
      <c r="M28" s="2"/>
      <c r="N28" s="7">
        <f t="shared" si="16"/>
        <v>0.10600235983709498</v>
      </c>
      <c r="O28" s="11"/>
      <c r="P28" s="6">
        <v>2771.64</v>
      </c>
      <c r="Q28" s="2"/>
      <c r="R28" s="7">
        <f t="shared" si="17"/>
        <v>4.0173596830987294E-3</v>
      </c>
      <c r="S28" s="2"/>
      <c r="T28" s="6">
        <v>2783.73</v>
      </c>
      <c r="U28" s="2"/>
      <c r="V28" s="7">
        <f t="shared" si="18"/>
        <v>3.3455237261980878E-3</v>
      </c>
      <c r="W28" s="2"/>
      <c r="X28" s="6">
        <f t="shared" si="19"/>
        <v>-12.090000000000146</v>
      </c>
      <c r="Y28" s="2"/>
      <c r="Z28" s="7">
        <f t="shared" si="20"/>
        <v>-4.3430936189932734E-3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>
        <v>359.58</v>
      </c>
      <c r="E29" s="2"/>
      <c r="F29" s="7">
        <f t="shared" si="13"/>
        <v>0</v>
      </c>
      <c r="G29" s="2"/>
      <c r="H29" s="6">
        <v>221.28</v>
      </c>
      <c r="I29" s="2"/>
      <c r="J29" s="7">
        <f t="shared" si="14"/>
        <v>2.1423131831842354E-3</v>
      </c>
      <c r="K29" s="2"/>
      <c r="L29" s="6">
        <f t="shared" si="15"/>
        <v>138.29999999999998</v>
      </c>
      <c r="M29" s="2"/>
      <c r="N29" s="7">
        <f t="shared" si="16"/>
        <v>0.62499999999999989</v>
      </c>
      <c r="O29" s="11"/>
      <c r="P29" s="6">
        <v>2517.06</v>
      </c>
      <c r="Q29" s="2"/>
      <c r="R29" s="7">
        <f t="shared" si="17"/>
        <v>3.6483581431717279E-3</v>
      </c>
      <c r="S29" s="2"/>
      <c r="T29" s="6">
        <v>2318.11</v>
      </c>
      <c r="U29" s="2"/>
      <c r="V29" s="7">
        <f t="shared" si="18"/>
        <v>2.7859354193607317E-3</v>
      </c>
      <c r="W29" s="2"/>
      <c r="X29" s="6">
        <f t="shared" si="19"/>
        <v>198.94999999999982</v>
      </c>
      <c r="Y29" s="2"/>
      <c r="Z29" s="7">
        <f t="shared" si="20"/>
        <v>8.5824227495675268E-2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287.82</v>
      </c>
      <c r="E30" s="2"/>
      <c r="F30" s="7">
        <f t="shared" si="13"/>
        <v>0</v>
      </c>
      <c r="G30" s="2"/>
      <c r="H30" s="6">
        <v>177.12</v>
      </c>
      <c r="I30" s="2"/>
      <c r="J30" s="7">
        <f t="shared" si="14"/>
        <v>1.7147799665834771E-3</v>
      </c>
      <c r="K30" s="2"/>
      <c r="L30" s="6">
        <f t="shared" si="15"/>
        <v>110.69999999999999</v>
      </c>
      <c r="M30" s="2"/>
      <c r="N30" s="7">
        <f t="shared" si="16"/>
        <v>0.62499999999999989</v>
      </c>
      <c r="O30" s="11"/>
      <c r="P30" s="6">
        <v>2014.74</v>
      </c>
      <c r="Q30" s="2"/>
      <c r="R30" s="7">
        <f t="shared" si="17"/>
        <v>2.9202693163348538E-3</v>
      </c>
      <c r="S30" s="2"/>
      <c r="T30" s="6">
        <v>1975.16</v>
      </c>
      <c r="U30" s="2"/>
      <c r="V30" s="7">
        <f t="shared" si="18"/>
        <v>2.3737735495315332E-3</v>
      </c>
      <c r="W30" s="2"/>
      <c r="X30" s="6">
        <f t="shared" si="19"/>
        <v>39.579999999999927</v>
      </c>
      <c r="Y30" s="2"/>
      <c r="Z30" s="7">
        <f t="shared" si="20"/>
        <v>2.0038882925940138E-2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16</v>
      </c>
      <c r="E31" s="2"/>
      <c r="F31" s="7">
        <f t="shared" si="13"/>
        <v>0</v>
      </c>
      <c r="G31" s="2"/>
      <c r="H31" s="6">
        <v>152.41999999999999</v>
      </c>
      <c r="I31" s="2"/>
      <c r="J31" s="7">
        <f t="shared" si="14"/>
        <v>1.4756479364648463E-3</v>
      </c>
      <c r="K31" s="2"/>
      <c r="L31" s="6">
        <f t="shared" si="15"/>
        <v>-136.41999999999999</v>
      </c>
      <c r="M31" s="2"/>
      <c r="N31" s="7">
        <f t="shared" si="16"/>
        <v>-0.89502689935703972</v>
      </c>
      <c r="O31" s="11"/>
      <c r="P31" s="6">
        <v>1385.32</v>
      </c>
      <c r="Q31" s="2"/>
      <c r="R31" s="7">
        <f t="shared" si="17"/>
        <v>2.0079551154516214E-3</v>
      </c>
      <c r="S31" s="2"/>
      <c r="T31" s="6">
        <v>1493.91</v>
      </c>
      <c r="U31" s="2"/>
      <c r="V31" s="7">
        <f t="shared" si="18"/>
        <v>1.7954009008792468E-3</v>
      </c>
      <c r="W31" s="2"/>
      <c r="X31" s="6">
        <f t="shared" si="19"/>
        <v>-108.59000000000015</v>
      </c>
      <c r="Y31" s="2"/>
      <c r="Z31" s="7">
        <f t="shared" si="20"/>
        <v>-7.2688448433975372E-2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3978</v>
      </c>
      <c r="E32" s="1"/>
      <c r="F32" s="5">
        <f t="shared" ref="F32:F37" si="21">IF(D$12=0,0,D32/D$12)</f>
        <v>0</v>
      </c>
      <c r="G32" s="1"/>
      <c r="H32" s="1">
        <f>SUM(OSRRefH22_1x_0)</f>
        <v>16916.47</v>
      </c>
      <c r="I32" s="1"/>
      <c r="J32" s="5">
        <f t="shared" ref="J32:J37" si="22">IF(H$12=0,0,H32/H$12)</f>
        <v>0.16377610581137306</v>
      </c>
      <c r="K32" s="1"/>
      <c r="L32" s="1">
        <f t="shared" ref="L32:L37" si="23">+D32-H32</f>
        <v>-12938.470000000001</v>
      </c>
      <c r="M32" s="1"/>
      <c r="N32" s="5">
        <f t="shared" ref="N32:N37" si="24">IF(H32=0,0,L32/H32)</f>
        <v>-0.76484455681356689</v>
      </c>
      <c r="O32" s="13"/>
      <c r="P32" s="1">
        <f>SUM(OSRRefP22_1x_0)</f>
        <v>161265.33999999997</v>
      </c>
      <c r="Q32" s="1"/>
      <c r="R32" s="5">
        <f t="shared" ref="R32:R37" si="25">IF(P$12=0,0,P32/P$12)</f>
        <v>0.23374640111890749</v>
      </c>
      <c r="S32" s="1"/>
      <c r="T32" s="1">
        <f>SUM(OSRRefT22_1x_0)</f>
        <v>165591.79</v>
      </c>
      <c r="U32" s="1"/>
      <c r="V32" s="5">
        <f t="shared" ref="V32:V37" si="26">IF(T$12=0,0,T32/T$12)</f>
        <v>0.1990104149140223</v>
      </c>
      <c r="W32" s="1"/>
      <c r="X32" s="1">
        <f t="shared" ref="X32:X37" si="27">+P32-T32</f>
        <v>-4326.4500000000407</v>
      </c>
      <c r="Y32" s="1"/>
      <c r="Z32" s="5">
        <f t="shared" ref="Z32:Z37" si="28">IF(T32=0,0,X32/T32)</f>
        <v>-2.6127201113050596E-2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3978</v>
      </c>
      <c r="E33" s="2"/>
      <c r="F33" s="7">
        <f t="shared" si="21"/>
        <v>0</v>
      </c>
      <c r="G33" s="2"/>
      <c r="H33" s="6">
        <v>3456</v>
      </c>
      <c r="I33" s="2"/>
      <c r="J33" s="7">
        <f t="shared" si="22"/>
        <v>3.3459121299189799E-2</v>
      </c>
      <c r="K33" s="2"/>
      <c r="L33" s="6">
        <f t="shared" si="23"/>
        <v>522</v>
      </c>
      <c r="M33" s="2"/>
      <c r="N33" s="7">
        <f t="shared" si="24"/>
        <v>0.15104166666666666</v>
      </c>
      <c r="O33" s="11"/>
      <c r="P33" s="6">
        <v>38824</v>
      </c>
      <c r="Q33" s="2"/>
      <c r="R33" s="7">
        <f t="shared" si="25"/>
        <v>5.6273532037575257E-2</v>
      </c>
      <c r="S33" s="2"/>
      <c r="T33" s="6">
        <v>36615.08</v>
      </c>
      <c r="U33" s="2"/>
      <c r="V33" s="7">
        <f t="shared" si="26"/>
        <v>4.4004489974473489E-2</v>
      </c>
      <c r="W33" s="2"/>
      <c r="X33" s="6">
        <f t="shared" si="27"/>
        <v>2208.9199999999983</v>
      </c>
      <c r="Y33" s="2"/>
      <c r="Z33" s="7">
        <f t="shared" si="28"/>
        <v>6.0328148948465991E-2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9018.76</v>
      </c>
      <c r="Q34" s="2"/>
      <c r="R34" s="7">
        <f t="shared" si="25"/>
        <v>1.3072261482567541E-2</v>
      </c>
      <c r="S34" s="2"/>
      <c r="T34" s="6"/>
      <c r="U34" s="2"/>
      <c r="V34" s="7">
        <f t="shared" si="26"/>
        <v>0</v>
      </c>
      <c r="W34" s="2"/>
      <c r="X34" s="6">
        <f t="shared" si="27"/>
        <v>9018.76</v>
      </c>
      <c r="Y34" s="2"/>
      <c r="Z34" s="7">
        <f t="shared" si="28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>
        <v>701.25</v>
      </c>
      <c r="I35" s="2"/>
      <c r="J35" s="7">
        <f t="shared" si="22"/>
        <v>6.7891229198659853E-3</v>
      </c>
      <c r="K35" s="2"/>
      <c r="L35" s="6">
        <f t="shared" si="23"/>
        <v>-701.25</v>
      </c>
      <c r="M35" s="2"/>
      <c r="N35" s="7">
        <f t="shared" si="24"/>
        <v>-1</v>
      </c>
      <c r="O35" s="11"/>
      <c r="P35" s="6">
        <v>1199.43</v>
      </c>
      <c r="Q35" s="2"/>
      <c r="R35" s="7">
        <f t="shared" si="25"/>
        <v>1.7385164468326007E-3</v>
      </c>
      <c r="S35" s="2"/>
      <c r="T35" s="6">
        <v>17339.53</v>
      </c>
      <c r="U35" s="2"/>
      <c r="V35" s="7">
        <f t="shared" si="26"/>
        <v>2.0838877698671755E-2</v>
      </c>
      <c r="W35" s="2"/>
      <c r="X35" s="6">
        <f t="shared" si="27"/>
        <v>-16140.099999999999</v>
      </c>
      <c r="Y35" s="2"/>
      <c r="Z35" s="7">
        <f t="shared" si="28"/>
        <v>-0.9308268447876038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1"/>
        <v>0</v>
      </c>
      <c r="G36" s="2"/>
      <c r="H36" s="6">
        <v>12210.22</v>
      </c>
      <c r="I36" s="2"/>
      <c r="J36" s="7">
        <f t="shared" si="22"/>
        <v>0.11821274076093553</v>
      </c>
      <c r="K36" s="2"/>
      <c r="L36" s="6">
        <f t="shared" si="23"/>
        <v>-12210.22</v>
      </c>
      <c r="M36" s="2"/>
      <c r="N36" s="7">
        <f t="shared" si="24"/>
        <v>-1</v>
      </c>
      <c r="O36" s="11"/>
      <c r="P36" s="6">
        <v>109564.34999999999</v>
      </c>
      <c r="Q36" s="2"/>
      <c r="R36" s="7">
        <f t="shared" si="25"/>
        <v>0.15880828765457211</v>
      </c>
      <c r="S36" s="2"/>
      <c r="T36" s="6">
        <v>108315.43000000001</v>
      </c>
      <c r="U36" s="2"/>
      <c r="V36" s="7">
        <f t="shared" si="26"/>
        <v>0.13017492392521837</v>
      </c>
      <c r="W36" s="2"/>
      <c r="X36" s="6">
        <f t="shared" si="27"/>
        <v>1248.9199999999837</v>
      </c>
      <c r="Y36" s="2"/>
      <c r="Z36" s="7">
        <f t="shared" si="28"/>
        <v>1.15303978389781E-2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>
        <v>549</v>
      </c>
      <c r="I37" s="2"/>
      <c r="J37" s="7">
        <f t="shared" si="22"/>
        <v>5.3151208313817122E-3</v>
      </c>
      <c r="K37" s="2"/>
      <c r="L37" s="6">
        <f t="shared" si="23"/>
        <v>-549</v>
      </c>
      <c r="M37" s="2"/>
      <c r="N37" s="7">
        <f t="shared" si="24"/>
        <v>-1</v>
      </c>
      <c r="O37" s="11"/>
      <c r="P37" s="6">
        <v>2658.8</v>
      </c>
      <c r="Q37" s="2"/>
      <c r="R37" s="7">
        <f t="shared" si="25"/>
        <v>3.8538034973600119E-3</v>
      </c>
      <c r="S37" s="2"/>
      <c r="T37" s="6">
        <v>3321.75</v>
      </c>
      <c r="U37" s="2"/>
      <c r="V37" s="7">
        <f t="shared" si="26"/>
        <v>3.9921233156586661E-3</v>
      </c>
      <c r="W37" s="2"/>
      <c r="X37" s="6">
        <f t="shared" si="27"/>
        <v>-662.94999999999982</v>
      </c>
      <c r="Y37" s="2"/>
      <c r="Z37" s="7">
        <f t="shared" si="28"/>
        <v>-0.19957853541055162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6" si="29">IF(D$12=0,0,D38/D$12)</f>
        <v>0</v>
      </c>
      <c r="G38" s="1"/>
      <c r="H38" s="1">
        <f>SUM(OSRRefH22_2x_0)</f>
        <v>108.35</v>
      </c>
      <c r="I38" s="1"/>
      <c r="J38" s="5">
        <f t="shared" ref="J38:J56" si="30">IF(H$12=0,0,H38/H$12)</f>
        <v>1.0489860511479208E-3</v>
      </c>
      <c r="K38" s="1"/>
      <c r="L38" s="1">
        <f t="shared" ref="L38:L56" si="31">+D38-H38</f>
        <v>-108.35</v>
      </c>
      <c r="M38" s="1"/>
      <c r="N38" s="5">
        <f t="shared" ref="N38:N56" si="32">IF(H38=0,0,L38/H38)</f>
        <v>-1</v>
      </c>
      <c r="O38" s="13"/>
      <c r="P38" s="1">
        <f>SUM(OSRRefP22_2x_0)</f>
        <v>262.2</v>
      </c>
      <c r="Q38" s="1"/>
      <c r="R38" s="5">
        <f t="shared" ref="R38:R56" si="33">IF(P$12=0,0,P38/P$12)</f>
        <v>3.8004636565661012E-4</v>
      </c>
      <c r="S38" s="1"/>
      <c r="T38" s="1">
        <f>SUM(OSRRefT22_2x_0)</f>
        <v>366.35</v>
      </c>
      <c r="U38" s="1"/>
      <c r="V38" s="5">
        <f t="shared" ref="V38:V56" si="34">IF(T$12=0,0,T38/T$12)</f>
        <v>4.4028430095327835E-4</v>
      </c>
      <c r="W38" s="1"/>
      <c r="X38" s="1">
        <f t="shared" ref="X38:X56" si="35">+P38-T38</f>
        <v>-104.15000000000003</v>
      </c>
      <c r="Y38" s="1"/>
      <c r="Z38" s="5">
        <f t="shared" ref="Z38:Z56" si="36">IF(T38=0,0,X38/T38)</f>
        <v>-0.28429097857240354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9"/>
        <v>0</v>
      </c>
      <c r="G39" s="2"/>
      <c r="H39" s="6">
        <v>108.35</v>
      </c>
      <c r="I39" s="2"/>
      <c r="J39" s="7">
        <f t="shared" si="30"/>
        <v>1.0489860511479208E-3</v>
      </c>
      <c r="K39" s="2"/>
      <c r="L39" s="6">
        <f t="shared" si="31"/>
        <v>-108.35</v>
      </c>
      <c r="M39" s="2"/>
      <c r="N39" s="7">
        <f t="shared" si="32"/>
        <v>-1</v>
      </c>
      <c r="O39" s="11"/>
      <c r="P39" s="6">
        <v>262.2</v>
      </c>
      <c r="Q39" s="2"/>
      <c r="R39" s="7">
        <f t="shared" si="33"/>
        <v>3.8004636565661012E-4</v>
      </c>
      <c r="S39" s="2"/>
      <c r="T39" s="6">
        <v>366.35</v>
      </c>
      <c r="U39" s="2"/>
      <c r="V39" s="7">
        <f t="shared" si="34"/>
        <v>4.4028430095327835E-4</v>
      </c>
      <c r="W39" s="2"/>
      <c r="X39" s="6">
        <f t="shared" si="35"/>
        <v>-104.15000000000003</v>
      </c>
      <c r="Y39" s="2"/>
      <c r="Z39" s="7">
        <f t="shared" si="36"/>
        <v>-0.28429097857240354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-45.41</v>
      </c>
      <c r="I40" s="1"/>
      <c r="J40" s="5">
        <f t="shared" si="30"/>
        <v>-4.3963503998732889E-4</v>
      </c>
      <c r="K40" s="1"/>
      <c r="L40" s="1">
        <f t="shared" si="31"/>
        <v>45.41</v>
      </c>
      <c r="M40" s="1"/>
      <c r="N40" s="5">
        <f t="shared" si="32"/>
        <v>-1</v>
      </c>
      <c r="O40" s="13"/>
      <c r="P40" s="1">
        <f>SUM(OSRRefP22_3x_0)</f>
        <v>-53.23</v>
      </c>
      <c r="Q40" s="1"/>
      <c r="R40" s="5">
        <f t="shared" si="33"/>
        <v>-7.7154340365756508E-5</v>
      </c>
      <c r="S40" s="1"/>
      <c r="T40" s="1">
        <f>SUM(OSRRefT22_3x_0)</f>
        <v>-195.08</v>
      </c>
      <c r="U40" s="1"/>
      <c r="V40" s="5">
        <f t="shared" si="34"/>
        <v>-2.3444973776433884E-4</v>
      </c>
      <c r="W40" s="1"/>
      <c r="X40" s="1">
        <f t="shared" si="35"/>
        <v>141.85000000000002</v>
      </c>
      <c r="Y40" s="1"/>
      <c r="Z40" s="5">
        <f t="shared" si="36"/>
        <v>-0.72713758458068489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29"/>
        <v>0</v>
      </c>
      <c r="G41" s="2"/>
      <c r="H41" s="6">
        <v>-45.41</v>
      </c>
      <c r="I41" s="2"/>
      <c r="J41" s="7">
        <f t="shared" si="30"/>
        <v>-4.3963503998732889E-4</v>
      </c>
      <c r="K41" s="2"/>
      <c r="L41" s="6">
        <f t="shared" si="31"/>
        <v>45.41</v>
      </c>
      <c r="M41" s="2"/>
      <c r="N41" s="7">
        <f t="shared" si="32"/>
        <v>-1</v>
      </c>
      <c r="O41" s="11"/>
      <c r="P41" s="6">
        <v>-53.23</v>
      </c>
      <c r="Q41" s="2"/>
      <c r="R41" s="7">
        <f t="shared" si="33"/>
        <v>-7.7154340365756508E-5</v>
      </c>
      <c r="S41" s="2"/>
      <c r="T41" s="6">
        <v>-195.08</v>
      </c>
      <c r="U41" s="2"/>
      <c r="V41" s="7">
        <f t="shared" si="34"/>
        <v>-2.3444973776433884E-4</v>
      </c>
      <c r="W41" s="2"/>
      <c r="X41" s="6">
        <f t="shared" si="35"/>
        <v>141.85000000000002</v>
      </c>
      <c r="Y41" s="2"/>
      <c r="Z41" s="7">
        <f t="shared" si="36"/>
        <v>-0.72713758458068489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29"/>
        <v>0</v>
      </c>
      <c r="G42" s="1"/>
      <c r="H42" s="1">
        <f>SUM(OSRRefH22_4x_0)</f>
        <v>2354.2600000000002</v>
      </c>
      <c r="I42" s="1"/>
      <c r="J42" s="5">
        <f t="shared" si="30"/>
        <v>2.2792670980853757E-2</v>
      </c>
      <c r="K42" s="1"/>
      <c r="L42" s="1">
        <f t="shared" si="31"/>
        <v>-2354.2600000000002</v>
      </c>
      <c r="M42" s="1"/>
      <c r="N42" s="5">
        <f t="shared" si="32"/>
        <v>-1</v>
      </c>
      <c r="O42" s="13"/>
      <c r="P42" s="1">
        <f>SUM(OSRRefP22_4x_0)</f>
        <v>25665.63</v>
      </c>
      <c r="Q42" s="1"/>
      <c r="R42" s="5">
        <f t="shared" si="33"/>
        <v>3.7201103752049061E-2</v>
      </c>
      <c r="S42" s="1"/>
      <c r="T42" s="1">
        <f>SUM(OSRRefT22_4x_0)</f>
        <v>26987.919999999998</v>
      </c>
      <c r="U42" s="1"/>
      <c r="V42" s="5">
        <f t="shared" si="34"/>
        <v>3.243444108470861E-2</v>
      </c>
      <c r="W42" s="1"/>
      <c r="X42" s="1">
        <f t="shared" si="35"/>
        <v>-1322.2899999999972</v>
      </c>
      <c r="Y42" s="1"/>
      <c r="Z42" s="5">
        <f t="shared" si="36"/>
        <v>-4.8995624709129021E-2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29"/>
        <v>0</v>
      </c>
      <c r="G43" s="2"/>
      <c r="H43" s="6">
        <v>2354.2600000000002</v>
      </c>
      <c r="I43" s="2"/>
      <c r="J43" s="7">
        <f t="shared" si="30"/>
        <v>2.2792670980853757E-2</v>
      </c>
      <c r="K43" s="2"/>
      <c r="L43" s="6">
        <f t="shared" si="31"/>
        <v>-2354.2600000000002</v>
      </c>
      <c r="M43" s="2"/>
      <c r="N43" s="7">
        <f t="shared" si="32"/>
        <v>-1</v>
      </c>
      <c r="O43" s="11"/>
      <c r="P43" s="6">
        <v>25665.63</v>
      </c>
      <c r="Q43" s="2"/>
      <c r="R43" s="7">
        <f t="shared" si="33"/>
        <v>3.7201103752049061E-2</v>
      </c>
      <c r="S43" s="2"/>
      <c r="T43" s="6">
        <v>26987.919999999998</v>
      </c>
      <c r="U43" s="2"/>
      <c r="V43" s="7">
        <f t="shared" si="34"/>
        <v>3.243444108470861E-2</v>
      </c>
      <c r="W43" s="2"/>
      <c r="X43" s="6">
        <f t="shared" si="35"/>
        <v>-1322.2899999999972</v>
      </c>
      <c r="Y43" s="2"/>
      <c r="Z43" s="7">
        <f t="shared" si="36"/>
        <v>-4.8995624709129021E-2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2017.34</v>
      </c>
      <c r="E44" s="1"/>
      <c r="F44" s="5">
        <f t="shared" si="29"/>
        <v>0</v>
      </c>
      <c r="G44" s="1"/>
      <c r="H44" s="1">
        <f>SUM(OSRRefH22_5x_0)</f>
        <v>2114.62</v>
      </c>
      <c r="I44" s="1"/>
      <c r="J44" s="5">
        <f t="shared" si="30"/>
        <v>2.0472606215767571E-2</v>
      </c>
      <c r="K44" s="1"/>
      <c r="L44" s="1">
        <f t="shared" si="31"/>
        <v>-97.279999999999973</v>
      </c>
      <c r="M44" s="1"/>
      <c r="N44" s="5">
        <f t="shared" si="32"/>
        <v>-4.6003537278565404E-2</v>
      </c>
      <c r="O44" s="13"/>
      <c r="P44" s="1">
        <f>SUM(OSRRefP22_5x_0)</f>
        <v>18895.32</v>
      </c>
      <c r="Q44" s="1"/>
      <c r="R44" s="5">
        <f t="shared" si="33"/>
        <v>2.7387863058423563E-2</v>
      </c>
      <c r="S44" s="1"/>
      <c r="T44" s="1">
        <f>SUM(OSRRefT22_5x_0)</f>
        <v>21146.2</v>
      </c>
      <c r="U44" s="1"/>
      <c r="V44" s="5">
        <f t="shared" si="34"/>
        <v>2.5413784317778666E-2</v>
      </c>
      <c r="W44" s="1"/>
      <c r="X44" s="1">
        <f t="shared" si="35"/>
        <v>-2250.880000000001</v>
      </c>
      <c r="Y44" s="1"/>
      <c r="Z44" s="5">
        <f t="shared" si="36"/>
        <v>-0.10644371092678595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2017.34</v>
      </c>
      <c r="E45" s="2"/>
      <c r="F45" s="7">
        <f t="shared" si="29"/>
        <v>0</v>
      </c>
      <c r="G45" s="2"/>
      <c r="H45" s="6">
        <v>2114.62</v>
      </c>
      <c r="I45" s="2"/>
      <c r="J45" s="7">
        <f t="shared" si="30"/>
        <v>2.0472606215767571E-2</v>
      </c>
      <c r="K45" s="2"/>
      <c r="L45" s="6">
        <f t="shared" si="31"/>
        <v>-97.279999999999973</v>
      </c>
      <c r="M45" s="2"/>
      <c r="N45" s="7">
        <f t="shared" si="32"/>
        <v>-4.6003537278565404E-2</v>
      </c>
      <c r="O45" s="11"/>
      <c r="P45" s="6">
        <v>18895.32</v>
      </c>
      <c r="Q45" s="2"/>
      <c r="R45" s="7">
        <f t="shared" si="33"/>
        <v>2.7387863058423563E-2</v>
      </c>
      <c r="S45" s="2"/>
      <c r="T45" s="6">
        <v>21146.2</v>
      </c>
      <c r="U45" s="2"/>
      <c r="V45" s="7">
        <f t="shared" si="34"/>
        <v>2.5413784317778666E-2</v>
      </c>
      <c r="W45" s="2"/>
      <c r="X45" s="6">
        <f t="shared" si="35"/>
        <v>-2250.880000000001</v>
      </c>
      <c r="Y45" s="2"/>
      <c r="Z45" s="7">
        <f t="shared" si="36"/>
        <v>-0.10644371092678595</v>
      </c>
    </row>
    <row r="46" spans="1:26" s="25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3"/>
      <c r="P46" s="1">
        <f>SUM(OSRRefP22_6x_0)</f>
        <v>0</v>
      </c>
      <c r="Q46" s="1"/>
      <c r="R46" s="5">
        <f t="shared" si="33"/>
        <v>0</v>
      </c>
      <c r="S46" s="1"/>
      <c r="T46" s="1">
        <f>SUM(OSRRefT22_6x_0)</f>
        <v>75.63</v>
      </c>
      <c r="U46" s="1"/>
      <c r="V46" s="5">
        <f t="shared" si="34"/>
        <v>9.0893139568981669E-5</v>
      </c>
      <c r="W46" s="1"/>
      <c r="X46" s="1">
        <f t="shared" si="35"/>
        <v>-75.63</v>
      </c>
      <c r="Y46" s="1"/>
      <c r="Z46" s="5">
        <f t="shared" si="36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/>
      <c r="Q47" s="2"/>
      <c r="R47" s="7">
        <f t="shared" si="33"/>
        <v>0</v>
      </c>
      <c r="S47" s="2"/>
      <c r="T47" s="6">
        <v>75.63</v>
      </c>
      <c r="U47" s="2"/>
      <c r="V47" s="7">
        <f t="shared" si="34"/>
        <v>9.0893139568981669E-5</v>
      </c>
      <c r="W47" s="2"/>
      <c r="X47" s="6">
        <f t="shared" si="35"/>
        <v>-75.63</v>
      </c>
      <c r="Y47" s="2"/>
      <c r="Z47" s="7">
        <f t="shared" si="36"/>
        <v>-1</v>
      </c>
    </row>
    <row r="48" spans="1:26" s="25" customFormat="1" outlineLevel="1" collapsed="1" x14ac:dyDescent="0.25">
      <c r="A48" s="26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SUM(OSRRefD22_7x_0)</f>
        <v>0</v>
      </c>
      <c r="E48" s="1"/>
      <c r="F48" s="5">
        <f t="shared" si="29"/>
        <v>0</v>
      </c>
      <c r="G48" s="1"/>
      <c r="H48" s="1">
        <f>SUM(OSRRefH22_7x_0)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SUM(OSRRefP22_7x_0)</f>
        <v>0</v>
      </c>
      <c r="Q48" s="1"/>
      <c r="R48" s="5">
        <f t="shared" si="33"/>
        <v>0</v>
      </c>
      <c r="S48" s="1"/>
      <c r="T48" s="1">
        <f>SUM(OSRRefT22_7x_0)</f>
        <v>-39.549999999999997</v>
      </c>
      <c r="U48" s="1"/>
      <c r="V48" s="5">
        <f t="shared" si="34"/>
        <v>-4.7531715852878822E-5</v>
      </c>
      <c r="W48" s="1"/>
      <c r="X48" s="1">
        <f t="shared" si="35"/>
        <v>39.549999999999997</v>
      </c>
      <c r="Y48" s="1"/>
      <c r="Z48" s="5">
        <f t="shared" si="36"/>
        <v>-1</v>
      </c>
    </row>
    <row r="49" spans="1:26" s="24" customFormat="1" hidden="1" outlineLevel="2" x14ac:dyDescent="0.25">
      <c r="A49" s="27"/>
      <c r="B49" s="11" t="str">
        <f>CONCATENATE("          ", "6307", " - ", "POSTAGE")</f>
        <v xml:space="preserve">          6307 - POSTAGE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/>
      <c r="Q49" s="2"/>
      <c r="R49" s="7">
        <f t="shared" si="33"/>
        <v>0</v>
      </c>
      <c r="S49" s="2"/>
      <c r="T49" s="6">
        <v>-39.549999999999997</v>
      </c>
      <c r="U49" s="2"/>
      <c r="V49" s="7">
        <f t="shared" si="34"/>
        <v>-4.7531715852878822E-5</v>
      </c>
      <c r="W49" s="2"/>
      <c r="X49" s="6">
        <f t="shared" si="35"/>
        <v>39.549999999999997</v>
      </c>
      <c r="Y49" s="2"/>
      <c r="Z49" s="7">
        <f t="shared" si="36"/>
        <v>-1</v>
      </c>
    </row>
    <row r="50" spans="1:26" s="25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29"/>
        <v>0</v>
      </c>
      <c r="G50" s="1"/>
      <c r="H50" s="1">
        <f>SUM(OSRRefH22_8x_0)</f>
        <v>38.25</v>
      </c>
      <c r="I50" s="1"/>
      <c r="J50" s="5">
        <f t="shared" si="30"/>
        <v>3.7031579562905376E-4</v>
      </c>
      <c r="K50" s="1"/>
      <c r="L50" s="1">
        <f t="shared" si="31"/>
        <v>-38.25</v>
      </c>
      <c r="M50" s="1"/>
      <c r="N50" s="5">
        <f t="shared" si="32"/>
        <v>-1</v>
      </c>
      <c r="O50" s="13"/>
      <c r="P50" s="1">
        <f>SUM(OSRRefP22_8x_0)</f>
        <v>1231.03</v>
      </c>
      <c r="Q50" s="1"/>
      <c r="R50" s="5">
        <f t="shared" si="33"/>
        <v>1.7843191362099801E-3</v>
      </c>
      <c r="S50" s="1"/>
      <c r="T50" s="1">
        <f>SUM(OSRRefT22_8x_0)</f>
        <v>1562.26</v>
      </c>
      <c r="U50" s="1"/>
      <c r="V50" s="5">
        <f t="shared" si="34"/>
        <v>1.8775448396540701E-3</v>
      </c>
      <c r="W50" s="1"/>
      <c r="X50" s="1">
        <f t="shared" si="35"/>
        <v>-331.23</v>
      </c>
      <c r="Y50" s="1"/>
      <c r="Z50" s="5">
        <f t="shared" si="36"/>
        <v>-0.21201976623609387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29"/>
        <v>0</v>
      </c>
      <c r="G51" s="2"/>
      <c r="H51" s="6">
        <v>38.25</v>
      </c>
      <c r="I51" s="2"/>
      <c r="J51" s="7">
        <f t="shared" si="30"/>
        <v>3.7031579562905376E-4</v>
      </c>
      <c r="K51" s="2"/>
      <c r="L51" s="6">
        <f t="shared" si="31"/>
        <v>-38.25</v>
      </c>
      <c r="M51" s="2"/>
      <c r="N51" s="7">
        <f t="shared" si="32"/>
        <v>-1</v>
      </c>
      <c r="O51" s="11"/>
      <c r="P51" s="6">
        <v>1231.03</v>
      </c>
      <c r="Q51" s="2"/>
      <c r="R51" s="7">
        <f t="shared" si="33"/>
        <v>1.7843191362099801E-3</v>
      </c>
      <c r="S51" s="2"/>
      <c r="T51" s="6">
        <v>1562.26</v>
      </c>
      <c r="U51" s="2"/>
      <c r="V51" s="7">
        <f t="shared" si="34"/>
        <v>1.8775448396540701E-3</v>
      </c>
      <c r="W51" s="2"/>
      <c r="X51" s="6">
        <f t="shared" si="35"/>
        <v>-331.23</v>
      </c>
      <c r="Y51" s="2"/>
      <c r="Z51" s="7">
        <f t="shared" si="36"/>
        <v>-0.21201976623609387</v>
      </c>
    </row>
    <row r="52" spans="1:26" s="25" customFormat="1" outlineLevel="1" collapsed="1" x14ac:dyDescent="0.25">
      <c r="A52" s="26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1150</v>
      </c>
      <c r="E52" s="1"/>
      <c r="F52" s="5">
        <f t="shared" si="29"/>
        <v>0</v>
      </c>
      <c r="G52" s="1"/>
      <c r="H52" s="1">
        <f>SUM(OSRRefH22_9x_0)</f>
        <v>1150</v>
      </c>
      <c r="I52" s="1"/>
      <c r="J52" s="5">
        <f t="shared" si="30"/>
        <v>1.1133677515644752E-2</v>
      </c>
      <c r="K52" s="1"/>
      <c r="L52" s="1">
        <f t="shared" si="31"/>
        <v>0</v>
      </c>
      <c r="M52" s="1"/>
      <c r="N52" s="5">
        <f t="shared" si="32"/>
        <v>0</v>
      </c>
      <c r="O52" s="13"/>
      <c r="P52" s="1">
        <f>SUM(OSRRefP22_9x_0)</f>
        <v>11500</v>
      </c>
      <c r="Q52" s="1"/>
      <c r="R52" s="5">
        <f t="shared" si="33"/>
        <v>1.6668700248096937E-2</v>
      </c>
      <c r="S52" s="1"/>
      <c r="T52" s="1">
        <f>SUM(OSRRefT22_9x_0)</f>
        <v>11500</v>
      </c>
      <c r="U52" s="1"/>
      <c r="V52" s="5">
        <f t="shared" si="34"/>
        <v>1.3820852902859835E-2</v>
      </c>
      <c r="W52" s="1"/>
      <c r="X52" s="1">
        <f t="shared" si="35"/>
        <v>0</v>
      </c>
      <c r="Y52" s="1"/>
      <c r="Z52" s="5">
        <f t="shared" si="36"/>
        <v>0</v>
      </c>
    </row>
    <row r="53" spans="1:26" s="24" customFormat="1" hidden="1" outlineLevel="2" x14ac:dyDescent="0.25">
      <c r="A53" s="27"/>
      <c r="B53" s="11" t="str">
        <f>CONCATENATE("          ", "6273", " - ", "RENT")</f>
        <v xml:space="preserve">          6273 - RENT</v>
      </c>
      <c r="C53" s="11"/>
      <c r="D53" s="6">
        <v>1150</v>
      </c>
      <c r="E53" s="2"/>
      <c r="F53" s="7">
        <f t="shared" si="29"/>
        <v>0</v>
      </c>
      <c r="G53" s="2"/>
      <c r="H53" s="6">
        <v>1150</v>
      </c>
      <c r="I53" s="2"/>
      <c r="J53" s="7">
        <f t="shared" si="30"/>
        <v>1.1133677515644752E-2</v>
      </c>
      <c r="K53" s="2"/>
      <c r="L53" s="6">
        <f t="shared" si="31"/>
        <v>0</v>
      </c>
      <c r="M53" s="2"/>
      <c r="N53" s="7">
        <f t="shared" si="32"/>
        <v>0</v>
      </c>
      <c r="O53" s="11"/>
      <c r="P53" s="6">
        <v>11500</v>
      </c>
      <c r="Q53" s="2"/>
      <c r="R53" s="7">
        <f t="shared" si="33"/>
        <v>1.6668700248096937E-2</v>
      </c>
      <c r="S53" s="2"/>
      <c r="T53" s="6">
        <v>11500</v>
      </c>
      <c r="U53" s="2"/>
      <c r="V53" s="7">
        <f t="shared" si="34"/>
        <v>1.3820852902859835E-2</v>
      </c>
      <c r="W53" s="2"/>
      <c r="X53" s="6">
        <f t="shared" si="35"/>
        <v>0</v>
      </c>
      <c r="Y53" s="2"/>
      <c r="Z53" s="7">
        <f t="shared" si="36"/>
        <v>0</v>
      </c>
    </row>
    <row r="54" spans="1:26" s="25" customFormat="1" outlineLevel="1" collapsed="1" x14ac:dyDescent="0.25">
      <c r="A54" s="26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180</v>
      </c>
      <c r="E54" s="1"/>
      <c r="F54" s="5">
        <f t="shared" si="29"/>
        <v>0</v>
      </c>
      <c r="G54" s="1"/>
      <c r="H54" s="1">
        <f>SUM(OSRRefH22_10x_0)</f>
        <v>360.26</v>
      </c>
      <c r="I54" s="1"/>
      <c r="J54" s="5">
        <f t="shared" si="30"/>
        <v>3.4878423145966769E-3</v>
      </c>
      <c r="K54" s="1"/>
      <c r="L54" s="1">
        <f t="shared" si="31"/>
        <v>-180.26</v>
      </c>
      <c r="M54" s="1"/>
      <c r="N54" s="5">
        <f t="shared" si="32"/>
        <v>-0.50036085049686341</v>
      </c>
      <c r="O54" s="13"/>
      <c r="P54" s="1">
        <f>SUM(OSRRefP22_10x_0)</f>
        <v>6394.04</v>
      </c>
      <c r="Q54" s="1"/>
      <c r="R54" s="5">
        <f t="shared" si="33"/>
        <v>9.2678553160297165E-3</v>
      </c>
      <c r="S54" s="1"/>
      <c r="T54" s="1">
        <f>SUM(OSRRefT22_10x_0)</f>
        <v>3309.64</v>
      </c>
      <c r="U54" s="1"/>
      <c r="V54" s="5">
        <f t="shared" si="34"/>
        <v>3.9775693566453064E-3</v>
      </c>
      <c r="W54" s="1"/>
      <c r="X54" s="1">
        <f t="shared" si="35"/>
        <v>3084.4</v>
      </c>
      <c r="Y54" s="1"/>
      <c r="Z54" s="5">
        <f t="shared" si="36"/>
        <v>0.93194425979864881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212.18</v>
      </c>
      <c r="Q55" s="2"/>
      <c r="R55" s="7">
        <f t="shared" si="33"/>
        <v>3.075447668383659E-4</v>
      </c>
      <c r="S55" s="2"/>
      <c r="T55" s="6">
        <v>202.41</v>
      </c>
      <c r="U55" s="2"/>
      <c r="V55" s="7">
        <f t="shared" si="34"/>
        <v>2.4325902922329209E-4</v>
      </c>
      <c r="W55" s="2"/>
      <c r="X55" s="6">
        <f t="shared" si="35"/>
        <v>9.7700000000000102</v>
      </c>
      <c r="Y55" s="2"/>
      <c r="Z55" s="7">
        <f t="shared" si="36"/>
        <v>4.8268366187441382E-2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180</v>
      </c>
      <c r="E56" s="2"/>
      <c r="F56" s="7">
        <f t="shared" si="29"/>
        <v>0</v>
      </c>
      <c r="G56" s="2"/>
      <c r="H56" s="6">
        <v>360.26</v>
      </c>
      <c r="I56" s="2"/>
      <c r="J56" s="7">
        <f t="shared" si="30"/>
        <v>3.4878423145966769E-3</v>
      </c>
      <c r="K56" s="2"/>
      <c r="L56" s="6">
        <f t="shared" si="31"/>
        <v>-180.26</v>
      </c>
      <c r="M56" s="2"/>
      <c r="N56" s="7">
        <f t="shared" si="32"/>
        <v>-0.50036085049686341</v>
      </c>
      <c r="O56" s="11"/>
      <c r="P56" s="6">
        <v>6181.86</v>
      </c>
      <c r="Q56" s="2"/>
      <c r="R56" s="7">
        <f t="shared" si="33"/>
        <v>8.9603105491913495E-3</v>
      </c>
      <c r="S56" s="2"/>
      <c r="T56" s="6">
        <v>3107.23</v>
      </c>
      <c r="U56" s="2"/>
      <c r="V56" s="7">
        <f t="shared" si="34"/>
        <v>3.7343103274220142E-3</v>
      </c>
      <c r="W56" s="2"/>
      <c r="X56" s="6">
        <f t="shared" si="35"/>
        <v>3074.6299999999997</v>
      </c>
      <c r="Y56" s="2"/>
      <c r="Z56" s="7">
        <f t="shared" si="36"/>
        <v>0.98950834022586021</v>
      </c>
    </row>
    <row r="57" spans="1:26" s="25" customFormat="1" outlineLevel="1" collapsed="1" x14ac:dyDescent="0.25">
      <c r="A57" s="26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SUM(OSRRefD22_11x_0)</f>
        <v>81.040000000000006</v>
      </c>
      <c r="E57" s="1"/>
      <c r="F57" s="5">
        <f t="shared" ref="F57:F60" si="37">IF(D$12=0,0,D57/D$12)</f>
        <v>0</v>
      </c>
      <c r="G57" s="1"/>
      <c r="H57" s="1">
        <f>SUM(OSRRefH22_11x_0)</f>
        <v>564.34</v>
      </c>
      <c r="I57" s="1"/>
      <c r="J57" s="5">
        <f t="shared" ref="J57:J60" si="38">IF(H$12=0,0,H57/H$12)</f>
        <v>5.463634407981705E-3</v>
      </c>
      <c r="K57" s="1"/>
      <c r="L57" s="1">
        <f t="shared" ref="L57:L60" si="39">+D57-H57</f>
        <v>-483.3</v>
      </c>
      <c r="M57" s="1"/>
      <c r="N57" s="5">
        <f t="shared" ref="N57:N60" si="40">IF(H57=0,0,L57/H57)</f>
        <v>-0.85639862494241059</v>
      </c>
      <c r="O57" s="13"/>
      <c r="P57" s="1">
        <f>SUM(OSRRefP22_11x_0)</f>
        <v>4261.54</v>
      </c>
      <c r="Q57" s="1"/>
      <c r="R57" s="5">
        <f t="shared" ref="R57:R60" si="41">IF(P$12=0,0,P57/P$12)</f>
        <v>6.176898509154349E-3</v>
      </c>
      <c r="S57" s="1"/>
      <c r="T57" s="1">
        <f>SUM(OSRRefT22_11x_0)</f>
        <v>4872.9699999999993</v>
      </c>
      <c r="U57" s="1"/>
      <c r="V57" s="5">
        <f t="shared" ref="V57:V60" si="42">IF(T$12=0,0,T57/T$12)</f>
        <v>5.8564001365259896E-3</v>
      </c>
      <c r="W57" s="1"/>
      <c r="X57" s="1">
        <f t="shared" ref="X57:X60" si="43">+P57-T57</f>
        <v>-611.42999999999938</v>
      </c>
      <c r="Y57" s="1"/>
      <c r="Z57" s="5">
        <f t="shared" ref="Z57:Z60" si="44">IF(T57=0,0,X57/T57)</f>
        <v>-0.12547378703336967</v>
      </c>
    </row>
    <row r="58" spans="1:26" s="24" customFormat="1" hidden="1" outlineLevel="2" x14ac:dyDescent="0.25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6"/>
      <c r="E58" s="2"/>
      <c r="F58" s="7">
        <f t="shared" si="37"/>
        <v>0</v>
      </c>
      <c r="G58" s="2"/>
      <c r="H58" s="6">
        <v>116.81</v>
      </c>
      <c r="I58" s="2"/>
      <c r="J58" s="7">
        <f t="shared" si="38"/>
        <v>1.1308911918282293E-3</v>
      </c>
      <c r="K58" s="2"/>
      <c r="L58" s="6">
        <f t="shared" si="39"/>
        <v>-116.81</v>
      </c>
      <c r="M58" s="2"/>
      <c r="N58" s="7">
        <f t="shared" si="40"/>
        <v>-1</v>
      </c>
      <c r="O58" s="11"/>
      <c r="P58" s="6">
        <v>1051.29</v>
      </c>
      <c r="Q58" s="2"/>
      <c r="R58" s="7">
        <f t="shared" si="41"/>
        <v>1.5237945985932023E-3</v>
      </c>
      <c r="S58" s="2"/>
      <c r="T58" s="6">
        <v>1051.29</v>
      </c>
      <c r="U58" s="2"/>
      <c r="V58" s="7">
        <f t="shared" si="42"/>
        <v>1.2634542998476101E-3</v>
      </c>
      <c r="W58" s="2"/>
      <c r="X58" s="6">
        <f t="shared" si="43"/>
        <v>0</v>
      </c>
      <c r="Y58" s="2"/>
      <c r="Z58" s="7">
        <f t="shared" si="44"/>
        <v>0</v>
      </c>
    </row>
    <row r="59" spans="1:26" s="24" customFormat="1" hidden="1" outlineLevel="2" x14ac:dyDescent="0.25">
      <c r="A59" s="27"/>
      <c r="B59" s="11" t="str">
        <f>CONCATENATE("          ", "6285", " - ", "JANITORIAL SERVICES")</f>
        <v xml:space="preserve">          6285 - JANITORIAL SERVICES</v>
      </c>
      <c r="C59" s="11"/>
      <c r="D59" s="6">
        <v>81.040000000000006</v>
      </c>
      <c r="E59" s="2"/>
      <c r="F59" s="7">
        <f t="shared" si="37"/>
        <v>0</v>
      </c>
      <c r="G59" s="2"/>
      <c r="H59" s="6">
        <v>75.680000000000007</v>
      </c>
      <c r="I59" s="2"/>
      <c r="J59" s="7">
        <f t="shared" si="38"/>
        <v>7.326927951165174E-4</v>
      </c>
      <c r="K59" s="2"/>
      <c r="L59" s="6">
        <f t="shared" si="39"/>
        <v>5.3599999999999994</v>
      </c>
      <c r="M59" s="2"/>
      <c r="N59" s="7">
        <f t="shared" si="40"/>
        <v>7.0824524312896389E-2</v>
      </c>
      <c r="O59" s="11"/>
      <c r="P59" s="6">
        <v>678.24</v>
      </c>
      <c r="Q59" s="2"/>
      <c r="R59" s="7">
        <f t="shared" si="41"/>
        <v>9.8307645706689263E-4</v>
      </c>
      <c r="S59" s="2"/>
      <c r="T59" s="6">
        <v>648.54</v>
      </c>
      <c r="U59" s="2"/>
      <c r="V59" s="7">
        <f t="shared" si="42"/>
        <v>7.7942399492354059E-4</v>
      </c>
      <c r="W59" s="2"/>
      <c r="X59" s="6">
        <f t="shared" si="43"/>
        <v>29.700000000000045</v>
      </c>
      <c r="Y59" s="2"/>
      <c r="Z59" s="7">
        <f t="shared" si="44"/>
        <v>4.5795170691090833E-2</v>
      </c>
    </row>
    <row r="60" spans="1:26" s="24" customFormat="1" hidden="1" outlineLevel="2" x14ac:dyDescent="0.25">
      <c r="A60" s="27"/>
      <c r="B60" s="11" t="str">
        <f>CONCATENATE("          ", "6286", " - ", "LAUNDRY EXPENSE")</f>
        <v xml:space="preserve">          6286 - LAUNDRY EXPENSE</v>
      </c>
      <c r="C60" s="11"/>
      <c r="D60" s="6"/>
      <c r="E60" s="2"/>
      <c r="F60" s="7">
        <f t="shared" si="37"/>
        <v>0</v>
      </c>
      <c r="G60" s="2"/>
      <c r="H60" s="6">
        <v>371.85</v>
      </c>
      <c r="I60" s="2"/>
      <c r="J60" s="7">
        <f t="shared" si="38"/>
        <v>3.6000504210369579E-3</v>
      </c>
      <c r="K60" s="2"/>
      <c r="L60" s="6">
        <f t="shared" si="39"/>
        <v>-371.85</v>
      </c>
      <c r="M60" s="2"/>
      <c r="N60" s="7">
        <f t="shared" si="40"/>
        <v>-1</v>
      </c>
      <c r="O60" s="11"/>
      <c r="P60" s="6">
        <v>2532.0100000000002</v>
      </c>
      <c r="Q60" s="2"/>
      <c r="R60" s="7">
        <f t="shared" si="41"/>
        <v>3.6700274534942545E-3</v>
      </c>
      <c r="S60" s="2"/>
      <c r="T60" s="6">
        <v>3173.14</v>
      </c>
      <c r="U60" s="2"/>
      <c r="V60" s="7">
        <f t="shared" si="42"/>
        <v>3.8135218417548397E-3</v>
      </c>
      <c r="W60" s="2"/>
      <c r="X60" s="6">
        <f t="shared" si="43"/>
        <v>-641.12999999999965</v>
      </c>
      <c r="Y60" s="2"/>
      <c r="Z60" s="7">
        <f t="shared" si="44"/>
        <v>-0.20204907441839934</v>
      </c>
    </row>
    <row r="61" spans="1:26" s="25" customFormat="1" outlineLevel="1" collapsed="1" x14ac:dyDescent="0.25">
      <c r="A61" s="26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SUM(OSRRefD22_12x_0)</f>
        <v>0</v>
      </c>
      <c r="E61" s="1"/>
      <c r="F61" s="5">
        <f t="shared" ref="F61:F70" si="45">IF(D$12=0,0,D61/D$12)</f>
        <v>0</v>
      </c>
      <c r="G61" s="1"/>
      <c r="H61" s="1">
        <f>SUM(OSRRefH22_12x_0)</f>
        <v>0</v>
      </c>
      <c r="I61" s="1"/>
      <c r="J61" s="5">
        <f t="shared" ref="J61:J70" si="46">IF(H$12=0,0,H61/H$12)</f>
        <v>0</v>
      </c>
      <c r="K61" s="1"/>
      <c r="L61" s="1">
        <f t="shared" ref="L61:L70" si="47">+D61-H61</f>
        <v>0</v>
      </c>
      <c r="M61" s="1"/>
      <c r="N61" s="5">
        <f t="shared" ref="N61:N70" si="48">IF(H61=0,0,L61/H61)</f>
        <v>0</v>
      </c>
      <c r="O61" s="13"/>
      <c r="P61" s="1">
        <f>SUM(OSRRefP22_12x_0)</f>
        <v>0</v>
      </c>
      <c r="Q61" s="1"/>
      <c r="R61" s="5">
        <f t="shared" ref="R61:R70" si="49">IF(P$12=0,0,P61/P$12)</f>
        <v>0</v>
      </c>
      <c r="S61" s="1"/>
      <c r="T61" s="1">
        <f>SUM(OSRRefT22_12x_0)</f>
        <v>45</v>
      </c>
      <c r="U61" s="1"/>
      <c r="V61" s="5">
        <f t="shared" ref="V61:V70" si="50">IF(T$12=0,0,T61/T$12)</f>
        <v>5.4081598315538484E-5</v>
      </c>
      <c r="W61" s="1"/>
      <c r="X61" s="1">
        <f t="shared" ref="X61:X70" si="51">+P61-T61</f>
        <v>-45</v>
      </c>
      <c r="Y61" s="1"/>
      <c r="Z61" s="5">
        <f t="shared" ref="Z61:Z70" si="52">IF(T61=0,0,X61/T61)</f>
        <v>-1</v>
      </c>
    </row>
    <row r="62" spans="1:26" s="24" customFormat="1" hidden="1" outlineLevel="2" x14ac:dyDescent="0.25">
      <c r="A62" s="27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/>
      <c r="Q62" s="2"/>
      <c r="R62" s="7">
        <f t="shared" si="49"/>
        <v>0</v>
      </c>
      <c r="S62" s="2"/>
      <c r="T62" s="6">
        <v>45</v>
      </c>
      <c r="U62" s="2"/>
      <c r="V62" s="7">
        <f t="shared" si="50"/>
        <v>5.4081598315538484E-5</v>
      </c>
      <c r="W62" s="2"/>
      <c r="X62" s="6">
        <f t="shared" si="51"/>
        <v>-45</v>
      </c>
      <c r="Y62" s="2"/>
      <c r="Z62" s="7">
        <f t="shared" si="52"/>
        <v>-1</v>
      </c>
    </row>
    <row r="63" spans="1:26" s="25" customFormat="1" outlineLevel="1" collapsed="1" x14ac:dyDescent="0.25">
      <c r="A63" s="26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SUM(OSRRefD22_13x_0)</f>
        <v>25</v>
      </c>
      <c r="E63" s="1"/>
      <c r="F63" s="5">
        <f t="shared" si="45"/>
        <v>0</v>
      </c>
      <c r="G63" s="1"/>
      <c r="H63" s="1">
        <f>SUM(OSRRefH22_13x_0)</f>
        <v>1760.75</v>
      </c>
      <c r="I63" s="1"/>
      <c r="J63" s="5">
        <f t="shared" si="46"/>
        <v>1.7046628422323042E-2</v>
      </c>
      <c r="K63" s="1"/>
      <c r="L63" s="1">
        <f t="shared" si="47"/>
        <v>-1735.75</v>
      </c>
      <c r="M63" s="1"/>
      <c r="N63" s="5">
        <f t="shared" si="48"/>
        <v>-0.98580150504046571</v>
      </c>
      <c r="O63" s="13"/>
      <c r="P63" s="1">
        <f>SUM(OSRRefP22_13x_0)</f>
        <v>14338.21</v>
      </c>
      <c r="Q63" s="1"/>
      <c r="R63" s="5">
        <f t="shared" si="49"/>
        <v>2.0782549963849213E-2</v>
      </c>
      <c r="S63" s="1"/>
      <c r="T63" s="1">
        <f>SUM(OSRRefT22_13x_0)</f>
        <v>15996.450000000003</v>
      </c>
      <c r="U63" s="1"/>
      <c r="V63" s="5">
        <f t="shared" si="50"/>
        <v>1.9224746297213238E-2</v>
      </c>
      <c r="W63" s="1"/>
      <c r="X63" s="1">
        <f t="shared" si="51"/>
        <v>-1658.2400000000034</v>
      </c>
      <c r="Y63" s="1"/>
      <c r="Z63" s="5">
        <f t="shared" si="52"/>
        <v>-0.10366300022817583</v>
      </c>
    </row>
    <row r="64" spans="1:26" s="24" customFormat="1" hidden="1" outlineLevel="2" x14ac:dyDescent="0.25">
      <c r="A64" s="27"/>
      <c r="B64" s="11" t="str">
        <f>CONCATENATE("          ", "6234", " - ", "EXPENDABLE SUPPLIES &amp; EQUIPMEN")</f>
        <v xml:space="preserve">          6234 - EXPENDABLE SUPPLIES &amp; EQUIPMEN</v>
      </c>
      <c r="C64" s="11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1"/>
      <c r="P64" s="6">
        <v>354.71</v>
      </c>
      <c r="Q64" s="2"/>
      <c r="R64" s="7">
        <f t="shared" si="49"/>
        <v>5.1413518826108379E-4</v>
      </c>
      <c r="S64" s="2"/>
      <c r="T64" s="6"/>
      <c r="U64" s="2"/>
      <c r="V64" s="7">
        <f t="shared" si="50"/>
        <v>0</v>
      </c>
      <c r="W64" s="2"/>
      <c r="X64" s="6">
        <f t="shared" si="51"/>
        <v>354.71</v>
      </c>
      <c r="Y64" s="2"/>
      <c r="Z64" s="7">
        <f t="shared" si="52"/>
        <v>0</v>
      </c>
    </row>
    <row r="65" spans="1:26" s="24" customFormat="1" hidden="1" outlineLevel="2" x14ac:dyDescent="0.25">
      <c r="A65" s="27"/>
      <c r="B65" s="11" t="str">
        <f>CONCATENATE("          ", "6237", " - ", "JANITORIAL SUPPLIES")</f>
        <v xml:space="preserve">          6237 - JANITORIAL SUPPLIES</v>
      </c>
      <c r="C65" s="11"/>
      <c r="D65" s="6"/>
      <c r="E65" s="2"/>
      <c r="F65" s="7">
        <f t="shared" si="45"/>
        <v>0</v>
      </c>
      <c r="G65" s="2"/>
      <c r="H65" s="6">
        <v>176.38</v>
      </c>
      <c r="I65" s="2"/>
      <c r="J65" s="7">
        <f t="shared" si="46"/>
        <v>1.7076156871386275E-3</v>
      </c>
      <c r="K65" s="2"/>
      <c r="L65" s="6">
        <f t="shared" si="47"/>
        <v>-176.38</v>
      </c>
      <c r="M65" s="2"/>
      <c r="N65" s="7">
        <f t="shared" si="48"/>
        <v>-1</v>
      </c>
      <c r="O65" s="11"/>
      <c r="P65" s="6">
        <v>1709.62</v>
      </c>
      <c r="Q65" s="2"/>
      <c r="R65" s="7">
        <f t="shared" si="49"/>
        <v>2.4780124624479549E-3</v>
      </c>
      <c r="S65" s="2"/>
      <c r="T65" s="6">
        <v>2308.8200000000002</v>
      </c>
      <c r="U65" s="2"/>
      <c r="V65" s="7">
        <f t="shared" si="50"/>
        <v>2.7747705738418128E-3</v>
      </c>
      <c r="W65" s="2"/>
      <c r="X65" s="6">
        <f t="shared" si="51"/>
        <v>-599.20000000000027</v>
      </c>
      <c r="Y65" s="2"/>
      <c r="Z65" s="7">
        <f t="shared" si="52"/>
        <v>-0.25952651137810667</v>
      </c>
    </row>
    <row r="66" spans="1:26" s="24" customFormat="1" hidden="1" outlineLevel="2" x14ac:dyDescent="0.25">
      <c r="A66" s="27"/>
      <c r="B66" s="11" t="str">
        <f>CONCATENATE("          ", "6239", " - ", "KITCHEN SUPPLIES")</f>
        <v xml:space="preserve">          6239 - KITCHEN SUPPLIES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>
        <v>441.2</v>
      </c>
      <c r="Q66" s="2"/>
      <c r="R66" s="7">
        <f t="shared" si="49"/>
        <v>6.3949830864872762E-4</v>
      </c>
      <c r="S66" s="2"/>
      <c r="T66" s="6">
        <v>43.19</v>
      </c>
      <c r="U66" s="2"/>
      <c r="V66" s="7">
        <f t="shared" si="50"/>
        <v>5.190631624995793E-5</v>
      </c>
      <c r="W66" s="2"/>
      <c r="X66" s="6">
        <f t="shared" si="51"/>
        <v>398.01</v>
      </c>
      <c r="Y66" s="2"/>
      <c r="Z66" s="7">
        <f t="shared" si="52"/>
        <v>9.2153276221347529</v>
      </c>
    </row>
    <row r="67" spans="1:26" s="24" customFormat="1" hidden="1" outlineLevel="2" x14ac:dyDescent="0.25">
      <c r="A67" s="27"/>
      <c r="B67" s="11" t="str">
        <f>CONCATENATE("          ", "6241", " - ", "OFFICE EXPENSE")</f>
        <v xml:space="preserve">          6241 - OFFICE EXPENSE</v>
      </c>
      <c r="C67" s="11"/>
      <c r="D67" s="6"/>
      <c r="E67" s="2"/>
      <c r="F67" s="7">
        <f t="shared" si="45"/>
        <v>0</v>
      </c>
      <c r="G67" s="2"/>
      <c r="H67" s="6">
        <v>165.98</v>
      </c>
      <c r="I67" s="2"/>
      <c r="J67" s="7">
        <f t="shared" si="46"/>
        <v>1.6069285165623618E-3</v>
      </c>
      <c r="K67" s="2"/>
      <c r="L67" s="6">
        <f t="shared" si="47"/>
        <v>-165.98</v>
      </c>
      <c r="M67" s="2"/>
      <c r="N67" s="7">
        <f t="shared" si="48"/>
        <v>-1</v>
      </c>
      <c r="O67" s="11"/>
      <c r="P67" s="6">
        <v>1564.62</v>
      </c>
      <c r="Q67" s="2"/>
      <c r="R67" s="7">
        <f t="shared" si="49"/>
        <v>2.2678418941023851E-3</v>
      </c>
      <c r="S67" s="2"/>
      <c r="T67" s="6">
        <v>3197.36</v>
      </c>
      <c r="U67" s="2"/>
      <c r="V67" s="7">
        <f t="shared" si="50"/>
        <v>3.8426297597815586E-3</v>
      </c>
      <c r="W67" s="2"/>
      <c r="X67" s="6">
        <f t="shared" si="51"/>
        <v>-1632.7400000000002</v>
      </c>
      <c r="Y67" s="2"/>
      <c r="Z67" s="7">
        <f t="shared" si="52"/>
        <v>-0.51065253834413393</v>
      </c>
    </row>
    <row r="68" spans="1:26" s="24" customFormat="1" hidden="1" outlineLevel="2" x14ac:dyDescent="0.25">
      <c r="A68" s="27"/>
      <c r="B68" s="11" t="str">
        <f>CONCATENATE("          ", "6243", " - ", "PAPER SUPPLIES")</f>
        <v xml:space="preserve">          6243 - PAPER SUPPLIES</v>
      </c>
      <c r="C68" s="11"/>
      <c r="D68" s="6"/>
      <c r="E68" s="2"/>
      <c r="F68" s="7">
        <f t="shared" si="45"/>
        <v>0</v>
      </c>
      <c r="G68" s="2"/>
      <c r="H68" s="6">
        <v>497.4</v>
      </c>
      <c r="I68" s="2"/>
      <c r="J68" s="7">
        <f t="shared" si="46"/>
        <v>4.8155575619840867E-3</v>
      </c>
      <c r="K68" s="2"/>
      <c r="L68" s="6">
        <f t="shared" si="47"/>
        <v>-497.4</v>
      </c>
      <c r="M68" s="2"/>
      <c r="N68" s="7">
        <f t="shared" si="48"/>
        <v>-1</v>
      </c>
      <c r="O68" s="11"/>
      <c r="P68" s="6">
        <v>2823.28</v>
      </c>
      <c r="Q68" s="2"/>
      <c r="R68" s="7">
        <f t="shared" si="49"/>
        <v>4.0922093944736624E-3</v>
      </c>
      <c r="S68" s="2"/>
      <c r="T68" s="6">
        <v>5543.21</v>
      </c>
      <c r="U68" s="2"/>
      <c r="V68" s="7">
        <f t="shared" si="50"/>
        <v>6.66190347997058E-3</v>
      </c>
      <c r="W68" s="2"/>
      <c r="X68" s="6">
        <f t="shared" si="51"/>
        <v>-2719.93</v>
      </c>
      <c r="Y68" s="2"/>
      <c r="Z68" s="7">
        <f t="shared" si="52"/>
        <v>-0.49067778417198693</v>
      </c>
    </row>
    <row r="69" spans="1:26" s="24" customFormat="1" hidden="1" outlineLevel="2" x14ac:dyDescent="0.25">
      <c r="A69" s="27"/>
      <c r="B69" s="11" t="str">
        <f>CONCATENATE("          ", "6247", " - ", "STORE SUPPLIES")</f>
        <v xml:space="preserve">          6247 - STORE SUPPLIES</v>
      </c>
      <c r="C69" s="11"/>
      <c r="D69" s="6">
        <v>25</v>
      </c>
      <c r="E69" s="2"/>
      <c r="F69" s="7">
        <f t="shared" si="45"/>
        <v>0</v>
      </c>
      <c r="G69" s="2"/>
      <c r="H69" s="6">
        <v>920.99</v>
      </c>
      <c r="I69" s="2"/>
      <c r="J69" s="7">
        <f t="shared" si="46"/>
        <v>8.9165266566379655E-3</v>
      </c>
      <c r="K69" s="2"/>
      <c r="L69" s="6">
        <f t="shared" si="47"/>
        <v>-895.99</v>
      </c>
      <c r="M69" s="2"/>
      <c r="N69" s="7">
        <f t="shared" si="48"/>
        <v>-0.97285529701734008</v>
      </c>
      <c r="O69" s="11"/>
      <c r="P69" s="6">
        <v>7367.19</v>
      </c>
      <c r="Q69" s="2"/>
      <c r="R69" s="7">
        <f t="shared" si="49"/>
        <v>1.0678389720067587E-2</v>
      </c>
      <c r="S69" s="2"/>
      <c r="T69" s="6">
        <v>4716</v>
      </c>
      <c r="U69" s="2"/>
      <c r="V69" s="7">
        <f t="shared" si="50"/>
        <v>5.6677515034684331E-3</v>
      </c>
      <c r="W69" s="2"/>
      <c r="X69" s="6">
        <f t="shared" si="51"/>
        <v>2651.1899999999996</v>
      </c>
      <c r="Y69" s="2"/>
      <c r="Z69" s="7">
        <f t="shared" si="52"/>
        <v>0.56216921119592866</v>
      </c>
    </row>
    <row r="70" spans="1:26" s="24" customFormat="1" hidden="1" outlineLevel="2" x14ac:dyDescent="0.25">
      <c r="A70" s="27"/>
      <c r="B70" s="11" t="str">
        <f>CONCATENATE("          ", "6248", " - ", "UNIFORMS")</f>
        <v xml:space="preserve">          6248 - UNIFORMS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>
        <v>77.59</v>
      </c>
      <c r="Q70" s="2"/>
      <c r="R70" s="7">
        <f t="shared" si="49"/>
        <v>1.1246299584781229E-4</v>
      </c>
      <c r="S70" s="2"/>
      <c r="T70" s="6">
        <v>187.87</v>
      </c>
      <c r="U70" s="2"/>
      <c r="V70" s="7">
        <f t="shared" si="50"/>
        <v>2.2578466390089368E-4</v>
      </c>
      <c r="W70" s="2"/>
      <c r="X70" s="6">
        <f t="shared" si="51"/>
        <v>-110.28</v>
      </c>
      <c r="Y70" s="2"/>
      <c r="Z70" s="7">
        <f t="shared" si="52"/>
        <v>-0.58700165007718097</v>
      </c>
    </row>
    <row r="71" spans="1:26" s="25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86</v>
      </c>
      <c r="E71" s="1"/>
      <c r="F71" s="5">
        <f t="shared" ref="F71:F76" si="53">IF(D$12=0,0,D71/D$12)</f>
        <v>0</v>
      </c>
      <c r="G71" s="1"/>
      <c r="H71" s="1">
        <f>SUM(OSRRefH22_14x_0)</f>
        <v>36</v>
      </c>
      <c r="I71" s="1"/>
      <c r="J71" s="5">
        <f t="shared" ref="J71:J76" si="54">IF(H$12=0,0,H71/H$12)</f>
        <v>3.4853251353322704E-4</v>
      </c>
      <c r="K71" s="1"/>
      <c r="L71" s="1">
        <f t="shared" ref="L71:L76" si="55">+D71-H71</f>
        <v>50</v>
      </c>
      <c r="M71" s="1"/>
      <c r="N71" s="5">
        <f t="shared" ref="N71:N76" si="56">IF(H71=0,0,L71/H71)</f>
        <v>1.3888888888888888</v>
      </c>
      <c r="O71" s="13"/>
      <c r="P71" s="1">
        <f>SUM(OSRRefP22_14x_0)</f>
        <v>604.28</v>
      </c>
      <c r="Q71" s="1"/>
      <c r="R71" s="5">
        <f t="shared" ref="R71:R76" si="57">IF(P$12=0,0,P71/P$12)</f>
        <v>8.7587497268869707E-4</v>
      </c>
      <c r="S71" s="1"/>
      <c r="T71" s="1">
        <f>SUM(OSRRefT22_14x_0)</f>
        <v>360</v>
      </c>
      <c r="U71" s="1"/>
      <c r="V71" s="5">
        <f t="shared" ref="V71:V76" si="58">IF(T$12=0,0,T71/T$12)</f>
        <v>4.3265278652430787E-4</v>
      </c>
      <c r="W71" s="1"/>
      <c r="X71" s="1">
        <f t="shared" ref="X71:X76" si="59">+P71-T71</f>
        <v>244.27999999999997</v>
      </c>
      <c r="Y71" s="1"/>
      <c r="Z71" s="5">
        <f t="shared" ref="Z71:Z76" si="60">IF(T71=0,0,X71/T71)</f>
        <v>0.67855555555555547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6">
        <v>86</v>
      </c>
      <c r="E72" s="2"/>
      <c r="F72" s="7">
        <f t="shared" si="53"/>
        <v>0</v>
      </c>
      <c r="G72" s="2"/>
      <c r="H72" s="6">
        <v>36</v>
      </c>
      <c r="I72" s="2"/>
      <c r="J72" s="7">
        <f t="shared" si="54"/>
        <v>3.4853251353322704E-4</v>
      </c>
      <c r="K72" s="2"/>
      <c r="L72" s="6">
        <f t="shared" si="55"/>
        <v>50</v>
      </c>
      <c r="M72" s="2"/>
      <c r="N72" s="7">
        <f t="shared" si="56"/>
        <v>1.3888888888888888</v>
      </c>
      <c r="O72" s="11"/>
      <c r="P72" s="6">
        <v>604.28</v>
      </c>
      <c r="Q72" s="2"/>
      <c r="R72" s="7">
        <f t="shared" si="57"/>
        <v>8.7587497268869707E-4</v>
      </c>
      <c r="S72" s="2"/>
      <c r="T72" s="6">
        <v>360</v>
      </c>
      <c r="U72" s="2"/>
      <c r="V72" s="7">
        <f t="shared" si="58"/>
        <v>4.3265278652430787E-4</v>
      </c>
      <c r="W72" s="2"/>
      <c r="X72" s="6">
        <f t="shared" si="59"/>
        <v>244.27999999999997</v>
      </c>
      <c r="Y72" s="2"/>
      <c r="Z72" s="7">
        <f t="shared" si="60"/>
        <v>0.67855555555555547</v>
      </c>
    </row>
    <row r="73" spans="1:26" s="25" customFormat="1" outlineLevel="1" collapsed="1" x14ac:dyDescent="0.25">
      <c r="A73" s="26"/>
      <c r="B73" s="13" t="str">
        <f>CONCATENATE("     ","Travel                                            ")</f>
        <v xml:space="preserve">     Travel                                            </v>
      </c>
      <c r="C73" s="13"/>
      <c r="D73" s="1">
        <f>SUM(OSRRefD22_15x_0)</f>
        <v>66</v>
      </c>
      <c r="E73" s="1"/>
      <c r="F73" s="5">
        <f t="shared" si="53"/>
        <v>0</v>
      </c>
      <c r="G73" s="1"/>
      <c r="H73" s="1">
        <f>SUM(OSRRefH22_15x_0)</f>
        <v>0</v>
      </c>
      <c r="I73" s="1"/>
      <c r="J73" s="5">
        <f t="shared" si="54"/>
        <v>0</v>
      </c>
      <c r="K73" s="1"/>
      <c r="L73" s="1">
        <f t="shared" si="55"/>
        <v>66</v>
      </c>
      <c r="M73" s="1"/>
      <c r="N73" s="5">
        <f t="shared" si="56"/>
        <v>0</v>
      </c>
      <c r="O73" s="13"/>
      <c r="P73" s="1">
        <f>SUM(OSRRefP22_15x_0)</f>
        <v>66</v>
      </c>
      <c r="Q73" s="1"/>
      <c r="R73" s="5">
        <f t="shared" si="57"/>
        <v>9.5663844902121542E-5</v>
      </c>
      <c r="S73" s="1"/>
      <c r="T73" s="1">
        <f>SUM(OSRRefT22_15x_0)</f>
        <v>0</v>
      </c>
      <c r="U73" s="1"/>
      <c r="V73" s="5">
        <f t="shared" si="58"/>
        <v>0</v>
      </c>
      <c r="W73" s="1"/>
      <c r="X73" s="1">
        <f t="shared" si="59"/>
        <v>66</v>
      </c>
      <c r="Y73" s="1"/>
      <c r="Z73" s="5">
        <f t="shared" si="60"/>
        <v>0</v>
      </c>
    </row>
    <row r="74" spans="1:26" s="24" customFormat="1" hidden="1" outlineLevel="2" x14ac:dyDescent="0.25">
      <c r="A74" s="27"/>
      <c r="B74" s="11" t="str">
        <f>CONCATENATE("          ", "6298", " - ", "VEHICLE MILEAGE")</f>
        <v xml:space="preserve">          6298 - VEHICLE MILEAGE</v>
      </c>
      <c r="C74" s="11"/>
      <c r="D74" s="6">
        <v>66</v>
      </c>
      <c r="E74" s="2"/>
      <c r="F74" s="7">
        <f t="shared" si="53"/>
        <v>0</v>
      </c>
      <c r="G74" s="2"/>
      <c r="H74" s="6"/>
      <c r="I74" s="2"/>
      <c r="J74" s="7">
        <f t="shared" si="54"/>
        <v>0</v>
      </c>
      <c r="K74" s="2"/>
      <c r="L74" s="6">
        <f t="shared" si="55"/>
        <v>66</v>
      </c>
      <c r="M74" s="2"/>
      <c r="N74" s="7">
        <f t="shared" si="56"/>
        <v>0</v>
      </c>
      <c r="O74" s="11"/>
      <c r="P74" s="6">
        <v>66</v>
      </c>
      <c r="Q74" s="2"/>
      <c r="R74" s="7">
        <f t="shared" si="57"/>
        <v>9.5663844902121542E-5</v>
      </c>
      <c r="S74" s="2"/>
      <c r="T74" s="6"/>
      <c r="U74" s="2"/>
      <c r="V74" s="7">
        <f t="shared" si="58"/>
        <v>0</v>
      </c>
      <c r="W74" s="2"/>
      <c r="X74" s="6">
        <f t="shared" si="59"/>
        <v>66</v>
      </c>
      <c r="Y74" s="2"/>
      <c r="Z74" s="7">
        <f t="shared" si="60"/>
        <v>0</v>
      </c>
    </row>
    <row r="75" spans="1:26" s="25" customFormat="1" outlineLevel="1" collapsed="1" x14ac:dyDescent="0.25">
      <c r="A75" s="26"/>
      <c r="B75" s="13" t="str">
        <f>CONCATENATE("     ","Utilities                                         ")</f>
        <v xml:space="preserve">     Utilities                                         </v>
      </c>
      <c r="C75" s="13"/>
      <c r="D75" s="1">
        <f>SUM(OSRRefD22_16x_0)</f>
        <v>208</v>
      </c>
      <c r="E75" s="1"/>
      <c r="F75" s="5">
        <f t="shared" si="53"/>
        <v>0</v>
      </c>
      <c r="G75" s="1"/>
      <c r="H75" s="1">
        <f>SUM(OSRRefH22_16x_0)</f>
        <v>182</v>
      </c>
      <c r="I75" s="1"/>
      <c r="J75" s="5">
        <f t="shared" si="54"/>
        <v>1.762025485084648E-3</v>
      </c>
      <c r="K75" s="1"/>
      <c r="L75" s="1">
        <f t="shared" si="55"/>
        <v>26</v>
      </c>
      <c r="M75" s="1"/>
      <c r="N75" s="5">
        <f t="shared" si="56"/>
        <v>0.14285714285714285</v>
      </c>
      <c r="O75" s="13"/>
      <c r="P75" s="1">
        <f>SUM(OSRRefP22_16x_0)</f>
        <v>2017</v>
      </c>
      <c r="Q75" s="1"/>
      <c r="R75" s="5">
        <f t="shared" si="57"/>
        <v>2.9235450782966539E-3</v>
      </c>
      <c r="S75" s="1"/>
      <c r="T75" s="1">
        <f>SUM(OSRRefT22_16x_0)</f>
        <v>1494.68</v>
      </c>
      <c r="U75" s="1"/>
      <c r="V75" s="5">
        <f t="shared" si="58"/>
        <v>1.7963262971170903E-3</v>
      </c>
      <c r="W75" s="1"/>
      <c r="X75" s="1">
        <f t="shared" si="59"/>
        <v>522.31999999999994</v>
      </c>
      <c r="Y75" s="1"/>
      <c r="Z75" s="5">
        <f t="shared" si="60"/>
        <v>0.34945272566703234</v>
      </c>
    </row>
    <row r="76" spans="1:26" s="24" customFormat="1" hidden="1" outlineLevel="2" x14ac:dyDescent="0.25">
      <c r="A76" s="27"/>
      <c r="B76" s="11" t="str">
        <f>CONCATENATE("          ", "6274", " - ", "UTILITIES")</f>
        <v xml:space="preserve">          6274 - UTILITIES</v>
      </c>
      <c r="C76" s="11"/>
      <c r="D76" s="6">
        <v>208</v>
      </c>
      <c r="E76" s="2"/>
      <c r="F76" s="7">
        <f t="shared" si="53"/>
        <v>0</v>
      </c>
      <c r="G76" s="2"/>
      <c r="H76" s="6">
        <v>182</v>
      </c>
      <c r="I76" s="2"/>
      <c r="J76" s="7">
        <f t="shared" si="54"/>
        <v>1.762025485084648E-3</v>
      </c>
      <c r="K76" s="2"/>
      <c r="L76" s="6">
        <f t="shared" si="55"/>
        <v>26</v>
      </c>
      <c r="M76" s="2"/>
      <c r="N76" s="7">
        <f t="shared" si="56"/>
        <v>0.14285714285714285</v>
      </c>
      <c r="O76" s="11"/>
      <c r="P76" s="6">
        <v>2017</v>
      </c>
      <c r="Q76" s="2"/>
      <c r="R76" s="7">
        <f t="shared" si="57"/>
        <v>2.9235450782966539E-3</v>
      </c>
      <c r="S76" s="2"/>
      <c r="T76" s="6">
        <v>1494.68</v>
      </c>
      <c r="U76" s="2"/>
      <c r="V76" s="7">
        <f t="shared" si="58"/>
        <v>1.7963262971170903E-3</v>
      </c>
      <c r="W76" s="2"/>
      <c r="X76" s="6">
        <f t="shared" si="59"/>
        <v>522.31999999999994</v>
      </c>
      <c r="Y76" s="2"/>
      <c r="Z76" s="7">
        <f t="shared" si="60"/>
        <v>0.34945272566703234</v>
      </c>
    </row>
    <row r="77" spans="1:26" s="53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1">
        <f>+D20-D22+D78</f>
        <v>-58174.48</v>
      </c>
      <c r="E80" s="14"/>
      <c r="F80" s="20">
        <f>IF(D$12=0,0,D80/D$12)</f>
        <v>0</v>
      </c>
      <c r="G80" s="14"/>
      <c r="H80" s="21">
        <f>+H20-H22+H78</f>
        <v>27400.42</v>
      </c>
      <c r="I80" s="14"/>
      <c r="J80" s="20">
        <f>IF(H$12=0,0,H80/H$12)</f>
        <v>0.26527603484628071</v>
      </c>
      <c r="K80" s="15"/>
      <c r="L80" s="21">
        <f>+D80-H80</f>
        <v>-85574.9</v>
      </c>
      <c r="M80" s="15"/>
      <c r="N80" s="20">
        <f>IF(H80=0,0,L80/H80)</f>
        <v>-3.1231236601482752</v>
      </c>
      <c r="O80" s="29"/>
      <c r="P80" s="21">
        <f>+P20-P22+P78</f>
        <v>26390.199999999895</v>
      </c>
      <c r="Q80" s="14"/>
      <c r="R80" s="20">
        <f>IF(P$12=0,0,P80/P$12)</f>
        <v>3.8251333329332698E-2</v>
      </c>
      <c r="S80" s="14"/>
      <c r="T80" s="21">
        <f>+T20-T22+T78</f>
        <v>163630.86999999988</v>
      </c>
      <c r="U80" s="14"/>
      <c r="V80" s="20">
        <f>IF(T$12=0,0,T80/T$12)</f>
        <v>0.19665375518582423</v>
      </c>
      <c r="W80" s="15"/>
      <c r="X80" s="21">
        <f>+P80-T80</f>
        <v>-137240.66999999998</v>
      </c>
      <c r="Y80" s="15"/>
      <c r="Z80" s="20">
        <f>IF(T80=0,0,X80/T80)</f>
        <v>-0.83872114106586415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4408.8500000000004</v>
      </c>
      <c r="E82" s="4"/>
      <c r="F82" s="12">
        <f>IF(D$12=0,0,D82/D$12)</f>
        <v>0</v>
      </c>
      <c r="G82" s="4"/>
      <c r="H82" s="4">
        <v>11456.57</v>
      </c>
      <c r="I82" s="4"/>
      <c r="J82" s="12">
        <f>IF(H$12=0,0,H82/H$12)</f>
        <v>0.11091630940470452</v>
      </c>
      <c r="K82" s="4"/>
      <c r="L82" s="4">
        <f>+D82-H82</f>
        <v>-7047.7199999999993</v>
      </c>
      <c r="M82" s="4"/>
      <c r="N82" s="12">
        <f>IF(H82=0,0,L82/H82)</f>
        <v>-0.61516841428106317</v>
      </c>
      <c r="O82" s="10"/>
      <c r="P82" s="4">
        <v>78335</v>
      </c>
      <c r="Q82" s="4"/>
      <c r="R82" s="12">
        <f>IF(P$12=0,0,P82/P$12)</f>
        <v>0.11354283773344986</v>
      </c>
      <c r="S82" s="4"/>
      <c r="T82" s="4">
        <v>86501.42</v>
      </c>
      <c r="U82" s="4"/>
      <c r="V82" s="12">
        <f>IF(T$12=0,0,T82/T$12)</f>
        <v>0.10395855667030415</v>
      </c>
      <c r="W82" s="4"/>
      <c r="X82" s="4">
        <f>+P82-T82</f>
        <v>-8166.4199999999983</v>
      </c>
      <c r="Y82" s="4"/>
      <c r="Z82" s="12">
        <f>IF(T82=0,0,X82/T82)</f>
        <v>-9.4407929950745303E-2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0">
        <f>+D80-D82</f>
        <v>-62583.33</v>
      </c>
      <c r="E84" s="14"/>
      <c r="F84" s="36">
        <f>IF(D$12=0,0,D84/D$12)</f>
        <v>0</v>
      </c>
      <c r="G84" s="14"/>
      <c r="H84" s="30">
        <f>+H80-H82</f>
        <v>15943.849999999999</v>
      </c>
      <c r="I84" s="14"/>
      <c r="J84" s="36">
        <f>IF(H$12=0,0,H84/H$12)</f>
        <v>0.15435972544157617</v>
      </c>
      <c r="K84" s="15"/>
      <c r="L84" s="30">
        <f>D84-H84</f>
        <v>-78527.179999999993</v>
      </c>
      <c r="M84" s="15"/>
      <c r="N84" s="36">
        <f>IF(H84=0,0,L84/H84)</f>
        <v>-4.9252332404030392</v>
      </c>
      <c r="O84" s="29"/>
      <c r="P84" s="30">
        <f>+P80-P82</f>
        <v>-51944.800000000105</v>
      </c>
      <c r="Q84" s="14"/>
      <c r="R84" s="36">
        <f>IF(P$12=0,0,P84/P$12)</f>
        <v>-7.5291504404117165E-2</v>
      </c>
      <c r="S84" s="14"/>
      <c r="T84" s="30">
        <f>+T80-T82</f>
        <v>77129.449999999881</v>
      </c>
      <c r="U84" s="14"/>
      <c r="V84" s="36">
        <f>IF(T$12=0,0,T84/T$12)</f>
        <v>9.2695198515520077E-2</v>
      </c>
      <c r="W84" s="15"/>
      <c r="X84" s="30">
        <f>P84-T84</f>
        <v>-129074.24999999999</v>
      </c>
      <c r="Y84" s="15"/>
      <c r="Z84" s="36">
        <f>IF(T84=0,0,X84/T84)</f>
        <v>-1.6734755660775513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1">
        <f>SUM(D84:D86)</f>
        <v>-62583.33</v>
      </c>
      <c r="E87" s="14"/>
      <c r="F87" s="32">
        <f>IF(D$12=0,0,D87/D$12)</f>
        <v>0</v>
      </c>
      <c r="G87" s="14"/>
      <c r="H87" s="31">
        <f>SUM(H84:H86)</f>
        <v>15943.849999999999</v>
      </c>
      <c r="I87" s="14"/>
      <c r="J87" s="32">
        <f>IF(H$12=0,0,H87/H$12)</f>
        <v>0.15435972544157617</v>
      </c>
      <c r="K87" s="15"/>
      <c r="L87" s="31">
        <f>+D87-H87</f>
        <v>-78527.179999999993</v>
      </c>
      <c r="M87" s="15"/>
      <c r="N87" s="32">
        <f>IF(H87=0,0,L87/H87)</f>
        <v>-4.9252332404030392</v>
      </c>
      <c r="O87" s="29"/>
      <c r="P87" s="31">
        <f>SUM(P84:P86)</f>
        <v>-51944.800000000105</v>
      </c>
      <c r="Q87" s="14"/>
      <c r="R87" s="32">
        <f>IF(P$12=0,0,P87/P$12)</f>
        <v>-7.5291504404117165E-2</v>
      </c>
      <c r="S87" s="14"/>
      <c r="T87" s="31">
        <f>SUM(T84:T86)</f>
        <v>77129.449999999881</v>
      </c>
      <c r="U87" s="14"/>
      <c r="V87" s="32">
        <f>IF(T$12=0,0,T87/T$12)</f>
        <v>9.2695198515520077E-2</v>
      </c>
      <c r="W87" s="15"/>
      <c r="X87" s="31">
        <f>+P87-T87</f>
        <v>-129074.24999999999</v>
      </c>
      <c r="Y87" s="15"/>
      <c r="Z87" s="32">
        <f>IF(T87=0,0,X87/T87)</f>
        <v>-1.6734755660775513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4">
        <v>43965.471110219907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9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1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","325", " - ", "Outpost C-Store")</f>
        <v>Department 325 - Outpost C-Store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83901.72</v>
      </c>
      <c r="I12" s="4"/>
      <c r="J12" s="12"/>
      <c r="K12" s="4"/>
      <c r="L12" s="4">
        <f t="shared" ref="L12:L14" si="0">+D12-H12</f>
        <v>-83901.72</v>
      </c>
      <c r="M12" s="4"/>
      <c r="N12" s="12">
        <f t="shared" ref="N12:N14" si="1">IF(H12=0,0,L12/H12)</f>
        <v>-1</v>
      </c>
      <c r="O12" s="10"/>
      <c r="P12" s="4">
        <f>SUM(OSRRefP13x_0)</f>
        <v>596954.75</v>
      </c>
      <c r="Q12" s="4"/>
      <c r="R12" s="12"/>
      <c r="S12" s="4"/>
      <c r="T12" s="4">
        <f>SUM(OSRRefT13x_0)</f>
        <v>679956.71000000008</v>
      </c>
      <c r="U12" s="4"/>
      <c r="V12" s="12"/>
      <c r="W12" s="4"/>
      <c r="X12" s="4">
        <f t="shared" ref="X12:X14" si="2">+P12-T12</f>
        <v>-83001.960000000079</v>
      </c>
      <c r="Y12" s="4"/>
      <c r="Z12" s="12">
        <f t="shared" ref="Z12:Z14" si="3">IF(T12=0,0,X12/T12)</f>
        <v>-0.12206947704067818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--14685.21</f>
        <v>14685.21</v>
      </c>
      <c r="I13" s="2"/>
      <c r="J13" s="19"/>
      <c r="K13" s="2"/>
      <c r="L13" s="2">
        <f t="shared" si="0"/>
        <v>-14685.21</v>
      </c>
      <c r="M13" s="2"/>
      <c r="N13" s="19">
        <f t="shared" si="1"/>
        <v>-1</v>
      </c>
      <c r="O13" s="11"/>
      <c r="P13" s="2">
        <f>--105564.32</f>
        <v>105564.32</v>
      </c>
      <c r="Q13" s="2"/>
      <c r="R13" s="19"/>
      <c r="S13" s="2"/>
      <c r="T13" s="2">
        <f>--144923.29</f>
        <v>144923.29</v>
      </c>
      <c r="U13" s="2"/>
      <c r="V13" s="19"/>
      <c r="W13" s="2"/>
      <c r="X13" s="2">
        <f t="shared" si="2"/>
        <v>-39358.97</v>
      </c>
      <c r="Y13" s="2"/>
      <c r="Z13" s="19">
        <f t="shared" si="3"/>
        <v>-0.27158485016452494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--69216.51</f>
        <v>69216.509999999995</v>
      </c>
      <c r="I14" s="2"/>
      <c r="J14" s="19"/>
      <c r="K14" s="2"/>
      <c r="L14" s="2">
        <f t="shared" si="0"/>
        <v>-69216.509999999995</v>
      </c>
      <c r="M14" s="2"/>
      <c r="N14" s="19">
        <f t="shared" si="1"/>
        <v>-1</v>
      </c>
      <c r="O14" s="11"/>
      <c r="P14" s="2">
        <f>--491390.43</f>
        <v>491390.43</v>
      </c>
      <c r="Q14" s="2"/>
      <c r="R14" s="19"/>
      <c r="S14" s="2"/>
      <c r="T14" s="2">
        <f>--535033.42</f>
        <v>535033.42000000004</v>
      </c>
      <c r="U14" s="2"/>
      <c r="V14" s="19"/>
      <c r="W14" s="2"/>
      <c r="X14" s="2">
        <f t="shared" si="2"/>
        <v>-43642.990000000049</v>
      </c>
      <c r="Y14" s="2"/>
      <c r="Z14" s="19">
        <f t="shared" si="3"/>
        <v>-8.1570586749515658E-2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16943.7</v>
      </c>
      <c r="E16" s="4"/>
      <c r="F16" s="12">
        <f t="shared" ref="F16:F18" si="5">IF(D$12=0,0,D16/D$12)</f>
        <v>0</v>
      </c>
      <c r="G16" s="4"/>
      <c r="H16" s="4">
        <f>SUM(OSRRefH16x_0)</f>
        <v>42478.63</v>
      </c>
      <c r="I16" s="4"/>
      <c r="J16" s="12">
        <f t="shared" ref="J16:J18" si="6">IF(H$12=0,0,H16/H$12)</f>
        <v>0.50629033588345984</v>
      </c>
      <c r="K16" s="4"/>
      <c r="L16" s="4">
        <f t="shared" ref="L16:L18" si="7">+D16-H16</f>
        <v>-25534.929999999997</v>
      </c>
      <c r="M16" s="4"/>
      <c r="N16" s="12">
        <f t="shared" ref="N16:N18" si="8">IF(H16=0,0,L16/H16)</f>
        <v>-0.60112414171549311</v>
      </c>
      <c r="O16" s="10"/>
      <c r="P16" s="4">
        <f>SUM(OSRRefP16x_0)</f>
        <v>293704.38999999996</v>
      </c>
      <c r="Q16" s="4"/>
      <c r="R16" s="12">
        <f t="shared" ref="R16:R18" si="9">IF(P$12=0,0,P16/P$12)</f>
        <v>0.49200444422294981</v>
      </c>
      <c r="S16" s="4"/>
      <c r="T16" s="4">
        <f>SUM(OSRRefT16x_0)</f>
        <v>319416.76</v>
      </c>
      <c r="U16" s="4"/>
      <c r="V16" s="12">
        <f t="shared" ref="V16:V18" si="10">IF(T$12=0,0,T16/T$12)</f>
        <v>0.46976043519005789</v>
      </c>
      <c r="W16" s="4"/>
      <c r="X16" s="4">
        <f t="shared" ref="X16:X18" si="11">+P16-T16</f>
        <v>-25712.370000000054</v>
      </c>
      <c r="Y16" s="4"/>
      <c r="Z16" s="12">
        <f t="shared" ref="Z16:Z18" si="12">IF(T16=0,0,X16/T16)</f>
        <v>-8.0497873687028987E-2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40551.06</v>
      </c>
      <c r="I17" s="2"/>
      <c r="J17" s="19">
        <f t="shared" si="6"/>
        <v>0.48331619423296684</v>
      </c>
      <c r="K17" s="2"/>
      <c r="L17" s="2">
        <f t="shared" si="7"/>
        <v>-40551.06</v>
      </c>
      <c r="M17" s="2"/>
      <c r="N17" s="19">
        <f t="shared" si="8"/>
        <v>-1</v>
      </c>
      <c r="O17" s="11"/>
      <c r="P17" s="2">
        <v>282727.39999999997</v>
      </c>
      <c r="Q17" s="2"/>
      <c r="R17" s="19">
        <f t="shared" si="9"/>
        <v>0.47361613254605978</v>
      </c>
      <c r="S17" s="2"/>
      <c r="T17" s="2">
        <v>309134.05</v>
      </c>
      <c r="U17" s="2"/>
      <c r="V17" s="19">
        <f t="shared" si="10"/>
        <v>0.4546378401060267</v>
      </c>
      <c r="W17" s="2"/>
      <c r="X17" s="2">
        <f t="shared" si="11"/>
        <v>-26406.650000000023</v>
      </c>
      <c r="Y17" s="2"/>
      <c r="Z17" s="19">
        <f t="shared" si="12"/>
        <v>-8.5421356851501873E-2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16943.7</v>
      </c>
      <c r="E18" s="2"/>
      <c r="F18" s="19">
        <f t="shared" si="5"/>
        <v>0</v>
      </c>
      <c r="G18" s="2"/>
      <c r="H18" s="2">
        <v>1927.57</v>
      </c>
      <c r="I18" s="2"/>
      <c r="J18" s="19">
        <f t="shared" si="6"/>
        <v>2.2974141650492979E-2</v>
      </c>
      <c r="K18" s="2"/>
      <c r="L18" s="2">
        <f t="shared" si="7"/>
        <v>15016.130000000001</v>
      </c>
      <c r="M18" s="2"/>
      <c r="N18" s="19">
        <f t="shared" si="8"/>
        <v>7.7901866080090487</v>
      </c>
      <c r="O18" s="11"/>
      <c r="P18" s="2">
        <v>10976.99</v>
      </c>
      <c r="Q18" s="2"/>
      <c r="R18" s="19">
        <f t="shared" si="9"/>
        <v>1.8388311676890083E-2</v>
      </c>
      <c r="S18" s="2"/>
      <c r="T18" s="2">
        <v>10282.709999999999</v>
      </c>
      <c r="U18" s="2"/>
      <c r="V18" s="19">
        <f t="shared" si="10"/>
        <v>1.5122595084031156E-2</v>
      </c>
      <c r="W18" s="2"/>
      <c r="X18" s="2">
        <f t="shared" si="11"/>
        <v>694.28000000000065</v>
      </c>
      <c r="Y18" s="2"/>
      <c r="Z18" s="19">
        <f t="shared" si="12"/>
        <v>6.7519165667416545E-2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-16943.7</v>
      </c>
      <c r="E20" s="14"/>
      <c r="F20" s="20">
        <f>IF(D$12=0,0,D20/D$12)</f>
        <v>0</v>
      </c>
      <c r="G20" s="14"/>
      <c r="H20" s="21">
        <f>H12-H16</f>
        <v>41423.090000000004</v>
      </c>
      <c r="I20" s="14"/>
      <c r="J20" s="20">
        <f>IF(H$12=0,0,H20/H$12)</f>
        <v>0.49370966411654021</v>
      </c>
      <c r="K20" s="15"/>
      <c r="L20" s="21">
        <f>+D20-H20</f>
        <v>-58366.790000000008</v>
      </c>
      <c r="M20" s="15"/>
      <c r="N20" s="20">
        <f>IF(H20=0,0,L20/H20)</f>
        <v>-1.4090399822900705</v>
      </c>
      <c r="O20" s="29"/>
      <c r="P20" s="21">
        <f>P12-P16</f>
        <v>303250.36000000004</v>
      </c>
      <c r="Q20" s="14"/>
      <c r="R20" s="20">
        <f>IF(P$12=0,0,P20/P$12)</f>
        <v>0.50799555577705013</v>
      </c>
      <c r="S20" s="14"/>
      <c r="T20" s="21">
        <f>T12-T16</f>
        <v>360539.95000000007</v>
      </c>
      <c r="U20" s="14"/>
      <c r="V20" s="20">
        <f>IF(T$12=0,0,T20/T$12)</f>
        <v>0.53023956480994217</v>
      </c>
      <c r="W20" s="15"/>
      <c r="X20" s="21">
        <f>+P20-T20</f>
        <v>-57289.590000000026</v>
      </c>
      <c r="Y20" s="15"/>
      <c r="Z20" s="20">
        <f>IF(T20=0,0,X20/T20)</f>
        <v>-0.1588994229349619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14942.480000000003</v>
      </c>
      <c r="E22" s="22"/>
      <c r="F22" s="35">
        <f t="shared" ref="F22:F31" si="13">IF(D$12=0,0,D22/D$12)</f>
        <v>0</v>
      </c>
      <c r="G22" s="22"/>
      <c r="H22" s="22">
        <f>SUM(OSRRefH22x_0)</f>
        <v>29145.579999999994</v>
      </c>
      <c r="I22" s="22"/>
      <c r="J22" s="35">
        <f t="shared" ref="J22:J31" si="14">IF(H$12=0,0,H22/H$12)</f>
        <v>0.34737762229427471</v>
      </c>
      <c r="K22" s="4"/>
      <c r="L22" s="22">
        <f t="shared" ref="L22:L31" si="15">+D22-H22</f>
        <v>-14203.099999999991</v>
      </c>
      <c r="M22" s="4"/>
      <c r="N22" s="35">
        <f t="shared" ref="N22:N31" si="16">IF(H22=0,0,L22/H22)</f>
        <v>-0.48731574393098348</v>
      </c>
      <c r="O22" s="10"/>
      <c r="P22" s="22">
        <f>SUM(OSRRefP22x_0)</f>
        <v>293716.26999999996</v>
      </c>
      <c r="Q22" s="22"/>
      <c r="R22" s="35">
        <f t="shared" ref="R22:R31" si="17">IF(P$12=0,0,P22/P$12)</f>
        <v>0.49202434522884686</v>
      </c>
      <c r="S22" s="22"/>
      <c r="T22" s="22">
        <f>SUM(OSRRefT22x_0)</f>
        <v>291702.53000000009</v>
      </c>
      <c r="U22" s="22"/>
      <c r="V22" s="35">
        <f t="shared" ref="V22:V31" si="18">IF(T$12=0,0,T22/T$12)</f>
        <v>0.42900161982370916</v>
      </c>
      <c r="W22" s="4"/>
      <c r="X22" s="22">
        <f t="shared" ref="X22:X31" si="19">+P22-T22</f>
        <v>2013.7399999998743</v>
      </c>
      <c r="Y22" s="4"/>
      <c r="Z22" s="35">
        <f t="shared" ref="Z22:Z31" si="20">IF(T22=0,0,X22/T22)</f>
        <v>6.9034025861889978E-3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3660.1600000000008</v>
      </c>
      <c r="E23" s="1"/>
      <c r="F23" s="5">
        <f t="shared" si="13"/>
        <v>0</v>
      </c>
      <c r="G23" s="1"/>
      <c r="H23" s="1">
        <f>SUM(OSRRefH22_0x_0)</f>
        <v>3509.05</v>
      </c>
      <c r="I23" s="1"/>
      <c r="J23" s="5">
        <f t="shared" si="14"/>
        <v>4.182333806744367E-2</v>
      </c>
      <c r="K23" s="1"/>
      <c r="L23" s="1">
        <f t="shared" si="15"/>
        <v>151.11000000000058</v>
      </c>
      <c r="M23" s="1"/>
      <c r="N23" s="5">
        <f t="shared" si="16"/>
        <v>4.3062937262222135E-2</v>
      </c>
      <c r="O23" s="13"/>
      <c r="P23" s="1">
        <f>SUM(OSRRefP22_0x_0)</f>
        <v>38142.78</v>
      </c>
      <c r="Q23" s="1"/>
      <c r="R23" s="5">
        <f t="shared" si="17"/>
        <v>6.3895596776807617E-2</v>
      </c>
      <c r="S23" s="1"/>
      <c r="T23" s="1">
        <f>SUM(OSRRefT22_0x_0)</f>
        <v>34966.259999999995</v>
      </c>
      <c r="U23" s="1"/>
      <c r="V23" s="5">
        <f t="shared" si="18"/>
        <v>5.1424244346379037E-2</v>
      </c>
      <c r="W23" s="1"/>
      <c r="X23" s="1">
        <f t="shared" si="19"/>
        <v>3176.5200000000041</v>
      </c>
      <c r="Y23" s="1"/>
      <c r="Z23" s="5">
        <f t="shared" si="20"/>
        <v>9.084528914444967E-2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>
        <v>477.36</v>
      </c>
      <c r="E24" s="2"/>
      <c r="F24" s="7">
        <f t="shared" si="13"/>
        <v>0</v>
      </c>
      <c r="G24" s="2"/>
      <c r="H24" s="6">
        <v>478.09</v>
      </c>
      <c r="I24" s="2"/>
      <c r="J24" s="7">
        <f t="shared" si="14"/>
        <v>5.6982145300477748E-3</v>
      </c>
      <c r="K24" s="2"/>
      <c r="L24" s="6">
        <f t="shared" si="15"/>
        <v>-0.72999999999996135</v>
      </c>
      <c r="M24" s="2"/>
      <c r="N24" s="7">
        <f t="shared" si="16"/>
        <v>-1.5269091593632189E-3</v>
      </c>
      <c r="O24" s="11"/>
      <c r="P24" s="6">
        <v>5717.16</v>
      </c>
      <c r="Q24" s="2"/>
      <c r="R24" s="7">
        <f t="shared" si="17"/>
        <v>9.5772083227413807E-3</v>
      </c>
      <c r="S24" s="2"/>
      <c r="T24" s="6">
        <v>4333.9799999999996</v>
      </c>
      <c r="U24" s="2"/>
      <c r="V24" s="7">
        <f t="shared" si="18"/>
        <v>6.3739057740896466E-3</v>
      </c>
      <c r="W24" s="2"/>
      <c r="X24" s="6">
        <f t="shared" si="19"/>
        <v>1383.1800000000003</v>
      </c>
      <c r="Y24" s="2"/>
      <c r="Z24" s="7">
        <f t="shared" si="20"/>
        <v>0.31914775794996758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79.040000000000006</v>
      </c>
      <c r="E25" s="2"/>
      <c r="F25" s="7">
        <f t="shared" si="13"/>
        <v>0</v>
      </c>
      <c r="G25" s="2"/>
      <c r="H25" s="6">
        <v>217.72</v>
      </c>
      <c r="I25" s="2"/>
      <c r="J25" s="7">
        <f t="shared" si="14"/>
        <v>2.5949408426907102E-3</v>
      </c>
      <c r="K25" s="2"/>
      <c r="L25" s="6">
        <f t="shared" si="15"/>
        <v>-138.68</v>
      </c>
      <c r="M25" s="2"/>
      <c r="N25" s="7">
        <f t="shared" si="16"/>
        <v>-0.63696490905750514</v>
      </c>
      <c r="O25" s="11"/>
      <c r="P25" s="6">
        <v>1953.29</v>
      </c>
      <c r="Q25" s="2"/>
      <c r="R25" s="7">
        <f t="shared" si="17"/>
        <v>3.2720905562775068E-3</v>
      </c>
      <c r="S25" s="2"/>
      <c r="T25" s="6">
        <v>2269.5500000000002</v>
      </c>
      <c r="U25" s="2"/>
      <c r="V25" s="7">
        <f t="shared" si="18"/>
        <v>3.3377860187599295E-3</v>
      </c>
      <c r="W25" s="2"/>
      <c r="X25" s="6">
        <f t="shared" si="19"/>
        <v>-316.26000000000022</v>
      </c>
      <c r="Y25" s="2"/>
      <c r="Z25" s="7">
        <f t="shared" si="20"/>
        <v>-0.13934921019585389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>
        <v>1915.63</v>
      </c>
      <c r="E26" s="2"/>
      <c r="F26" s="7">
        <f t="shared" si="13"/>
        <v>0</v>
      </c>
      <c r="G26" s="2"/>
      <c r="H26" s="6">
        <v>1815.82</v>
      </c>
      <c r="I26" s="2"/>
      <c r="J26" s="7">
        <f t="shared" si="14"/>
        <v>2.164222616651959E-2</v>
      </c>
      <c r="K26" s="2"/>
      <c r="L26" s="6">
        <f t="shared" si="15"/>
        <v>99.810000000000173</v>
      </c>
      <c r="M26" s="2"/>
      <c r="N26" s="7">
        <f t="shared" si="16"/>
        <v>5.496690200570551E-2</v>
      </c>
      <c r="O26" s="11"/>
      <c r="P26" s="6">
        <v>19025.09</v>
      </c>
      <c r="Q26" s="2"/>
      <c r="R26" s="7">
        <f t="shared" si="17"/>
        <v>3.1870238070808549E-2</v>
      </c>
      <c r="S26" s="2"/>
      <c r="T26" s="6">
        <v>18035.47</v>
      </c>
      <c r="U26" s="2"/>
      <c r="V26" s="7">
        <f t="shared" si="18"/>
        <v>2.6524438592568634E-2</v>
      </c>
      <c r="W26" s="2"/>
      <c r="X26" s="6">
        <f t="shared" si="19"/>
        <v>989.61999999999898</v>
      </c>
      <c r="Y26" s="2"/>
      <c r="Z26" s="7">
        <f t="shared" si="20"/>
        <v>5.4870763002017632E-2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10.82</v>
      </c>
      <c r="E27" s="2"/>
      <c r="F27" s="7">
        <f t="shared" si="13"/>
        <v>0</v>
      </c>
      <c r="G27" s="2"/>
      <c r="H27" s="6">
        <v>28.19</v>
      </c>
      <c r="I27" s="2"/>
      <c r="J27" s="7">
        <f t="shared" si="14"/>
        <v>3.3598834445825425E-4</v>
      </c>
      <c r="K27" s="2"/>
      <c r="L27" s="6">
        <f t="shared" si="15"/>
        <v>-17.37</v>
      </c>
      <c r="M27" s="2"/>
      <c r="N27" s="7">
        <f t="shared" si="16"/>
        <v>-0.61617594891805605</v>
      </c>
      <c r="O27" s="11"/>
      <c r="P27" s="6">
        <v>303.56</v>
      </c>
      <c r="Q27" s="2"/>
      <c r="R27" s="7">
        <f t="shared" si="17"/>
        <v>5.0851425505869579E-4</v>
      </c>
      <c r="S27" s="2"/>
      <c r="T27" s="6">
        <v>305.17</v>
      </c>
      <c r="U27" s="2"/>
      <c r="V27" s="7">
        <f t="shared" si="18"/>
        <v>4.4880798367296054E-4</v>
      </c>
      <c r="W27" s="2"/>
      <c r="X27" s="6">
        <f t="shared" si="19"/>
        <v>-1.6100000000000136</v>
      </c>
      <c r="Y27" s="2"/>
      <c r="Z27" s="7">
        <f t="shared" si="20"/>
        <v>-5.2757479437690914E-3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>
        <v>425.19</v>
      </c>
      <c r="E28" s="2"/>
      <c r="F28" s="7">
        <f t="shared" si="13"/>
        <v>0</v>
      </c>
      <c r="G28" s="2"/>
      <c r="H28" s="6">
        <v>361.31</v>
      </c>
      <c r="I28" s="2"/>
      <c r="J28" s="7">
        <f t="shared" si="14"/>
        <v>4.3063479509120907E-3</v>
      </c>
      <c r="K28" s="2"/>
      <c r="L28" s="6">
        <f t="shared" si="15"/>
        <v>63.879999999999995</v>
      </c>
      <c r="M28" s="2"/>
      <c r="N28" s="7">
        <f t="shared" si="16"/>
        <v>0.17680108494090946</v>
      </c>
      <c r="O28" s="11"/>
      <c r="P28" s="6">
        <v>4532.57</v>
      </c>
      <c r="Q28" s="2"/>
      <c r="R28" s="7">
        <f t="shared" si="17"/>
        <v>7.5928200588068016E-3</v>
      </c>
      <c r="S28" s="2"/>
      <c r="T28" s="6">
        <v>4143.87</v>
      </c>
      <c r="U28" s="2"/>
      <c r="V28" s="7">
        <f t="shared" si="18"/>
        <v>6.0943144454005012E-3</v>
      </c>
      <c r="W28" s="2"/>
      <c r="X28" s="6">
        <f t="shared" si="19"/>
        <v>388.69999999999982</v>
      </c>
      <c r="Y28" s="2"/>
      <c r="Z28" s="7">
        <f t="shared" si="20"/>
        <v>9.3801205153636533E-2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>
        <v>456.3</v>
      </c>
      <c r="E29" s="2"/>
      <c r="F29" s="7">
        <f t="shared" si="13"/>
        <v>0</v>
      </c>
      <c r="G29" s="2"/>
      <c r="H29" s="6">
        <v>280.8</v>
      </c>
      <c r="I29" s="2"/>
      <c r="J29" s="7">
        <f t="shared" si="14"/>
        <v>3.3467728671116637E-3</v>
      </c>
      <c r="K29" s="2"/>
      <c r="L29" s="6">
        <f t="shared" si="15"/>
        <v>175.5</v>
      </c>
      <c r="M29" s="2"/>
      <c r="N29" s="7">
        <f t="shared" si="16"/>
        <v>0.625</v>
      </c>
      <c r="O29" s="11"/>
      <c r="P29" s="6">
        <v>3194.1</v>
      </c>
      <c r="Q29" s="2"/>
      <c r="R29" s="7">
        <f t="shared" si="17"/>
        <v>5.3506568127651213E-3</v>
      </c>
      <c r="S29" s="2"/>
      <c r="T29" s="6">
        <v>2950.94</v>
      </c>
      <c r="U29" s="2"/>
      <c r="V29" s="7">
        <f t="shared" si="18"/>
        <v>4.3398939323651938E-3</v>
      </c>
      <c r="W29" s="2"/>
      <c r="X29" s="6">
        <f t="shared" si="19"/>
        <v>243.15999999999985</v>
      </c>
      <c r="Y29" s="2"/>
      <c r="Z29" s="7">
        <f t="shared" si="20"/>
        <v>8.2400862098178831E-2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287.82</v>
      </c>
      <c r="E30" s="2"/>
      <c r="F30" s="7">
        <f t="shared" si="13"/>
        <v>0</v>
      </c>
      <c r="G30" s="2"/>
      <c r="H30" s="6">
        <v>177.12</v>
      </c>
      <c r="I30" s="2"/>
      <c r="J30" s="7">
        <f t="shared" si="14"/>
        <v>2.1110413469473568E-3</v>
      </c>
      <c r="K30" s="2"/>
      <c r="L30" s="6">
        <f t="shared" si="15"/>
        <v>110.69999999999999</v>
      </c>
      <c r="M30" s="2"/>
      <c r="N30" s="7">
        <f t="shared" si="16"/>
        <v>0.62499999999999989</v>
      </c>
      <c r="O30" s="11"/>
      <c r="P30" s="6">
        <v>2014.74</v>
      </c>
      <c r="Q30" s="2"/>
      <c r="R30" s="7">
        <f t="shared" si="17"/>
        <v>3.3750296818979997E-3</v>
      </c>
      <c r="S30" s="2"/>
      <c r="T30" s="6">
        <v>2331.9699999999998</v>
      </c>
      <c r="U30" s="2"/>
      <c r="V30" s="7">
        <f t="shared" si="18"/>
        <v>3.4295859805545557E-3</v>
      </c>
      <c r="W30" s="2"/>
      <c r="X30" s="6">
        <f t="shared" si="19"/>
        <v>-317.22999999999979</v>
      </c>
      <c r="Y30" s="2"/>
      <c r="Z30" s="7">
        <f t="shared" si="20"/>
        <v>-0.13603519770837524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8</v>
      </c>
      <c r="E31" s="2"/>
      <c r="F31" s="7">
        <f t="shared" si="13"/>
        <v>0</v>
      </c>
      <c r="G31" s="2"/>
      <c r="H31" s="6">
        <v>150</v>
      </c>
      <c r="I31" s="2"/>
      <c r="J31" s="7">
        <f t="shared" si="14"/>
        <v>1.7878060187562306E-3</v>
      </c>
      <c r="K31" s="2"/>
      <c r="L31" s="6">
        <f t="shared" si="15"/>
        <v>-142</v>
      </c>
      <c r="M31" s="2"/>
      <c r="N31" s="7">
        <f t="shared" si="16"/>
        <v>-0.94666666666666666</v>
      </c>
      <c r="O31" s="11"/>
      <c r="P31" s="6">
        <v>1402.27</v>
      </c>
      <c r="Q31" s="2"/>
      <c r="R31" s="7">
        <f t="shared" si="17"/>
        <v>2.349039018451566E-3</v>
      </c>
      <c r="S31" s="2"/>
      <c r="T31" s="6">
        <v>595.30999999999995</v>
      </c>
      <c r="U31" s="2"/>
      <c r="V31" s="7">
        <f t="shared" si="18"/>
        <v>8.7551161896762503E-4</v>
      </c>
      <c r="W31" s="2"/>
      <c r="X31" s="6">
        <f t="shared" si="19"/>
        <v>806.96</v>
      </c>
      <c r="Y31" s="2"/>
      <c r="Z31" s="7">
        <f t="shared" si="20"/>
        <v>1.3555290520905077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1040</v>
      </c>
      <c r="E32" s="1"/>
      <c r="F32" s="5">
        <f t="shared" ref="F32:F38" si="21">IF(D$12=0,0,D32/D$12)</f>
        <v>0</v>
      </c>
      <c r="G32" s="1"/>
      <c r="H32" s="1">
        <f>SUM(OSRRefH22_1x_0)</f>
        <v>10862.939999999999</v>
      </c>
      <c r="I32" s="1"/>
      <c r="J32" s="5">
        <f t="shared" ref="J32:J38" si="22">IF(H$12=0,0,H32/H$12)</f>
        <v>0.1294721967559187</v>
      </c>
      <c r="K32" s="1"/>
      <c r="L32" s="1">
        <f t="shared" ref="L32:L38" si="23">+D32-H32</f>
        <v>-9822.9399999999987</v>
      </c>
      <c r="M32" s="1"/>
      <c r="N32" s="5">
        <f t="shared" ref="N32:N38" si="24">IF(H32=0,0,L32/H32)</f>
        <v>-0.90426164555820066</v>
      </c>
      <c r="O32" s="13"/>
      <c r="P32" s="1">
        <f>SUM(OSRRefP22_1x_0)</f>
        <v>103611.43000000001</v>
      </c>
      <c r="Q32" s="1"/>
      <c r="R32" s="5">
        <f t="shared" ref="R32:R38" si="25">IF(P$12=0,0,P32/P$12)</f>
        <v>0.1735666396824885</v>
      </c>
      <c r="S32" s="1"/>
      <c r="T32" s="1">
        <f>SUM(OSRRefT22_1x_0)</f>
        <v>107926.07999999999</v>
      </c>
      <c r="U32" s="1"/>
      <c r="V32" s="5">
        <f t="shared" ref="V32:V38" si="26">IF(T$12=0,0,T32/T$12)</f>
        <v>0.15872492823844619</v>
      </c>
      <c r="W32" s="1"/>
      <c r="X32" s="1">
        <f t="shared" ref="X32:X38" si="27">+P32-T32</f>
        <v>-4314.6499999999796</v>
      </c>
      <c r="Y32" s="1"/>
      <c r="Z32" s="5">
        <f t="shared" ref="Z32:Z38" si="28">IF(T32=0,0,X32/T32)</f>
        <v>-3.9977825563570733E-2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1040</v>
      </c>
      <c r="E33" s="2"/>
      <c r="F33" s="7">
        <f t="shared" si="21"/>
        <v>0</v>
      </c>
      <c r="G33" s="2"/>
      <c r="H33" s="6">
        <v>3264</v>
      </c>
      <c r="I33" s="2"/>
      <c r="J33" s="7">
        <f t="shared" si="22"/>
        <v>3.8902658968135578E-2</v>
      </c>
      <c r="K33" s="2"/>
      <c r="L33" s="6">
        <f t="shared" si="23"/>
        <v>-2224</v>
      </c>
      <c r="M33" s="2"/>
      <c r="N33" s="7">
        <f t="shared" si="24"/>
        <v>-0.68137254901960786</v>
      </c>
      <c r="O33" s="11"/>
      <c r="P33" s="6">
        <v>35392</v>
      </c>
      <c r="Q33" s="2"/>
      <c r="R33" s="7">
        <f t="shared" si="25"/>
        <v>5.9287575817095012E-2</v>
      </c>
      <c r="S33" s="2"/>
      <c r="T33" s="6">
        <v>38304.29</v>
      </c>
      <c r="U33" s="2"/>
      <c r="V33" s="7">
        <f t="shared" si="26"/>
        <v>5.6333424520511016E-2</v>
      </c>
      <c r="W33" s="2"/>
      <c r="X33" s="6">
        <f t="shared" si="27"/>
        <v>-2912.2900000000009</v>
      </c>
      <c r="Y33" s="2"/>
      <c r="Z33" s="7">
        <f t="shared" si="28"/>
        <v>-7.6030387196838814E-2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254.64</v>
      </c>
      <c r="Q34" s="2"/>
      <c r="R34" s="7">
        <f t="shared" si="25"/>
        <v>4.2656499508547338E-4</v>
      </c>
      <c r="S34" s="2"/>
      <c r="T34" s="6"/>
      <c r="U34" s="2"/>
      <c r="V34" s="7">
        <f t="shared" si="26"/>
        <v>0</v>
      </c>
      <c r="W34" s="2"/>
      <c r="X34" s="6">
        <f t="shared" si="27"/>
        <v>254.64</v>
      </c>
      <c r="Y34" s="2"/>
      <c r="Z34" s="7">
        <f t="shared" si="28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1854.5</v>
      </c>
      <c r="I35" s="2"/>
      <c r="J35" s="7">
        <f t="shared" si="22"/>
        <v>2.2103241745222862E-2</v>
      </c>
      <c r="K35" s="2"/>
      <c r="L35" s="6">
        <f t="shared" si="23"/>
        <v>-1854.5</v>
      </c>
      <c r="M35" s="2"/>
      <c r="N35" s="7">
        <f t="shared" si="24"/>
        <v>-1</v>
      </c>
      <c r="O35" s="11"/>
      <c r="P35" s="6">
        <v>23945.94</v>
      </c>
      <c r="Q35" s="2"/>
      <c r="R35" s="7">
        <f t="shared" si="25"/>
        <v>4.0113492689353755E-2</v>
      </c>
      <c r="S35" s="2"/>
      <c r="T35" s="6">
        <v>5619.2</v>
      </c>
      <c r="U35" s="2"/>
      <c r="V35" s="7">
        <f t="shared" si="26"/>
        <v>8.2640555161224878E-3</v>
      </c>
      <c r="W35" s="2"/>
      <c r="X35" s="6">
        <f t="shared" si="27"/>
        <v>18326.739999999998</v>
      </c>
      <c r="Y35" s="2"/>
      <c r="Z35" s="7">
        <f t="shared" si="28"/>
        <v>3.2614500284738037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>
        <v>555</v>
      </c>
      <c r="I36" s="2"/>
      <c r="J36" s="7">
        <f t="shared" si="22"/>
        <v>6.6148822693980524E-3</v>
      </c>
      <c r="K36" s="2"/>
      <c r="L36" s="6">
        <f t="shared" si="23"/>
        <v>-555</v>
      </c>
      <c r="M36" s="2"/>
      <c r="N36" s="7">
        <f t="shared" si="24"/>
        <v>-1</v>
      </c>
      <c r="O36" s="11"/>
      <c r="P36" s="6"/>
      <c r="Q36" s="2"/>
      <c r="R36" s="7">
        <f t="shared" si="25"/>
        <v>0</v>
      </c>
      <c r="S36" s="2"/>
      <c r="T36" s="6">
        <v>3207.5</v>
      </c>
      <c r="U36" s="2"/>
      <c r="V36" s="7">
        <f t="shared" si="26"/>
        <v>4.7172120707507977E-3</v>
      </c>
      <c r="W36" s="2"/>
      <c r="X36" s="6">
        <f t="shared" si="27"/>
        <v>-3207.5</v>
      </c>
      <c r="Y36" s="2"/>
      <c r="Z36" s="7">
        <f t="shared" si="28"/>
        <v>-1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1"/>
        <v>0</v>
      </c>
      <c r="G37" s="2"/>
      <c r="H37" s="6">
        <v>4409.4399999999996</v>
      </c>
      <c r="I37" s="2"/>
      <c r="J37" s="7">
        <f t="shared" si="22"/>
        <v>5.2554822475629814E-2</v>
      </c>
      <c r="K37" s="2"/>
      <c r="L37" s="6">
        <f t="shared" si="23"/>
        <v>-4409.4399999999996</v>
      </c>
      <c r="M37" s="2"/>
      <c r="N37" s="7">
        <f t="shared" si="24"/>
        <v>-1</v>
      </c>
      <c r="O37" s="11"/>
      <c r="P37" s="6">
        <v>40507.550000000003</v>
      </c>
      <c r="Q37" s="2"/>
      <c r="R37" s="7">
        <f t="shared" si="25"/>
        <v>6.7856985810063497E-2</v>
      </c>
      <c r="S37" s="2"/>
      <c r="T37" s="6">
        <v>53601.219999999994</v>
      </c>
      <c r="U37" s="2"/>
      <c r="V37" s="7">
        <f t="shared" si="26"/>
        <v>7.8830342008096355E-2</v>
      </c>
      <c r="W37" s="2"/>
      <c r="X37" s="6">
        <f t="shared" si="27"/>
        <v>-13093.669999999991</v>
      </c>
      <c r="Y37" s="2"/>
      <c r="Z37" s="7">
        <f t="shared" si="28"/>
        <v>-0.24427932797051993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780</v>
      </c>
      <c r="I38" s="2"/>
      <c r="J38" s="7">
        <f t="shared" si="22"/>
        <v>9.2965912975323979E-3</v>
      </c>
      <c r="K38" s="2"/>
      <c r="L38" s="6">
        <f t="shared" si="23"/>
        <v>-780</v>
      </c>
      <c r="M38" s="2"/>
      <c r="N38" s="7">
        <f t="shared" si="24"/>
        <v>-1</v>
      </c>
      <c r="O38" s="11"/>
      <c r="P38" s="6">
        <v>3511.3</v>
      </c>
      <c r="Q38" s="2"/>
      <c r="R38" s="7">
        <f t="shared" si="25"/>
        <v>5.882020370890759E-3</v>
      </c>
      <c r="S38" s="2"/>
      <c r="T38" s="6">
        <v>7193.87</v>
      </c>
      <c r="U38" s="2"/>
      <c r="V38" s="7">
        <f t="shared" si="26"/>
        <v>1.0579894122965562E-2</v>
      </c>
      <c r="W38" s="2"/>
      <c r="X38" s="6">
        <f t="shared" si="27"/>
        <v>-3682.5699999999997</v>
      </c>
      <c r="Y38" s="2"/>
      <c r="Z38" s="7">
        <f t="shared" si="28"/>
        <v>-0.51190388483528337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29">IF(D$12=0,0,D39/D$12)</f>
        <v>0</v>
      </c>
      <c r="G39" s="1"/>
      <c r="H39" s="1">
        <f>SUM(OSRRefH22_2x_0)</f>
        <v>213.9</v>
      </c>
      <c r="I39" s="1"/>
      <c r="J39" s="5">
        <f t="shared" ref="J39:J47" si="30">IF(H$12=0,0,H39/H$12)</f>
        <v>2.5494113827463846E-3</v>
      </c>
      <c r="K39" s="1"/>
      <c r="L39" s="1">
        <f t="shared" ref="L39:L47" si="31">+D39-H39</f>
        <v>-213.9</v>
      </c>
      <c r="M39" s="1"/>
      <c r="N39" s="5">
        <f t="shared" ref="N39:N47" si="32">IF(H39=0,0,L39/H39)</f>
        <v>-1</v>
      </c>
      <c r="O39" s="13"/>
      <c r="P39" s="1">
        <f>SUM(OSRRefP22_2x_0)</f>
        <v>968.17</v>
      </c>
      <c r="Q39" s="1"/>
      <c r="R39" s="5">
        <f t="shared" ref="R39:R47" si="33">IF(P$12=0,0,P39/P$12)</f>
        <v>1.6218482221642427E-3</v>
      </c>
      <c r="S39" s="1"/>
      <c r="T39" s="1">
        <f>SUM(OSRRefT22_2x_0)</f>
        <v>1455.45</v>
      </c>
      <c r="U39" s="1"/>
      <c r="V39" s="5">
        <f t="shared" ref="V39:V47" si="34">IF(T$12=0,0,T39/T$12)</f>
        <v>2.1405039153154322E-3</v>
      </c>
      <c r="W39" s="1"/>
      <c r="X39" s="1">
        <f t="shared" ref="X39:X47" si="35">+P39-T39</f>
        <v>-487.28000000000009</v>
      </c>
      <c r="Y39" s="1"/>
      <c r="Z39" s="5">
        <f t="shared" ref="Z39:Z47" si="36">IF(T39=0,0,X39/T39)</f>
        <v>-0.33479679824109387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9"/>
        <v>0</v>
      </c>
      <c r="G40" s="2"/>
      <c r="H40" s="6">
        <v>213.9</v>
      </c>
      <c r="I40" s="2"/>
      <c r="J40" s="7">
        <f t="shared" si="30"/>
        <v>2.5494113827463846E-3</v>
      </c>
      <c r="K40" s="2"/>
      <c r="L40" s="6">
        <f t="shared" si="31"/>
        <v>-213.9</v>
      </c>
      <c r="M40" s="2"/>
      <c r="N40" s="7">
        <f t="shared" si="32"/>
        <v>-1</v>
      </c>
      <c r="O40" s="11"/>
      <c r="P40" s="6">
        <v>968.17</v>
      </c>
      <c r="Q40" s="2"/>
      <c r="R40" s="7">
        <f t="shared" si="33"/>
        <v>1.6218482221642427E-3</v>
      </c>
      <c r="S40" s="2"/>
      <c r="T40" s="6">
        <v>1455.45</v>
      </c>
      <c r="U40" s="2"/>
      <c r="V40" s="7">
        <f t="shared" si="34"/>
        <v>2.1405039153154322E-3</v>
      </c>
      <c r="W40" s="2"/>
      <c r="X40" s="6">
        <f t="shared" si="35"/>
        <v>-487.28000000000009</v>
      </c>
      <c r="Y40" s="2"/>
      <c r="Z40" s="7">
        <f t="shared" si="36"/>
        <v>-0.33479679824109387</v>
      </c>
    </row>
    <row r="41" spans="1:26" s="25" customFormat="1" outlineLevel="1" collapsed="1" x14ac:dyDescent="0.25">
      <c r="A41" s="26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-38.1</v>
      </c>
      <c r="I41" s="1"/>
      <c r="J41" s="5">
        <f t="shared" si="30"/>
        <v>-4.5410272876408257E-4</v>
      </c>
      <c r="K41" s="1"/>
      <c r="L41" s="1">
        <f t="shared" si="31"/>
        <v>38.1</v>
      </c>
      <c r="M41" s="1"/>
      <c r="N41" s="5">
        <f t="shared" si="32"/>
        <v>-1</v>
      </c>
      <c r="O41" s="13"/>
      <c r="P41" s="1">
        <f>SUM(OSRRefP22_3x_0)</f>
        <v>-84.11</v>
      </c>
      <c r="Q41" s="1"/>
      <c r="R41" s="5">
        <f t="shared" si="33"/>
        <v>-1.4089845168331435E-4</v>
      </c>
      <c r="S41" s="1"/>
      <c r="T41" s="1">
        <f>SUM(OSRRefT22_3x_0)</f>
        <v>-194.77</v>
      </c>
      <c r="U41" s="1"/>
      <c r="V41" s="5">
        <f t="shared" si="34"/>
        <v>-2.8644470616372034E-4</v>
      </c>
      <c r="W41" s="1"/>
      <c r="X41" s="1">
        <f t="shared" si="35"/>
        <v>110.66000000000001</v>
      </c>
      <c r="Y41" s="1"/>
      <c r="Z41" s="5">
        <f t="shared" si="36"/>
        <v>-0.56815731375468503</v>
      </c>
    </row>
    <row r="42" spans="1:26" s="24" customFormat="1" hidden="1" outlineLevel="2" x14ac:dyDescent="0.25">
      <c r="A42" s="27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-38.1</v>
      </c>
      <c r="I42" s="2"/>
      <c r="J42" s="7">
        <f t="shared" si="30"/>
        <v>-4.5410272876408257E-4</v>
      </c>
      <c r="K42" s="2"/>
      <c r="L42" s="6">
        <f t="shared" si="31"/>
        <v>38.1</v>
      </c>
      <c r="M42" s="2"/>
      <c r="N42" s="7">
        <f t="shared" si="32"/>
        <v>-1</v>
      </c>
      <c r="O42" s="11"/>
      <c r="P42" s="6">
        <v>-84.11</v>
      </c>
      <c r="Q42" s="2"/>
      <c r="R42" s="7">
        <f t="shared" si="33"/>
        <v>-1.4089845168331435E-4</v>
      </c>
      <c r="S42" s="2"/>
      <c r="T42" s="6">
        <v>-194.77</v>
      </c>
      <c r="U42" s="2"/>
      <c r="V42" s="7">
        <f t="shared" si="34"/>
        <v>-2.8644470616372034E-4</v>
      </c>
      <c r="W42" s="2"/>
      <c r="X42" s="6">
        <f t="shared" si="35"/>
        <v>110.66000000000001</v>
      </c>
      <c r="Y42" s="2"/>
      <c r="Z42" s="7">
        <f t="shared" si="36"/>
        <v>-0.56815731375468503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1944.6</v>
      </c>
      <c r="I43" s="1"/>
      <c r="J43" s="5">
        <f t="shared" si="30"/>
        <v>2.317711722715577E-2</v>
      </c>
      <c r="K43" s="1"/>
      <c r="L43" s="1">
        <f t="shared" si="31"/>
        <v>-1944.6</v>
      </c>
      <c r="M43" s="1"/>
      <c r="N43" s="5">
        <f t="shared" si="32"/>
        <v>-1</v>
      </c>
      <c r="O43" s="13"/>
      <c r="P43" s="1">
        <f>SUM(OSRRefP22_4x_0)</f>
        <v>22867.9</v>
      </c>
      <c r="Q43" s="1"/>
      <c r="R43" s="5">
        <f t="shared" si="33"/>
        <v>3.8307593666019074E-2</v>
      </c>
      <c r="S43" s="1"/>
      <c r="T43" s="1">
        <f>SUM(OSRRefT22_4x_0)</f>
        <v>22444.82</v>
      </c>
      <c r="U43" s="1"/>
      <c r="V43" s="5">
        <f t="shared" si="34"/>
        <v>3.3009189658559292E-2</v>
      </c>
      <c r="W43" s="1"/>
      <c r="X43" s="1">
        <f t="shared" si="35"/>
        <v>423.08000000000175</v>
      </c>
      <c r="Y43" s="1"/>
      <c r="Z43" s="5">
        <f t="shared" si="36"/>
        <v>1.8849783602630885E-2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9"/>
        <v>0</v>
      </c>
      <c r="G44" s="2"/>
      <c r="H44" s="6">
        <v>1944.6</v>
      </c>
      <c r="I44" s="2"/>
      <c r="J44" s="7">
        <f t="shared" si="30"/>
        <v>2.317711722715577E-2</v>
      </c>
      <c r="K44" s="2"/>
      <c r="L44" s="6">
        <f t="shared" si="31"/>
        <v>-1944.6</v>
      </c>
      <c r="M44" s="2"/>
      <c r="N44" s="7">
        <f t="shared" si="32"/>
        <v>-1</v>
      </c>
      <c r="O44" s="11"/>
      <c r="P44" s="6">
        <v>22867.9</v>
      </c>
      <c r="Q44" s="2"/>
      <c r="R44" s="7">
        <f t="shared" si="33"/>
        <v>3.8307593666019074E-2</v>
      </c>
      <c r="S44" s="2"/>
      <c r="T44" s="6">
        <v>22444.82</v>
      </c>
      <c r="U44" s="2"/>
      <c r="V44" s="7">
        <f t="shared" si="34"/>
        <v>3.3009189658559292E-2</v>
      </c>
      <c r="W44" s="2"/>
      <c r="X44" s="6">
        <f t="shared" si="35"/>
        <v>423.08000000000175</v>
      </c>
      <c r="Y44" s="2"/>
      <c r="Z44" s="7">
        <f t="shared" si="36"/>
        <v>1.8849783602630885E-2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5582.59</v>
      </c>
      <c r="E45" s="1"/>
      <c r="F45" s="5">
        <f t="shared" si="29"/>
        <v>0</v>
      </c>
      <c r="G45" s="1"/>
      <c r="H45" s="1">
        <f>SUM(OSRRefH22_5x_0)</f>
        <v>5418.9000000000005</v>
      </c>
      <c r="I45" s="1"/>
      <c r="J45" s="5">
        <f t="shared" si="30"/>
        <v>6.458628023358759E-2</v>
      </c>
      <c r="K45" s="1"/>
      <c r="L45" s="1">
        <f t="shared" si="31"/>
        <v>163.6899999999996</v>
      </c>
      <c r="M45" s="1"/>
      <c r="N45" s="5">
        <f t="shared" si="32"/>
        <v>3.0207237631253499E-2</v>
      </c>
      <c r="O45" s="13"/>
      <c r="P45" s="1">
        <f>SUM(OSRRefP22_5x_0)</f>
        <v>55055.070000000007</v>
      </c>
      <c r="Q45" s="1"/>
      <c r="R45" s="5">
        <f t="shared" si="33"/>
        <v>9.2226538108625494E-2</v>
      </c>
      <c r="S45" s="1"/>
      <c r="T45" s="1">
        <f>SUM(OSRRefT22_5x_0)</f>
        <v>53092.480000000003</v>
      </c>
      <c r="U45" s="1"/>
      <c r="V45" s="5">
        <f t="shared" si="34"/>
        <v>7.8082147317878506E-2</v>
      </c>
      <c r="W45" s="1"/>
      <c r="X45" s="1">
        <f t="shared" si="35"/>
        <v>1962.5900000000038</v>
      </c>
      <c r="Y45" s="1"/>
      <c r="Z45" s="5">
        <f t="shared" si="36"/>
        <v>3.6965498692093562E-2</v>
      </c>
    </row>
    <row r="46" spans="1:26" s="24" customFormat="1" hidden="1" outlineLevel="2" x14ac:dyDescent="0.25">
      <c r="A46" s="27"/>
      <c r="B46" s="11" t="str">
        <f>CONCATENATE("          ", "6321", " - ", "BUILDING DEPRECIATION")</f>
        <v xml:space="preserve">          6321 - BUILDING DEPRECIATION</v>
      </c>
      <c r="C46" s="11"/>
      <c r="D46" s="6">
        <v>5080.51</v>
      </c>
      <c r="E46" s="2"/>
      <c r="F46" s="7">
        <f t="shared" si="29"/>
        <v>0</v>
      </c>
      <c r="G46" s="2"/>
      <c r="H46" s="6">
        <v>5080.51</v>
      </c>
      <c r="I46" s="2"/>
      <c r="J46" s="7">
        <f t="shared" si="30"/>
        <v>6.0553109042341444E-2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50805.100000000006</v>
      </c>
      <c r="Q46" s="2"/>
      <c r="R46" s="7">
        <f t="shared" si="33"/>
        <v>8.5107120765853708E-2</v>
      </c>
      <c r="S46" s="2"/>
      <c r="T46" s="6">
        <v>50805.100000000006</v>
      </c>
      <c r="U46" s="2"/>
      <c r="V46" s="7">
        <f t="shared" si="34"/>
        <v>7.4718139041528103E-2</v>
      </c>
      <c r="W46" s="2"/>
      <c r="X46" s="6">
        <f t="shared" si="35"/>
        <v>0</v>
      </c>
      <c r="Y46" s="2"/>
      <c r="Z46" s="7">
        <f t="shared" si="36"/>
        <v>0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502.08</v>
      </c>
      <c r="E47" s="2"/>
      <c r="F47" s="7">
        <f t="shared" si="29"/>
        <v>0</v>
      </c>
      <c r="G47" s="2"/>
      <c r="H47" s="6">
        <v>338.39</v>
      </c>
      <c r="I47" s="2"/>
      <c r="J47" s="7">
        <f t="shared" si="30"/>
        <v>4.033171191246139E-3</v>
      </c>
      <c r="K47" s="2"/>
      <c r="L47" s="6">
        <f t="shared" si="31"/>
        <v>163.69</v>
      </c>
      <c r="M47" s="2"/>
      <c r="N47" s="7">
        <f t="shared" si="32"/>
        <v>0.48373178876444339</v>
      </c>
      <c r="O47" s="11"/>
      <c r="P47" s="6">
        <v>4249.97</v>
      </c>
      <c r="Q47" s="2"/>
      <c r="R47" s="7">
        <f t="shared" si="33"/>
        <v>7.119417342771793E-3</v>
      </c>
      <c r="S47" s="2"/>
      <c r="T47" s="6">
        <v>2287.38</v>
      </c>
      <c r="U47" s="2"/>
      <c r="V47" s="7">
        <f t="shared" si="34"/>
        <v>3.3640082763504164E-3</v>
      </c>
      <c r="W47" s="2"/>
      <c r="X47" s="6">
        <f t="shared" si="35"/>
        <v>1962.5900000000001</v>
      </c>
      <c r="Y47" s="2"/>
      <c r="Z47" s="7">
        <f t="shared" si="36"/>
        <v>0.85800785177801675</v>
      </c>
    </row>
    <row r="48" spans="1:26" s="25" customFormat="1" outlineLevel="1" collapsed="1" x14ac:dyDescent="0.25">
      <c r="A48" s="26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61" si="37">IF(D$12=0,0,D48/D$12)</f>
        <v>0</v>
      </c>
      <c r="G48" s="1"/>
      <c r="H48" s="1">
        <f>SUM(OSRRefH22_6x_0)</f>
        <v>20.39</v>
      </c>
      <c r="I48" s="1"/>
      <c r="J48" s="5">
        <f t="shared" ref="J48:J61" si="38">IF(H$12=0,0,H48/H$12)</f>
        <v>2.4302243148293027E-4</v>
      </c>
      <c r="K48" s="1"/>
      <c r="L48" s="1">
        <f t="shared" ref="L48:L61" si="39">+D48-H48</f>
        <v>-20.39</v>
      </c>
      <c r="M48" s="1"/>
      <c r="N48" s="5">
        <f t="shared" ref="N48:N61" si="40">IF(H48=0,0,L48/H48)</f>
        <v>-1</v>
      </c>
      <c r="O48" s="13"/>
      <c r="P48" s="1">
        <f>SUM(OSRRefP22_6x_0)</f>
        <v>101.58</v>
      </c>
      <c r="Q48" s="1"/>
      <c r="R48" s="5">
        <f t="shared" ref="R48:R61" si="41">IF(P$12=0,0,P48/P$12)</f>
        <v>1.7016365143254157E-4</v>
      </c>
      <c r="S48" s="1"/>
      <c r="T48" s="1">
        <f>SUM(OSRRefT22_6x_0)</f>
        <v>102.91</v>
      </c>
      <c r="U48" s="1"/>
      <c r="V48" s="5">
        <f t="shared" ref="V48:V61" si="42">IF(T$12=0,0,T48/T$12)</f>
        <v>1.5134787036662965E-4</v>
      </c>
      <c r="W48" s="1"/>
      <c r="X48" s="1">
        <f t="shared" ref="X48:X61" si="43">+P48-T48</f>
        <v>-1.3299999999999983</v>
      </c>
      <c r="Y48" s="1"/>
      <c r="Z48" s="5">
        <f t="shared" ref="Z48:Z61" si="44">IF(T48=0,0,X48/T48)</f>
        <v>-1.2923914099698749E-2</v>
      </c>
    </row>
    <row r="49" spans="1:26" s="24" customFormat="1" hidden="1" outlineLevel="2" x14ac:dyDescent="0.25">
      <c r="A49" s="27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7"/>
        <v>0</v>
      </c>
      <c r="G49" s="2"/>
      <c r="H49" s="6">
        <v>20.39</v>
      </c>
      <c r="I49" s="2"/>
      <c r="J49" s="7">
        <f t="shared" si="38"/>
        <v>2.4302243148293027E-4</v>
      </c>
      <c r="K49" s="2"/>
      <c r="L49" s="6">
        <f t="shared" si="39"/>
        <v>-20.39</v>
      </c>
      <c r="M49" s="2"/>
      <c r="N49" s="7">
        <f t="shared" si="40"/>
        <v>-1</v>
      </c>
      <c r="O49" s="11"/>
      <c r="P49" s="6">
        <v>101.58</v>
      </c>
      <c r="Q49" s="2"/>
      <c r="R49" s="7">
        <f t="shared" si="41"/>
        <v>1.7016365143254157E-4</v>
      </c>
      <c r="S49" s="2"/>
      <c r="T49" s="6">
        <v>102.91</v>
      </c>
      <c r="U49" s="2"/>
      <c r="V49" s="7">
        <f t="shared" si="42"/>
        <v>1.5134787036662965E-4</v>
      </c>
      <c r="W49" s="2"/>
      <c r="X49" s="6">
        <f t="shared" si="43"/>
        <v>-1.3299999999999983</v>
      </c>
      <c r="Y49" s="2"/>
      <c r="Z49" s="7">
        <f t="shared" si="44"/>
        <v>-1.2923914099698749E-2</v>
      </c>
    </row>
    <row r="50" spans="1:26" s="25" customFormat="1" outlineLevel="1" collapsed="1" x14ac:dyDescent="0.25">
      <c r="A50" s="26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36.270000000000003</v>
      </c>
      <c r="E50" s="1"/>
      <c r="F50" s="5">
        <f t="shared" si="37"/>
        <v>0</v>
      </c>
      <c r="G50" s="1"/>
      <c r="H50" s="1">
        <f>SUM(OSRRefH22_7x_0)</f>
        <v>186.75</v>
      </c>
      <c r="I50" s="1"/>
      <c r="J50" s="5">
        <f t="shared" si="38"/>
        <v>2.2258184933515069E-3</v>
      </c>
      <c r="K50" s="1"/>
      <c r="L50" s="1">
        <f t="shared" si="39"/>
        <v>-150.47999999999999</v>
      </c>
      <c r="M50" s="1"/>
      <c r="N50" s="5">
        <f t="shared" si="40"/>
        <v>-0.80578313253012046</v>
      </c>
      <c r="O50" s="13"/>
      <c r="P50" s="1">
        <f>SUM(OSRRefP22_7x_0)</f>
        <v>937.85</v>
      </c>
      <c r="Q50" s="1"/>
      <c r="R50" s="5">
        <f t="shared" si="41"/>
        <v>1.571057102736849E-3</v>
      </c>
      <c r="S50" s="1"/>
      <c r="T50" s="1">
        <f>SUM(OSRRefT22_7x_0)</f>
        <v>1195.42</v>
      </c>
      <c r="U50" s="1"/>
      <c r="V50" s="5">
        <f t="shared" si="42"/>
        <v>1.7580825108704345E-3</v>
      </c>
      <c r="W50" s="1"/>
      <c r="X50" s="1">
        <f t="shared" si="43"/>
        <v>-257.57000000000005</v>
      </c>
      <c r="Y50" s="1"/>
      <c r="Z50" s="5">
        <f t="shared" si="44"/>
        <v>-0.21546402101353501</v>
      </c>
    </row>
    <row r="51" spans="1:26" s="24" customFormat="1" hidden="1" outlineLevel="2" x14ac:dyDescent="0.25">
      <c r="A51" s="27"/>
      <c r="B51" s="11" t="str">
        <f>CONCATENATE("          ", "6351", " - ", "EQUIPMENT RENTAL")</f>
        <v xml:space="preserve">          6351 - EQUIPMENT RENTAL</v>
      </c>
      <c r="C51" s="11"/>
      <c r="D51" s="6">
        <v>36.270000000000003</v>
      </c>
      <c r="E51" s="2"/>
      <c r="F51" s="7">
        <f t="shared" si="37"/>
        <v>0</v>
      </c>
      <c r="G51" s="2"/>
      <c r="H51" s="6">
        <v>186.75</v>
      </c>
      <c r="I51" s="2"/>
      <c r="J51" s="7">
        <f t="shared" si="38"/>
        <v>2.2258184933515069E-3</v>
      </c>
      <c r="K51" s="2"/>
      <c r="L51" s="6">
        <f t="shared" si="39"/>
        <v>-150.47999999999999</v>
      </c>
      <c r="M51" s="2"/>
      <c r="N51" s="7">
        <f t="shared" si="40"/>
        <v>-0.80578313253012046</v>
      </c>
      <c r="O51" s="11"/>
      <c r="P51" s="6">
        <v>937.85</v>
      </c>
      <c r="Q51" s="2"/>
      <c r="R51" s="7">
        <f t="shared" si="41"/>
        <v>1.571057102736849E-3</v>
      </c>
      <c r="S51" s="2"/>
      <c r="T51" s="6">
        <v>1195.42</v>
      </c>
      <c r="U51" s="2"/>
      <c r="V51" s="7">
        <f t="shared" si="42"/>
        <v>1.7580825108704345E-3</v>
      </c>
      <c r="W51" s="2"/>
      <c r="X51" s="6">
        <f t="shared" si="43"/>
        <v>-257.57000000000005</v>
      </c>
      <c r="Y51" s="2"/>
      <c r="Z51" s="7">
        <f t="shared" si="44"/>
        <v>-0.21546402101353501</v>
      </c>
    </row>
    <row r="52" spans="1:26" s="25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47.75</v>
      </c>
      <c r="I52" s="1"/>
      <c r="J52" s="5">
        <f t="shared" si="38"/>
        <v>5.6911824930406672E-4</v>
      </c>
      <c r="K52" s="1"/>
      <c r="L52" s="1">
        <f t="shared" si="39"/>
        <v>-47.75</v>
      </c>
      <c r="M52" s="1"/>
      <c r="N52" s="5">
        <f t="shared" si="40"/>
        <v>-1</v>
      </c>
      <c r="O52" s="13"/>
      <c r="P52" s="1">
        <f>SUM(OSRRefP22_8x_0)</f>
        <v>1345.73</v>
      </c>
      <c r="Q52" s="1"/>
      <c r="R52" s="5">
        <f t="shared" si="41"/>
        <v>2.2543249718676331E-3</v>
      </c>
      <c r="S52" s="1"/>
      <c r="T52" s="1">
        <f>SUM(OSRRefT22_8x_0)</f>
        <v>1273.47</v>
      </c>
      <c r="U52" s="1"/>
      <c r="V52" s="5">
        <f t="shared" si="42"/>
        <v>1.8728692301602551E-3</v>
      </c>
      <c r="W52" s="1"/>
      <c r="X52" s="1">
        <f t="shared" si="43"/>
        <v>72.259999999999991</v>
      </c>
      <c r="Y52" s="1"/>
      <c r="Z52" s="5">
        <f t="shared" si="44"/>
        <v>5.6742600925031597E-2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7"/>
        <v>0</v>
      </c>
      <c r="G53" s="2"/>
      <c r="H53" s="6">
        <v>47.75</v>
      </c>
      <c r="I53" s="2"/>
      <c r="J53" s="7">
        <f t="shared" si="38"/>
        <v>5.6911824930406672E-4</v>
      </c>
      <c r="K53" s="2"/>
      <c r="L53" s="6">
        <f t="shared" si="39"/>
        <v>-47.75</v>
      </c>
      <c r="M53" s="2"/>
      <c r="N53" s="7">
        <f t="shared" si="40"/>
        <v>-1</v>
      </c>
      <c r="O53" s="11"/>
      <c r="P53" s="6">
        <v>1345.73</v>
      </c>
      <c r="Q53" s="2"/>
      <c r="R53" s="7">
        <f t="shared" si="41"/>
        <v>2.2543249718676331E-3</v>
      </c>
      <c r="S53" s="2"/>
      <c r="T53" s="6">
        <v>1273.47</v>
      </c>
      <c r="U53" s="2"/>
      <c r="V53" s="7">
        <f t="shared" si="42"/>
        <v>1.8728692301602551E-3</v>
      </c>
      <c r="W53" s="2"/>
      <c r="X53" s="6">
        <f t="shared" si="43"/>
        <v>72.259999999999991</v>
      </c>
      <c r="Y53" s="2"/>
      <c r="Z53" s="7">
        <f t="shared" si="44"/>
        <v>5.6742600925031597E-2</v>
      </c>
    </row>
    <row r="54" spans="1:26" s="25" customFormat="1" outlineLevel="1" collapsed="1" x14ac:dyDescent="0.25">
      <c r="A54" s="26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243.54</v>
      </c>
      <c r="E54" s="1"/>
      <c r="F54" s="5">
        <f t="shared" si="37"/>
        <v>0</v>
      </c>
      <c r="G54" s="1"/>
      <c r="H54" s="1">
        <f>SUM(OSRRefH22_9x_0)</f>
        <v>229.44</v>
      </c>
      <c r="I54" s="1"/>
      <c r="J54" s="5">
        <f t="shared" si="38"/>
        <v>2.73462808628953E-3</v>
      </c>
      <c r="K54" s="1"/>
      <c r="L54" s="1">
        <f t="shared" si="39"/>
        <v>14.099999999999994</v>
      </c>
      <c r="M54" s="1"/>
      <c r="N54" s="5">
        <f t="shared" si="40"/>
        <v>6.1453974895397466E-2</v>
      </c>
      <c r="O54" s="13"/>
      <c r="P54" s="1">
        <f>SUM(OSRRefP22_9x_0)</f>
        <v>2435.4</v>
      </c>
      <c r="Q54" s="1"/>
      <c r="R54" s="5">
        <f t="shared" si="41"/>
        <v>4.0797062088876925E-3</v>
      </c>
      <c r="S54" s="1"/>
      <c r="T54" s="1">
        <f>SUM(OSRRefT22_9x_0)</f>
        <v>1885.01</v>
      </c>
      <c r="U54" s="1"/>
      <c r="V54" s="5">
        <f t="shared" si="42"/>
        <v>2.7722500157399722E-3</v>
      </c>
      <c r="W54" s="1"/>
      <c r="X54" s="1">
        <f t="shared" si="43"/>
        <v>550.3900000000001</v>
      </c>
      <c r="Y54" s="1"/>
      <c r="Z54" s="5">
        <f t="shared" si="44"/>
        <v>0.29198253590166634</v>
      </c>
    </row>
    <row r="55" spans="1:26" s="24" customFormat="1" hidden="1" outlineLevel="2" x14ac:dyDescent="0.25">
      <c r="A55" s="27"/>
      <c r="B55" s="11" t="str">
        <f>CONCATENATE("          ", "6314", " - ", "LIABILITY INSURANCE")</f>
        <v xml:space="preserve">          6314 - LIABILITY INSURANCE</v>
      </c>
      <c r="C55" s="11"/>
      <c r="D55" s="6">
        <v>243.54</v>
      </c>
      <c r="E55" s="2"/>
      <c r="F55" s="7">
        <f t="shared" si="37"/>
        <v>0</v>
      </c>
      <c r="G55" s="2"/>
      <c r="H55" s="6">
        <v>229.44</v>
      </c>
      <c r="I55" s="2"/>
      <c r="J55" s="7">
        <f t="shared" si="38"/>
        <v>2.73462808628953E-3</v>
      </c>
      <c r="K55" s="2"/>
      <c r="L55" s="6">
        <f t="shared" si="39"/>
        <v>14.099999999999994</v>
      </c>
      <c r="M55" s="2"/>
      <c r="N55" s="7">
        <f t="shared" si="40"/>
        <v>6.1453974895397466E-2</v>
      </c>
      <c r="O55" s="11"/>
      <c r="P55" s="6">
        <v>2435.4</v>
      </c>
      <c r="Q55" s="2"/>
      <c r="R55" s="7">
        <f t="shared" si="41"/>
        <v>4.0797062088876925E-3</v>
      </c>
      <c r="S55" s="2"/>
      <c r="T55" s="6">
        <v>1885.01</v>
      </c>
      <c r="U55" s="2"/>
      <c r="V55" s="7">
        <f t="shared" si="42"/>
        <v>2.7722500157399722E-3</v>
      </c>
      <c r="W55" s="2"/>
      <c r="X55" s="6">
        <f t="shared" si="43"/>
        <v>550.3900000000001</v>
      </c>
      <c r="Y55" s="2"/>
      <c r="Z55" s="7">
        <f t="shared" si="44"/>
        <v>0.29198253590166634</v>
      </c>
    </row>
    <row r="56" spans="1:26" s="25" customFormat="1" outlineLevel="1" collapsed="1" x14ac:dyDescent="0.25">
      <c r="A56" s="26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3124.82</v>
      </c>
      <c r="E56" s="1"/>
      <c r="F56" s="5">
        <f t="shared" si="37"/>
        <v>0</v>
      </c>
      <c r="G56" s="1"/>
      <c r="H56" s="1">
        <f>SUM(OSRRefH22_10x_0)</f>
        <v>3650.5</v>
      </c>
      <c r="I56" s="1"/>
      <c r="J56" s="5">
        <f t="shared" si="38"/>
        <v>4.3509239143130797E-2</v>
      </c>
      <c r="K56" s="1"/>
      <c r="L56" s="1">
        <f t="shared" si="39"/>
        <v>-525.67999999999984</v>
      </c>
      <c r="M56" s="1"/>
      <c r="N56" s="5">
        <f t="shared" si="40"/>
        <v>-0.14400219148061905</v>
      </c>
      <c r="O56" s="13"/>
      <c r="P56" s="1">
        <f>SUM(OSRRefP22_10x_0)</f>
        <v>40493.769999999997</v>
      </c>
      <c r="Q56" s="1"/>
      <c r="R56" s="5">
        <f t="shared" si="41"/>
        <v>6.7833901983358036E-2</v>
      </c>
      <c r="S56" s="1"/>
      <c r="T56" s="1">
        <f>SUM(OSRRefT22_10x_0)</f>
        <v>41955.4</v>
      </c>
      <c r="U56" s="1"/>
      <c r="V56" s="5">
        <f t="shared" si="42"/>
        <v>6.1703045771840381E-2</v>
      </c>
      <c r="W56" s="1"/>
      <c r="X56" s="1">
        <f t="shared" si="43"/>
        <v>-1461.6300000000047</v>
      </c>
      <c r="Y56" s="1"/>
      <c r="Z56" s="5">
        <f t="shared" si="44"/>
        <v>-3.4837708614385864E-2</v>
      </c>
    </row>
    <row r="57" spans="1:26" s="24" customFormat="1" hidden="1" outlineLevel="2" x14ac:dyDescent="0.25">
      <c r="A57" s="27"/>
      <c r="B57" s="11" t="str">
        <f>CONCATENATE("          ", "6401", " - ", "INTEREST EXPENSE")</f>
        <v xml:space="preserve">          6401 - INTEREST EXPENSE</v>
      </c>
      <c r="C57" s="11"/>
      <c r="D57" s="6">
        <v>3124.82</v>
      </c>
      <c r="E57" s="2"/>
      <c r="F57" s="7">
        <f t="shared" si="37"/>
        <v>0</v>
      </c>
      <c r="G57" s="2"/>
      <c r="H57" s="6">
        <v>3650.5</v>
      </c>
      <c r="I57" s="2"/>
      <c r="J57" s="7">
        <f t="shared" si="38"/>
        <v>4.3509239143130797E-2</v>
      </c>
      <c r="K57" s="2"/>
      <c r="L57" s="6">
        <f t="shared" si="39"/>
        <v>-525.67999999999984</v>
      </c>
      <c r="M57" s="2"/>
      <c r="N57" s="7">
        <f t="shared" si="40"/>
        <v>-0.14400219148061905</v>
      </c>
      <c r="O57" s="11"/>
      <c r="P57" s="6">
        <v>40493.769999999997</v>
      </c>
      <c r="Q57" s="2"/>
      <c r="R57" s="7">
        <f t="shared" si="41"/>
        <v>6.7833901983358036E-2</v>
      </c>
      <c r="S57" s="2"/>
      <c r="T57" s="6">
        <v>41955.4</v>
      </c>
      <c r="U57" s="2"/>
      <c r="V57" s="7">
        <f t="shared" si="42"/>
        <v>6.1703045771840381E-2</v>
      </c>
      <c r="W57" s="2"/>
      <c r="X57" s="6">
        <f t="shared" si="43"/>
        <v>-1461.6300000000047</v>
      </c>
      <c r="Y57" s="2"/>
      <c r="Z57" s="7">
        <f t="shared" si="44"/>
        <v>-3.4837708614385864E-2</v>
      </c>
    </row>
    <row r="58" spans="1:26" s="25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0</v>
      </c>
      <c r="E58" s="1"/>
      <c r="F58" s="5">
        <f t="shared" si="37"/>
        <v>0</v>
      </c>
      <c r="G58" s="1"/>
      <c r="H58" s="1">
        <f>SUM(OSRRefH22_11x_0)</f>
        <v>510</v>
      </c>
      <c r="I58" s="1"/>
      <c r="J58" s="5">
        <f t="shared" si="38"/>
        <v>6.0785404637711832E-3</v>
      </c>
      <c r="K58" s="1"/>
      <c r="L58" s="1">
        <f t="shared" si="39"/>
        <v>-510</v>
      </c>
      <c r="M58" s="1"/>
      <c r="N58" s="5">
        <f t="shared" si="40"/>
        <v>-1</v>
      </c>
      <c r="O58" s="13"/>
      <c r="P58" s="1">
        <f>SUM(OSRRefP22_11x_0)</f>
        <v>1046.19</v>
      </c>
      <c r="Q58" s="1"/>
      <c r="R58" s="5">
        <f t="shared" si="41"/>
        <v>1.7525448955720681E-3</v>
      </c>
      <c r="S58" s="1"/>
      <c r="T58" s="1">
        <f>SUM(OSRRefT22_11x_0)</f>
        <v>1502.1399999999999</v>
      </c>
      <c r="U58" s="1"/>
      <c r="V58" s="5">
        <f t="shared" si="42"/>
        <v>2.2091700514287149E-3</v>
      </c>
      <c r="W58" s="1"/>
      <c r="X58" s="1">
        <f t="shared" si="43"/>
        <v>-455.94999999999982</v>
      </c>
      <c r="Y58" s="1"/>
      <c r="Z58" s="5">
        <f t="shared" si="44"/>
        <v>-0.3035336253611513</v>
      </c>
    </row>
    <row r="59" spans="1:26" s="24" customFormat="1" hidden="1" outlineLevel="2" x14ac:dyDescent="0.2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>
        <v>437.31</v>
      </c>
      <c r="Q59" s="2"/>
      <c r="R59" s="7">
        <f t="shared" si="41"/>
        <v>7.3256808828474861E-4</v>
      </c>
      <c r="S59" s="2"/>
      <c r="T59" s="6"/>
      <c r="U59" s="2"/>
      <c r="V59" s="7">
        <f t="shared" si="42"/>
        <v>0</v>
      </c>
      <c r="W59" s="2"/>
      <c r="X59" s="6">
        <f t="shared" si="43"/>
        <v>437.31</v>
      </c>
      <c r="Y59" s="2"/>
      <c r="Z59" s="7">
        <f t="shared" si="44"/>
        <v>0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318.26</v>
      </c>
      <c r="Q60" s="2"/>
      <c r="R60" s="7">
        <f t="shared" si="41"/>
        <v>5.3313923710297968E-4</v>
      </c>
      <c r="S60" s="2"/>
      <c r="T60" s="6">
        <v>303.60000000000002</v>
      </c>
      <c r="U60" s="2"/>
      <c r="V60" s="7">
        <f t="shared" si="42"/>
        <v>4.4649901315041071E-4</v>
      </c>
      <c r="W60" s="2"/>
      <c r="X60" s="6">
        <f t="shared" si="43"/>
        <v>14.659999999999968</v>
      </c>
      <c r="Y60" s="2"/>
      <c r="Z60" s="7">
        <f t="shared" si="44"/>
        <v>4.8287220026350351E-2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37"/>
        <v>0</v>
      </c>
      <c r="G61" s="2"/>
      <c r="H61" s="6">
        <v>510</v>
      </c>
      <c r="I61" s="2"/>
      <c r="J61" s="7">
        <f t="shared" si="38"/>
        <v>6.0785404637711832E-3</v>
      </c>
      <c r="K61" s="2"/>
      <c r="L61" s="6">
        <f t="shared" si="39"/>
        <v>-510</v>
      </c>
      <c r="M61" s="2"/>
      <c r="N61" s="7">
        <f t="shared" si="40"/>
        <v>-1</v>
      </c>
      <c r="O61" s="11"/>
      <c r="P61" s="6">
        <v>290.62</v>
      </c>
      <c r="Q61" s="2"/>
      <c r="R61" s="7">
        <f t="shared" si="41"/>
        <v>4.8683757018433979E-4</v>
      </c>
      <c r="S61" s="2"/>
      <c r="T61" s="6">
        <v>1198.54</v>
      </c>
      <c r="U61" s="2"/>
      <c r="V61" s="7">
        <f t="shared" si="42"/>
        <v>1.7626710382783043E-3</v>
      </c>
      <c r="W61" s="2"/>
      <c r="X61" s="6">
        <f t="shared" si="43"/>
        <v>-907.92</v>
      </c>
      <c r="Y61" s="2"/>
      <c r="Z61" s="7">
        <f t="shared" si="44"/>
        <v>-0.75752165134246663</v>
      </c>
    </row>
    <row r="62" spans="1:26" s="25" customFormat="1" outlineLevel="1" collapsed="1" x14ac:dyDescent="0.25">
      <c r="A62" s="26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289</v>
      </c>
      <c r="E62" s="1"/>
      <c r="F62" s="5">
        <f t="shared" ref="F62:F66" si="45">IF(D$12=0,0,D62/D$12)</f>
        <v>0</v>
      </c>
      <c r="G62" s="1"/>
      <c r="H62" s="1">
        <f>SUM(OSRRefH22_12x_0)</f>
        <v>521.13</v>
      </c>
      <c r="I62" s="1"/>
      <c r="J62" s="5">
        <f t="shared" ref="J62:J66" si="46">IF(H$12=0,0,H62/H$12)</f>
        <v>6.2111956703628955E-3</v>
      </c>
      <c r="K62" s="1"/>
      <c r="L62" s="1">
        <f t="shared" ref="L62:L66" si="47">+D62-H62</f>
        <v>-232.13</v>
      </c>
      <c r="M62" s="1"/>
      <c r="N62" s="5">
        <f t="shared" ref="N62:N66" si="48">IF(H62=0,0,L62/H62)</f>
        <v>-0.44543587972290982</v>
      </c>
      <c r="O62" s="13"/>
      <c r="P62" s="1">
        <f>SUM(OSRRefP22_12x_0)</f>
        <v>5287.24</v>
      </c>
      <c r="Q62" s="1"/>
      <c r="R62" s="5">
        <f t="shared" ref="R62:R66" si="49">IF(P$12=0,0,P62/P$12)</f>
        <v>8.8570197322326346E-3</v>
      </c>
      <c r="S62" s="1"/>
      <c r="T62" s="1">
        <f>SUM(OSRRefT22_12x_0)</f>
        <v>5303.67</v>
      </c>
      <c r="U62" s="1"/>
      <c r="V62" s="5">
        <f t="shared" ref="V62:V66" si="50">IF(T$12=0,0,T62/T$12)</f>
        <v>7.8000112683644218E-3</v>
      </c>
      <c r="W62" s="1"/>
      <c r="X62" s="1">
        <f t="shared" ref="X62:X66" si="51">+P62-T62</f>
        <v>-16.430000000000291</v>
      </c>
      <c r="Y62" s="1"/>
      <c r="Z62" s="5">
        <f t="shared" ref="Z62:Z66" si="52">IF(T62=0,0,X62/T62)</f>
        <v>-3.0978548816197635E-3</v>
      </c>
    </row>
    <row r="63" spans="1:26" s="24" customFormat="1" hidden="1" outlineLevel="2" x14ac:dyDescent="0.25">
      <c r="A63" s="27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45"/>
        <v>0</v>
      </c>
      <c r="G63" s="2"/>
      <c r="H63" s="6">
        <v>157.35</v>
      </c>
      <c r="I63" s="2"/>
      <c r="J63" s="7">
        <f t="shared" si="46"/>
        <v>1.8754085136752858E-3</v>
      </c>
      <c r="K63" s="2"/>
      <c r="L63" s="6">
        <f t="shared" si="47"/>
        <v>-157.35</v>
      </c>
      <c r="M63" s="2"/>
      <c r="N63" s="7">
        <f t="shared" si="48"/>
        <v>-1</v>
      </c>
      <c r="O63" s="11"/>
      <c r="P63" s="6">
        <v>1573.5</v>
      </c>
      <c r="Q63" s="2"/>
      <c r="R63" s="7">
        <f t="shared" si="49"/>
        <v>2.6358781800463102E-3</v>
      </c>
      <c r="S63" s="2"/>
      <c r="T63" s="6">
        <v>1416.15</v>
      </c>
      <c r="U63" s="2"/>
      <c r="V63" s="7">
        <f t="shared" si="50"/>
        <v>2.0827061181586102E-3</v>
      </c>
      <c r="W63" s="2"/>
      <c r="X63" s="6">
        <f t="shared" si="51"/>
        <v>157.34999999999991</v>
      </c>
      <c r="Y63" s="2"/>
      <c r="Z63" s="7">
        <f t="shared" si="52"/>
        <v>0.11111111111111104</v>
      </c>
    </row>
    <row r="64" spans="1:26" s="24" customFormat="1" hidden="1" outlineLevel="2" x14ac:dyDescent="0.25">
      <c r="A64" s="27"/>
      <c r="B64" s="11" t="str">
        <f>CONCATENATE("          ", "6284", " - ", "TRASH REMOVAL EXPENSE")</f>
        <v xml:space="preserve">          6284 - TRASH REMOVAL EXPENSE</v>
      </c>
      <c r="C64" s="11"/>
      <c r="D64" s="6">
        <v>289</v>
      </c>
      <c r="E64" s="2"/>
      <c r="F64" s="7">
        <f t="shared" si="45"/>
        <v>0</v>
      </c>
      <c r="G64" s="2"/>
      <c r="H64" s="6">
        <v>237</v>
      </c>
      <c r="I64" s="2"/>
      <c r="J64" s="7">
        <f t="shared" si="46"/>
        <v>2.8247335096348442E-3</v>
      </c>
      <c r="K64" s="2"/>
      <c r="L64" s="6">
        <f t="shared" si="47"/>
        <v>52</v>
      </c>
      <c r="M64" s="2"/>
      <c r="N64" s="7">
        <f t="shared" si="48"/>
        <v>0.21940928270042195</v>
      </c>
      <c r="O64" s="11"/>
      <c r="P64" s="6">
        <v>2889</v>
      </c>
      <c r="Q64" s="2"/>
      <c r="R64" s="7">
        <f t="shared" si="49"/>
        <v>4.8395627976827388E-3</v>
      </c>
      <c r="S64" s="2"/>
      <c r="T64" s="6">
        <v>2940.73</v>
      </c>
      <c r="U64" s="2"/>
      <c r="V64" s="7">
        <f t="shared" si="50"/>
        <v>4.3248782705593118E-3</v>
      </c>
      <c r="W64" s="2"/>
      <c r="X64" s="6">
        <f t="shared" si="51"/>
        <v>-51.730000000000018</v>
      </c>
      <c r="Y64" s="2"/>
      <c r="Z64" s="7">
        <f t="shared" si="52"/>
        <v>-1.7590870294110651E-2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1"/>
      <c r="P65" s="6"/>
      <c r="Q65" s="2"/>
      <c r="R65" s="7">
        <f t="shared" si="49"/>
        <v>0</v>
      </c>
      <c r="S65" s="2"/>
      <c r="T65" s="6">
        <v>25</v>
      </c>
      <c r="U65" s="2"/>
      <c r="V65" s="7">
        <f t="shared" si="50"/>
        <v>3.6767046537418534E-5</v>
      </c>
      <c r="W65" s="2"/>
      <c r="X65" s="6">
        <f t="shared" si="51"/>
        <v>-25</v>
      </c>
      <c r="Y65" s="2"/>
      <c r="Z65" s="7">
        <f t="shared" si="52"/>
        <v>-1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45"/>
        <v>0</v>
      </c>
      <c r="G66" s="2"/>
      <c r="H66" s="6">
        <v>126.78</v>
      </c>
      <c r="I66" s="2"/>
      <c r="J66" s="7">
        <f t="shared" si="46"/>
        <v>1.511053647052766E-3</v>
      </c>
      <c r="K66" s="2"/>
      <c r="L66" s="6">
        <f t="shared" si="47"/>
        <v>-126.78</v>
      </c>
      <c r="M66" s="2"/>
      <c r="N66" s="7">
        <f t="shared" si="48"/>
        <v>-1</v>
      </c>
      <c r="O66" s="11"/>
      <c r="P66" s="6">
        <v>824.74</v>
      </c>
      <c r="Q66" s="2"/>
      <c r="R66" s="7">
        <f t="shared" si="49"/>
        <v>1.3815787545035868E-3</v>
      </c>
      <c r="S66" s="2"/>
      <c r="T66" s="6">
        <v>921.79</v>
      </c>
      <c r="U66" s="2"/>
      <c r="V66" s="7">
        <f t="shared" si="50"/>
        <v>1.355659833109081E-3</v>
      </c>
      <c r="W66" s="2"/>
      <c r="X66" s="6">
        <f t="shared" si="51"/>
        <v>-97.049999999999955</v>
      </c>
      <c r="Y66" s="2"/>
      <c r="Z66" s="7">
        <f t="shared" si="52"/>
        <v>-0.10528428383905224</v>
      </c>
    </row>
    <row r="67" spans="1:26" s="25" customFormat="1" outlineLevel="1" collapsed="1" x14ac:dyDescent="0.25">
      <c r="A67" s="26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0</v>
      </c>
      <c r="E67" s="1"/>
      <c r="F67" s="5">
        <f t="shared" ref="F67:F69" si="53">IF(D$12=0,0,D67/D$12)</f>
        <v>0</v>
      </c>
      <c r="G67" s="1"/>
      <c r="H67" s="1">
        <f>SUM(OSRRefH22_13x_0)</f>
        <v>176.4</v>
      </c>
      <c r="I67" s="1"/>
      <c r="J67" s="5">
        <f t="shared" ref="J67:J69" si="54">IF(H$12=0,0,H67/H$12)</f>
        <v>2.102459878057327E-3</v>
      </c>
      <c r="K67" s="1"/>
      <c r="L67" s="1">
        <f t="shared" ref="L67:L69" si="55">+D67-H67</f>
        <v>-176.4</v>
      </c>
      <c r="M67" s="1"/>
      <c r="N67" s="5">
        <f t="shared" ref="N67:N69" si="56">IF(H67=0,0,L67/H67)</f>
        <v>-1</v>
      </c>
      <c r="O67" s="13"/>
      <c r="P67" s="1">
        <f>SUM(OSRRefP22_13x_0)</f>
        <v>1411.2</v>
      </c>
      <c r="Q67" s="1"/>
      <c r="R67" s="5">
        <f t="shared" ref="R67:R69" si="57">IF(P$12=0,0,P67/P$12)</f>
        <v>2.3639982762512571E-3</v>
      </c>
      <c r="S67" s="1"/>
      <c r="T67" s="1">
        <f>SUM(OSRRefT22_13x_0)</f>
        <v>1234.8000000000002</v>
      </c>
      <c r="U67" s="1"/>
      <c r="V67" s="5">
        <f t="shared" ref="V67:V69" si="58">IF(T$12=0,0,T67/T$12)</f>
        <v>1.8159979625761765E-3</v>
      </c>
      <c r="W67" s="1"/>
      <c r="X67" s="1">
        <f t="shared" ref="X67:X69" si="59">+P67-T67</f>
        <v>176.39999999999986</v>
      </c>
      <c r="Y67" s="1"/>
      <c r="Z67" s="5">
        <f t="shared" ref="Z67:Z69" si="60">IF(T67=0,0,X67/T67)</f>
        <v>0.14285714285714274</v>
      </c>
    </row>
    <row r="68" spans="1:26" s="24" customFormat="1" hidden="1" outlineLevel="2" x14ac:dyDescent="0.25">
      <c r="A68" s="27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53"/>
        <v>0</v>
      </c>
      <c r="G68" s="2"/>
      <c r="H68" s="6"/>
      <c r="I68" s="2"/>
      <c r="J68" s="7">
        <f t="shared" si="54"/>
        <v>0</v>
      </c>
      <c r="K68" s="2"/>
      <c r="L68" s="6">
        <f t="shared" si="55"/>
        <v>0</v>
      </c>
      <c r="M68" s="2"/>
      <c r="N68" s="7">
        <f t="shared" si="56"/>
        <v>0</v>
      </c>
      <c r="O68" s="11"/>
      <c r="P68" s="6"/>
      <c r="Q68" s="2"/>
      <c r="R68" s="7">
        <f t="shared" si="57"/>
        <v>0</v>
      </c>
      <c r="S68" s="2"/>
      <c r="T68" s="6">
        <v>176.4</v>
      </c>
      <c r="U68" s="2"/>
      <c r="V68" s="7">
        <f t="shared" si="58"/>
        <v>2.5942828036802515E-4</v>
      </c>
      <c r="W68" s="2"/>
      <c r="X68" s="6">
        <f t="shared" si="59"/>
        <v>-176.4</v>
      </c>
      <c r="Y68" s="2"/>
      <c r="Z68" s="7">
        <f t="shared" si="60"/>
        <v>-1</v>
      </c>
    </row>
    <row r="69" spans="1:26" s="24" customFormat="1" hidden="1" outlineLevel="2" x14ac:dyDescent="0.25">
      <c r="A69" s="27"/>
      <c r="B69" s="11" t="str">
        <f>CONCATENATE("          ", "6275", " - ", "SUBSCRIPTIONS")</f>
        <v xml:space="preserve">          6275 - SUBSCRIPTIONS</v>
      </c>
      <c r="C69" s="11"/>
      <c r="D69" s="6"/>
      <c r="E69" s="2"/>
      <c r="F69" s="7">
        <f t="shared" si="53"/>
        <v>0</v>
      </c>
      <c r="G69" s="2"/>
      <c r="H69" s="6">
        <v>176.4</v>
      </c>
      <c r="I69" s="2"/>
      <c r="J69" s="7">
        <f t="shared" si="54"/>
        <v>2.102459878057327E-3</v>
      </c>
      <c r="K69" s="2"/>
      <c r="L69" s="6">
        <f t="shared" si="55"/>
        <v>-176.4</v>
      </c>
      <c r="M69" s="2"/>
      <c r="N69" s="7">
        <f t="shared" si="56"/>
        <v>-1</v>
      </c>
      <c r="O69" s="11"/>
      <c r="P69" s="6">
        <v>1411.2</v>
      </c>
      <c r="Q69" s="2"/>
      <c r="R69" s="7">
        <f t="shared" si="57"/>
        <v>2.3639982762512571E-3</v>
      </c>
      <c r="S69" s="2"/>
      <c r="T69" s="6">
        <v>1058.4000000000001</v>
      </c>
      <c r="U69" s="2"/>
      <c r="V69" s="7">
        <f t="shared" si="58"/>
        <v>1.5565696822081511E-3</v>
      </c>
      <c r="W69" s="2"/>
      <c r="X69" s="6">
        <f t="shared" si="59"/>
        <v>352.79999999999995</v>
      </c>
      <c r="Y69" s="2"/>
      <c r="Z69" s="7">
        <f t="shared" si="60"/>
        <v>0.33333333333333326</v>
      </c>
    </row>
    <row r="70" spans="1:26" s="25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0</v>
      </c>
      <c r="E70" s="1"/>
      <c r="F70" s="5">
        <f t="shared" ref="F70:F76" si="61">IF(D$12=0,0,D70/D$12)</f>
        <v>0</v>
      </c>
      <c r="G70" s="1"/>
      <c r="H70" s="1">
        <f>SUM(OSRRefH22_14x_0)</f>
        <v>1082.53</v>
      </c>
      <c r="I70" s="1"/>
      <c r="J70" s="5">
        <f t="shared" ref="J70:J76" si="62">IF(H$12=0,0,H70/H$12)</f>
        <v>1.290235766322788E-2</v>
      </c>
      <c r="K70" s="1"/>
      <c r="L70" s="1">
        <f t="shared" ref="L70:L76" si="63">+D70-H70</f>
        <v>-1082.53</v>
      </c>
      <c r="M70" s="1"/>
      <c r="N70" s="5">
        <f t="shared" ref="N70:N76" si="64">IF(H70=0,0,L70/H70)</f>
        <v>-1</v>
      </c>
      <c r="O70" s="13"/>
      <c r="P70" s="1">
        <f>SUM(OSRRefP22_14x_0)</f>
        <v>10919.900000000001</v>
      </c>
      <c r="Q70" s="1"/>
      <c r="R70" s="5">
        <f t="shared" ref="R70:R76" si="65">IF(P$12=0,0,P70/P$12)</f>
        <v>1.8292676287440551E-2</v>
      </c>
      <c r="S70" s="1"/>
      <c r="T70" s="1">
        <f>SUM(OSRRefT22_14x_0)</f>
        <v>10695.789999999999</v>
      </c>
      <c r="U70" s="1"/>
      <c r="V70" s="5">
        <f t="shared" ref="V70:V76" si="66">IF(T$12=0,0,T70/T$12)</f>
        <v>1.5730104347378229E-2</v>
      </c>
      <c r="W70" s="1"/>
      <c r="X70" s="1">
        <f t="shared" ref="X70:X76" si="67">+P70-T70</f>
        <v>224.1100000000024</v>
      </c>
      <c r="Y70" s="1"/>
      <c r="Z70" s="5">
        <f t="shared" ref="Z70:Z76" si="68">IF(T70=0,0,X70/T70)</f>
        <v>2.0953103978294491E-2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61"/>
        <v>0</v>
      </c>
      <c r="G71" s="2"/>
      <c r="H71" s="6"/>
      <c r="I71" s="2"/>
      <c r="J71" s="7">
        <f t="shared" si="62"/>
        <v>0</v>
      </c>
      <c r="K71" s="2"/>
      <c r="L71" s="6">
        <f t="shared" si="63"/>
        <v>0</v>
      </c>
      <c r="M71" s="2"/>
      <c r="N71" s="7">
        <f t="shared" si="64"/>
        <v>0</v>
      </c>
      <c r="O71" s="11"/>
      <c r="P71" s="6">
        <v>28.22</v>
      </c>
      <c r="Q71" s="2"/>
      <c r="R71" s="7">
        <f t="shared" si="65"/>
        <v>4.7273264849638937E-5</v>
      </c>
      <c r="S71" s="2"/>
      <c r="T71" s="6">
        <v>939.33</v>
      </c>
      <c r="U71" s="2"/>
      <c r="V71" s="7">
        <f t="shared" si="66"/>
        <v>1.381455592959734E-3</v>
      </c>
      <c r="W71" s="2"/>
      <c r="X71" s="6">
        <f t="shared" si="67"/>
        <v>-911.11</v>
      </c>
      <c r="Y71" s="2"/>
      <c r="Z71" s="7">
        <f t="shared" si="68"/>
        <v>-0.96995730999755136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61"/>
        <v>0</v>
      </c>
      <c r="G72" s="2"/>
      <c r="H72" s="6">
        <v>176.33</v>
      </c>
      <c r="I72" s="2"/>
      <c r="J72" s="7">
        <f t="shared" si="62"/>
        <v>2.1016255685819074E-3</v>
      </c>
      <c r="K72" s="2"/>
      <c r="L72" s="6">
        <f t="shared" si="63"/>
        <v>-176.33</v>
      </c>
      <c r="M72" s="2"/>
      <c r="N72" s="7">
        <f t="shared" si="64"/>
        <v>-1</v>
      </c>
      <c r="O72" s="11"/>
      <c r="P72" s="6">
        <v>1422.57</v>
      </c>
      <c r="Q72" s="2"/>
      <c r="R72" s="7">
        <f t="shared" si="65"/>
        <v>2.3830449460365295E-3</v>
      </c>
      <c r="S72" s="2"/>
      <c r="T72" s="6">
        <v>2887.4</v>
      </c>
      <c r="U72" s="2"/>
      <c r="V72" s="7">
        <f t="shared" si="66"/>
        <v>4.2464468068856911E-3</v>
      </c>
      <c r="W72" s="2"/>
      <c r="X72" s="6">
        <f t="shared" si="67"/>
        <v>-1464.8300000000002</v>
      </c>
      <c r="Y72" s="2"/>
      <c r="Z72" s="7">
        <f t="shared" si="68"/>
        <v>-0.50731800235505997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61"/>
        <v>0</v>
      </c>
      <c r="G73" s="2"/>
      <c r="H73" s="6">
        <v>768.48</v>
      </c>
      <c r="I73" s="2"/>
      <c r="J73" s="7">
        <f t="shared" si="62"/>
        <v>9.1592877952919195E-3</v>
      </c>
      <c r="K73" s="2"/>
      <c r="L73" s="6">
        <f t="shared" si="63"/>
        <v>-768.48</v>
      </c>
      <c r="M73" s="2"/>
      <c r="N73" s="7">
        <f t="shared" si="64"/>
        <v>-1</v>
      </c>
      <c r="O73" s="11"/>
      <c r="P73" s="6">
        <v>484.03</v>
      </c>
      <c r="Q73" s="2"/>
      <c r="R73" s="7">
        <f t="shared" si="65"/>
        <v>8.1083197679556113E-4</v>
      </c>
      <c r="S73" s="2"/>
      <c r="T73" s="6">
        <v>4013.74</v>
      </c>
      <c r="U73" s="2"/>
      <c r="V73" s="7">
        <f t="shared" si="66"/>
        <v>5.9029346147639302E-3</v>
      </c>
      <c r="W73" s="2"/>
      <c r="X73" s="6">
        <f t="shared" si="67"/>
        <v>-3529.71</v>
      </c>
      <c r="Y73" s="2"/>
      <c r="Z73" s="7">
        <f t="shared" si="68"/>
        <v>-0.87940673785546652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61"/>
        <v>0</v>
      </c>
      <c r="G74" s="2"/>
      <c r="H74" s="6">
        <v>217.72</v>
      </c>
      <c r="I74" s="2"/>
      <c r="J74" s="7">
        <f t="shared" si="62"/>
        <v>2.5949408426907102E-3</v>
      </c>
      <c r="K74" s="2"/>
      <c r="L74" s="6">
        <f t="shared" si="63"/>
        <v>-217.72</v>
      </c>
      <c r="M74" s="2"/>
      <c r="N74" s="7">
        <f t="shared" si="64"/>
        <v>-1</v>
      </c>
      <c r="O74" s="11"/>
      <c r="P74" s="6">
        <v>1399.73</v>
      </c>
      <c r="Q74" s="2"/>
      <c r="R74" s="7">
        <f t="shared" si="65"/>
        <v>2.3447840895813293E-3</v>
      </c>
      <c r="S74" s="2"/>
      <c r="T74" s="6">
        <v>1806.06</v>
      </c>
      <c r="U74" s="2"/>
      <c r="V74" s="7">
        <f t="shared" si="66"/>
        <v>2.6561396827748046E-3</v>
      </c>
      <c r="W74" s="2"/>
      <c r="X74" s="6">
        <f t="shared" si="67"/>
        <v>-406.32999999999993</v>
      </c>
      <c r="Y74" s="2"/>
      <c r="Z74" s="7">
        <f t="shared" si="68"/>
        <v>-0.22498145133605746</v>
      </c>
    </row>
    <row r="75" spans="1:26" s="24" customFormat="1" hidden="1" outlineLevel="2" x14ac:dyDescent="0.25">
      <c r="A75" s="27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61"/>
        <v>0</v>
      </c>
      <c r="G75" s="2"/>
      <c r="H75" s="6">
        <v>-80</v>
      </c>
      <c r="I75" s="2"/>
      <c r="J75" s="7">
        <f t="shared" si="62"/>
        <v>-9.5349654333665623E-4</v>
      </c>
      <c r="K75" s="2"/>
      <c r="L75" s="6">
        <f t="shared" si="63"/>
        <v>80</v>
      </c>
      <c r="M75" s="2"/>
      <c r="N75" s="7">
        <f t="shared" si="64"/>
        <v>-1</v>
      </c>
      <c r="O75" s="11"/>
      <c r="P75" s="6">
        <v>7585.35</v>
      </c>
      <c r="Q75" s="2"/>
      <c r="R75" s="7">
        <f t="shared" si="65"/>
        <v>1.2706742010177489E-2</v>
      </c>
      <c r="S75" s="2"/>
      <c r="T75" s="6">
        <v>649.55999999999995</v>
      </c>
      <c r="U75" s="2"/>
      <c r="V75" s="7">
        <f t="shared" si="66"/>
        <v>9.5529610995382318E-4</v>
      </c>
      <c r="W75" s="2"/>
      <c r="X75" s="6">
        <f t="shared" si="67"/>
        <v>6935.7900000000009</v>
      </c>
      <c r="Y75" s="2"/>
      <c r="Z75" s="7">
        <f t="shared" si="68"/>
        <v>10.677674117864402</v>
      </c>
    </row>
    <row r="76" spans="1:26" s="24" customFormat="1" hidden="1" outlineLevel="2" x14ac:dyDescent="0.25">
      <c r="A76" s="27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61"/>
        <v>0</v>
      </c>
      <c r="G76" s="2"/>
      <c r="H76" s="6"/>
      <c r="I76" s="2"/>
      <c r="J76" s="7">
        <f t="shared" si="62"/>
        <v>0</v>
      </c>
      <c r="K76" s="2"/>
      <c r="L76" s="6">
        <f t="shared" si="63"/>
        <v>0</v>
      </c>
      <c r="M76" s="2"/>
      <c r="N76" s="7">
        <f t="shared" si="64"/>
        <v>0</v>
      </c>
      <c r="O76" s="11"/>
      <c r="P76" s="6"/>
      <c r="Q76" s="2"/>
      <c r="R76" s="7">
        <f t="shared" si="65"/>
        <v>0</v>
      </c>
      <c r="S76" s="2"/>
      <c r="T76" s="6">
        <v>399.7</v>
      </c>
      <c r="U76" s="2"/>
      <c r="V76" s="7">
        <f t="shared" si="66"/>
        <v>5.8783154004024747E-4</v>
      </c>
      <c r="W76" s="2"/>
      <c r="X76" s="6">
        <f t="shared" si="67"/>
        <v>-399.7</v>
      </c>
      <c r="Y76" s="2"/>
      <c r="Z76" s="7">
        <f t="shared" si="68"/>
        <v>-1</v>
      </c>
    </row>
    <row r="77" spans="1:26" s="25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SUM(OSRRefD22_15x_0)</f>
        <v>88.1</v>
      </c>
      <c r="E77" s="1"/>
      <c r="F77" s="5">
        <f t="shared" ref="F77:F82" si="69">IF(D$12=0,0,D77/D$12)</f>
        <v>0</v>
      </c>
      <c r="G77" s="1"/>
      <c r="H77" s="1">
        <f>SUM(OSRRefH22_15x_0)</f>
        <v>38.4</v>
      </c>
      <c r="I77" s="1"/>
      <c r="J77" s="5">
        <f t="shared" ref="J77:J82" si="70">IF(H$12=0,0,H77/H$12)</f>
        <v>4.57678340801595E-4</v>
      </c>
      <c r="K77" s="1"/>
      <c r="L77" s="1">
        <f t="shared" ref="L77:L82" si="71">+D77-H77</f>
        <v>49.699999999999996</v>
      </c>
      <c r="M77" s="1"/>
      <c r="N77" s="5">
        <f t="shared" ref="N77:N82" si="72">IF(H77=0,0,L77/H77)</f>
        <v>1.2942708333333333</v>
      </c>
      <c r="O77" s="13"/>
      <c r="P77" s="1">
        <f>SUM(OSRRefP22_15x_0)</f>
        <v>634.16999999999996</v>
      </c>
      <c r="Q77" s="1"/>
      <c r="R77" s="5">
        <f t="shared" ref="R77:R82" si="73">IF(P$12=0,0,P77/P$12)</f>
        <v>1.0623418274165672E-3</v>
      </c>
      <c r="S77" s="1"/>
      <c r="T77" s="1">
        <f>SUM(OSRRefT22_15x_0)</f>
        <v>390.9</v>
      </c>
      <c r="U77" s="1"/>
      <c r="V77" s="5">
        <f t="shared" ref="V77:V82" si="74">IF(T$12=0,0,T77/T$12)</f>
        <v>5.7488953965907608E-4</v>
      </c>
      <c r="W77" s="1"/>
      <c r="X77" s="1">
        <f t="shared" ref="X77:X82" si="75">+P77-T77</f>
        <v>243.26999999999998</v>
      </c>
      <c r="Y77" s="1"/>
      <c r="Z77" s="5">
        <f t="shared" ref="Z77:Z82" si="76">IF(T77=0,0,X77/T77)</f>
        <v>0.62233307751343059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6">
        <v>88.1</v>
      </c>
      <c r="E78" s="2"/>
      <c r="F78" s="7">
        <f t="shared" si="69"/>
        <v>0</v>
      </c>
      <c r="G78" s="2"/>
      <c r="H78" s="6">
        <v>38.4</v>
      </c>
      <c r="I78" s="2"/>
      <c r="J78" s="7">
        <f t="shared" si="70"/>
        <v>4.57678340801595E-4</v>
      </c>
      <c r="K78" s="2"/>
      <c r="L78" s="6">
        <f t="shared" si="71"/>
        <v>49.699999999999996</v>
      </c>
      <c r="M78" s="2"/>
      <c r="N78" s="7">
        <f t="shared" si="72"/>
        <v>1.2942708333333333</v>
      </c>
      <c r="O78" s="11"/>
      <c r="P78" s="6">
        <v>634.16999999999996</v>
      </c>
      <c r="Q78" s="2"/>
      <c r="R78" s="7">
        <f t="shared" si="73"/>
        <v>1.0623418274165672E-3</v>
      </c>
      <c r="S78" s="2"/>
      <c r="T78" s="6">
        <v>390.9</v>
      </c>
      <c r="U78" s="2"/>
      <c r="V78" s="7">
        <f t="shared" si="74"/>
        <v>5.7488953965907608E-4</v>
      </c>
      <c r="W78" s="2"/>
      <c r="X78" s="6">
        <f t="shared" si="75"/>
        <v>243.26999999999998</v>
      </c>
      <c r="Y78" s="2"/>
      <c r="Z78" s="7">
        <f t="shared" si="76"/>
        <v>0.62233307751343059</v>
      </c>
    </row>
    <row r="79" spans="1:26" s="25" customFormat="1" outlineLevel="1" collapsed="1" x14ac:dyDescent="0.25">
      <c r="A79" s="26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SUM(OSRRefD22_16x_0)</f>
        <v>0</v>
      </c>
      <c r="E79" s="1"/>
      <c r="F79" s="5">
        <f t="shared" si="69"/>
        <v>0</v>
      </c>
      <c r="G79" s="1"/>
      <c r="H79" s="1">
        <f>SUM(OSRRefH22_16x_0)</f>
        <v>0</v>
      </c>
      <c r="I79" s="1"/>
      <c r="J79" s="5">
        <f t="shared" si="70"/>
        <v>0</v>
      </c>
      <c r="K79" s="1"/>
      <c r="L79" s="1">
        <f t="shared" si="71"/>
        <v>0</v>
      </c>
      <c r="M79" s="1"/>
      <c r="N79" s="5">
        <f t="shared" si="72"/>
        <v>0</v>
      </c>
      <c r="O79" s="13"/>
      <c r="P79" s="1">
        <f>SUM(OSRRefP22_16x_0)</f>
        <v>14</v>
      </c>
      <c r="Q79" s="1"/>
      <c r="R79" s="5">
        <f t="shared" si="73"/>
        <v>2.3452363851698979E-5</v>
      </c>
      <c r="S79" s="1"/>
      <c r="T79" s="1">
        <f>SUM(OSRRefT22_16x_0)</f>
        <v>139</v>
      </c>
      <c r="U79" s="1"/>
      <c r="V79" s="5">
        <f t="shared" si="74"/>
        <v>2.0442477874804704E-4</v>
      </c>
      <c r="W79" s="1"/>
      <c r="X79" s="1">
        <f t="shared" si="75"/>
        <v>-125</v>
      </c>
      <c r="Y79" s="1"/>
      <c r="Z79" s="5">
        <f t="shared" si="76"/>
        <v>-0.89928057553956831</v>
      </c>
    </row>
    <row r="80" spans="1:26" s="24" customFormat="1" hidden="1" outlineLevel="2" x14ac:dyDescent="0.25">
      <c r="A80" s="27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69"/>
        <v>0</v>
      </c>
      <c r="G80" s="2"/>
      <c r="H80" s="6"/>
      <c r="I80" s="2"/>
      <c r="J80" s="7">
        <f t="shared" si="70"/>
        <v>0</v>
      </c>
      <c r="K80" s="2"/>
      <c r="L80" s="6">
        <f t="shared" si="71"/>
        <v>0</v>
      </c>
      <c r="M80" s="2"/>
      <c r="N80" s="7">
        <f t="shared" si="72"/>
        <v>0</v>
      </c>
      <c r="O80" s="11"/>
      <c r="P80" s="6">
        <v>14</v>
      </c>
      <c r="Q80" s="2"/>
      <c r="R80" s="7">
        <f t="shared" si="73"/>
        <v>2.3452363851698979E-5</v>
      </c>
      <c r="S80" s="2"/>
      <c r="T80" s="6">
        <v>139</v>
      </c>
      <c r="U80" s="2"/>
      <c r="V80" s="7">
        <f t="shared" si="74"/>
        <v>2.0442477874804704E-4</v>
      </c>
      <c r="W80" s="2"/>
      <c r="X80" s="6">
        <f t="shared" si="75"/>
        <v>-125</v>
      </c>
      <c r="Y80" s="2"/>
      <c r="Z80" s="7">
        <f t="shared" si="76"/>
        <v>-0.89928057553956831</v>
      </c>
    </row>
    <row r="81" spans="1:26" s="25" customFormat="1" outlineLevel="1" collapsed="1" x14ac:dyDescent="0.25">
      <c r="A81" s="26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SUM(OSRRefD22_17x_0)</f>
        <v>878</v>
      </c>
      <c r="E81" s="1"/>
      <c r="F81" s="5">
        <f t="shared" si="69"/>
        <v>0</v>
      </c>
      <c r="G81" s="1"/>
      <c r="H81" s="1">
        <f>SUM(OSRRefH22_17x_0)</f>
        <v>771</v>
      </c>
      <c r="I81" s="1"/>
      <c r="J81" s="5">
        <f t="shared" si="70"/>
        <v>9.1893229364070246E-3</v>
      </c>
      <c r="K81" s="1"/>
      <c r="L81" s="1">
        <f t="shared" si="71"/>
        <v>107</v>
      </c>
      <c r="M81" s="1"/>
      <c r="N81" s="5">
        <f t="shared" si="72"/>
        <v>0.13878080415045396</v>
      </c>
      <c r="O81" s="13"/>
      <c r="P81" s="1">
        <f>SUM(OSRRefP22_17x_0)</f>
        <v>8528</v>
      </c>
      <c r="Q81" s="1"/>
      <c r="R81" s="5">
        <f t="shared" si="73"/>
        <v>1.4285839923377777E-2</v>
      </c>
      <c r="S81" s="1"/>
      <c r="T81" s="1">
        <f>SUM(OSRRefT22_17x_0)</f>
        <v>6333.7</v>
      </c>
      <c r="U81" s="1"/>
      <c r="V81" s="5">
        <f t="shared" si="74"/>
        <v>9.3148577061619095E-3</v>
      </c>
      <c r="W81" s="1"/>
      <c r="X81" s="1">
        <f t="shared" si="75"/>
        <v>2194.3000000000002</v>
      </c>
      <c r="Y81" s="1"/>
      <c r="Z81" s="5">
        <f t="shared" si="76"/>
        <v>0.3464483635157965</v>
      </c>
    </row>
    <row r="82" spans="1:26" s="24" customFormat="1" hidden="1" outlineLevel="2" x14ac:dyDescent="0.25">
      <c r="A82" s="27"/>
      <c r="B82" s="11" t="str">
        <f>CONCATENATE("          ", "6274", " - ", "UTILITIES")</f>
        <v xml:space="preserve">          6274 - UTILITIES</v>
      </c>
      <c r="C82" s="11"/>
      <c r="D82" s="6">
        <v>878</v>
      </c>
      <c r="E82" s="2"/>
      <c r="F82" s="7">
        <f t="shared" si="69"/>
        <v>0</v>
      </c>
      <c r="G82" s="2"/>
      <c r="H82" s="6">
        <v>771</v>
      </c>
      <c r="I82" s="2"/>
      <c r="J82" s="7">
        <f t="shared" si="70"/>
        <v>9.1893229364070246E-3</v>
      </c>
      <c r="K82" s="2"/>
      <c r="L82" s="6">
        <f t="shared" si="71"/>
        <v>107</v>
      </c>
      <c r="M82" s="2"/>
      <c r="N82" s="7">
        <f t="shared" si="72"/>
        <v>0.13878080415045396</v>
      </c>
      <c r="O82" s="11"/>
      <c r="P82" s="6">
        <v>8528</v>
      </c>
      <c r="Q82" s="2"/>
      <c r="R82" s="7">
        <f t="shared" si="73"/>
        <v>1.4285839923377777E-2</v>
      </c>
      <c r="S82" s="2"/>
      <c r="T82" s="6">
        <v>6333.7</v>
      </c>
      <c r="U82" s="2"/>
      <c r="V82" s="7">
        <f t="shared" si="74"/>
        <v>9.3148577061619095E-3</v>
      </c>
      <c r="W82" s="2"/>
      <c r="X82" s="6">
        <f t="shared" si="75"/>
        <v>2194.3000000000002</v>
      </c>
      <c r="Y82" s="2"/>
      <c r="Z82" s="7">
        <f t="shared" si="76"/>
        <v>0.3464483635157965</v>
      </c>
    </row>
    <row r="83" spans="1:26" s="53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1">
        <f>+D20-D22+D84</f>
        <v>-31886.180000000004</v>
      </c>
      <c r="E86" s="14"/>
      <c r="F86" s="20">
        <f>IF(D$12=0,0,D86/D$12)</f>
        <v>0</v>
      </c>
      <c r="G86" s="14"/>
      <c r="H86" s="21">
        <f>+H20-H22+H84</f>
        <v>12277.510000000009</v>
      </c>
      <c r="I86" s="14"/>
      <c r="J86" s="20">
        <f>IF(H$12=0,0,H86/H$12)</f>
        <v>0.1463320418222655</v>
      </c>
      <c r="K86" s="15"/>
      <c r="L86" s="21">
        <f>+D86-H86</f>
        <v>-44163.690000000017</v>
      </c>
      <c r="M86" s="15"/>
      <c r="N86" s="20">
        <f>IF(H86=0,0,L86/H86)</f>
        <v>-3.5971210774823219</v>
      </c>
      <c r="O86" s="29"/>
      <c r="P86" s="21">
        <f>+P20-P22+P84</f>
        <v>9534.0900000000838</v>
      </c>
      <c r="Q86" s="14"/>
      <c r="R86" s="20">
        <f>IF(P$12=0,0,P86/P$12)</f>
        <v>1.5971210548203333E-2</v>
      </c>
      <c r="S86" s="14"/>
      <c r="T86" s="21">
        <f>+T20-T22+T84</f>
        <v>68837.419999999984</v>
      </c>
      <c r="U86" s="14"/>
      <c r="V86" s="20">
        <f>IF(T$12=0,0,T86/T$12)</f>
        <v>0.10123794498623298</v>
      </c>
      <c r="W86" s="15"/>
      <c r="X86" s="21">
        <f>+P86-T86</f>
        <v>-59303.3299999999</v>
      </c>
      <c r="Y86" s="15"/>
      <c r="Z86" s="20">
        <f>IF(T86=0,0,X86/T86)</f>
        <v>-0.86149844081896032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3814.79</v>
      </c>
      <c r="E88" s="4"/>
      <c r="F88" s="12">
        <f>IF(D$12=0,0,D88/D$12)</f>
        <v>0</v>
      </c>
      <c r="G88" s="4"/>
      <c r="H88" s="4">
        <v>9310.07</v>
      </c>
      <c r="I88" s="4"/>
      <c r="J88" s="12">
        <f>IF(H$12=0,0,H88/H$12)</f>
        <v>0.11096399454027879</v>
      </c>
      <c r="K88" s="4"/>
      <c r="L88" s="4">
        <f>+D88-H88</f>
        <v>-5495.28</v>
      </c>
      <c r="M88" s="4"/>
      <c r="N88" s="12">
        <f>IF(H88=0,0,L88/H88)</f>
        <v>-0.59025120111878859</v>
      </c>
      <c r="O88" s="10"/>
      <c r="P88" s="4">
        <v>67779.94</v>
      </c>
      <c r="Q88" s="4"/>
      <c r="R88" s="12">
        <f>IF(P$12=0,0,P88/P$12)</f>
        <v>0.11354284390902326</v>
      </c>
      <c r="S88" s="4"/>
      <c r="T88" s="4">
        <v>70687.31</v>
      </c>
      <c r="U88" s="4"/>
      <c r="V88" s="12">
        <f>IF(T$12=0,0,T88/T$12)</f>
        <v>0.10395854465499721</v>
      </c>
      <c r="W88" s="4"/>
      <c r="X88" s="4">
        <f>+P88-T88</f>
        <v>-2907.3699999999953</v>
      </c>
      <c r="Y88" s="4"/>
      <c r="Z88" s="12">
        <f>IF(T88=0,0,X88/T88)</f>
        <v>-4.1130013293758039E-2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0">
        <f>+D86-D88</f>
        <v>-35700.97</v>
      </c>
      <c r="E90" s="14"/>
      <c r="F90" s="36">
        <f>IF(D$12=0,0,D90/D$12)</f>
        <v>0</v>
      </c>
      <c r="G90" s="14"/>
      <c r="H90" s="30">
        <f>+H86-H88</f>
        <v>2967.4400000000096</v>
      </c>
      <c r="I90" s="14"/>
      <c r="J90" s="36">
        <f>IF(H$12=0,0,H90/H$12)</f>
        <v>3.5368047281986704E-2</v>
      </c>
      <c r="K90" s="15"/>
      <c r="L90" s="30">
        <f>D90-H90</f>
        <v>-38668.410000000011</v>
      </c>
      <c r="M90" s="15"/>
      <c r="N90" s="36">
        <f>IF(H90=0,0,L90/H90)</f>
        <v>-13.030898687083777</v>
      </c>
      <c r="O90" s="29"/>
      <c r="P90" s="30">
        <f>+P86-P88</f>
        <v>-58245.849999999919</v>
      </c>
      <c r="Q90" s="14"/>
      <c r="R90" s="36">
        <f>IF(P$12=0,0,P90/P$12)</f>
        <v>-9.757163336081992E-2</v>
      </c>
      <c r="S90" s="14"/>
      <c r="T90" s="30">
        <f>+T86-T88</f>
        <v>-1849.890000000014</v>
      </c>
      <c r="U90" s="14"/>
      <c r="V90" s="36">
        <f>IF(T$12=0,0,T90/T$12)</f>
        <v>-2.7205996687642274E-3</v>
      </c>
      <c r="W90" s="15"/>
      <c r="X90" s="30">
        <f>P90-T90</f>
        <v>-56395.959999999905</v>
      </c>
      <c r="Y90" s="15"/>
      <c r="Z90" s="36">
        <f>IF(T90=0,0,X90/T90)</f>
        <v>30.486115390644567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1">
        <f>SUM(D90:D92)</f>
        <v>-35700.97</v>
      </c>
      <c r="E93" s="14"/>
      <c r="F93" s="32">
        <f>IF(D$12=0,0,D93/D$12)</f>
        <v>0</v>
      </c>
      <c r="G93" s="14"/>
      <c r="H93" s="31">
        <f>SUM(H90:H92)</f>
        <v>2967.4400000000096</v>
      </c>
      <c r="I93" s="14"/>
      <c r="J93" s="32">
        <f>IF(H$12=0,0,H93/H$12)</f>
        <v>3.5368047281986704E-2</v>
      </c>
      <c r="K93" s="15"/>
      <c r="L93" s="31">
        <f>+D93-H93</f>
        <v>-38668.410000000011</v>
      </c>
      <c r="M93" s="15"/>
      <c r="N93" s="32">
        <f>IF(H93=0,0,L93/H93)</f>
        <v>-13.030898687083777</v>
      </c>
      <c r="O93" s="29"/>
      <c r="P93" s="31">
        <f>SUM(P90:P92)</f>
        <v>-58245.849999999919</v>
      </c>
      <c r="Q93" s="14"/>
      <c r="R93" s="32">
        <f>IF(P$12=0,0,P93/P$12)</f>
        <v>-9.757163336081992E-2</v>
      </c>
      <c r="S93" s="14"/>
      <c r="T93" s="31">
        <f>SUM(T90:T92)</f>
        <v>-1849.890000000014</v>
      </c>
      <c r="U93" s="14"/>
      <c r="V93" s="32">
        <f>IF(T$12=0,0,T93/T$12)</f>
        <v>-2.7205996687642274E-3</v>
      </c>
      <c r="W93" s="15"/>
      <c r="X93" s="31">
        <f>+P93-T93</f>
        <v>-56395.959999999905</v>
      </c>
      <c r="Y93" s="15"/>
      <c r="Z93" s="32">
        <f>IF(T93=0,0,X93/T93)</f>
        <v>30.486115390644567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4">
        <v>43965.471156215281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9" t="s">
        <v>313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1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","326", " - ", "2nd Street Store")</f>
        <v>Department 326 - 2nd Street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37754.61</v>
      </c>
      <c r="I12" s="4"/>
      <c r="J12" s="12"/>
      <c r="K12" s="4"/>
      <c r="L12" s="4">
        <f t="shared" ref="L12:L36" si="0">+D12-H12</f>
        <v>-37754.61</v>
      </c>
      <c r="M12" s="4"/>
      <c r="N12" s="12">
        <f t="shared" ref="N12:N36" si="1">IF(H12=0,0,L12/H12)</f>
        <v>-1</v>
      </c>
      <c r="O12" s="10"/>
      <c r="P12" s="4">
        <f>SUM(OSRRefP13x_0)</f>
        <v>429840.87</v>
      </c>
      <c r="Q12" s="4"/>
      <c r="R12" s="12"/>
      <c r="S12" s="4"/>
      <c r="T12" s="4">
        <f>SUM(OSRRefT13x_0)</f>
        <v>404405.46000000008</v>
      </c>
      <c r="U12" s="4"/>
      <c r="V12" s="12"/>
      <c r="W12" s="4"/>
      <c r="X12" s="4">
        <f t="shared" ref="X12:X36" si="2">+P12-T12</f>
        <v>25435.409999999916</v>
      </c>
      <c r="Y12" s="4"/>
      <c r="Z12" s="12">
        <f t="shared" ref="Z12:Z36" si="3">IF(T12=0,0,X12/T12)</f>
        <v>6.2895812534281587E-2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36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>
        <f>--17.06</f>
        <v>17.059999999999999</v>
      </c>
      <c r="I15" s="2"/>
      <c r="J15" s="19"/>
      <c r="K15" s="2"/>
      <c r="L15" s="2">
        <f t="shared" si="0"/>
        <v>-17.059999999999999</v>
      </c>
      <c r="M15" s="2"/>
      <c r="N15" s="19">
        <f t="shared" si="1"/>
        <v>-1</v>
      </c>
      <c r="O15" s="11"/>
      <c r="P15" s="2">
        <f>--229.51</f>
        <v>229.51</v>
      </c>
      <c r="Q15" s="2"/>
      <c r="R15" s="19"/>
      <c r="S15" s="2"/>
      <c r="T15" s="2">
        <f>--450.94</f>
        <v>450.94</v>
      </c>
      <c r="U15" s="2"/>
      <c r="V15" s="19"/>
      <c r="W15" s="2"/>
      <c r="X15" s="2">
        <f t="shared" si="2"/>
        <v>-221.43</v>
      </c>
      <c r="Y15" s="2"/>
      <c r="Z15" s="19">
        <f t="shared" si="3"/>
        <v>-0.49104093670998361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 t="shared" si="4"/>
        <v>0</v>
      </c>
      <c r="E18" s="2"/>
      <c r="F18" s="19"/>
      <c r="G18" s="2"/>
      <c r="H18" s="2">
        <f>--32289.31</f>
        <v>32289.31</v>
      </c>
      <c r="I18" s="2"/>
      <c r="J18" s="19"/>
      <c r="K18" s="2"/>
      <c r="L18" s="2">
        <f t="shared" si="0"/>
        <v>-32289.31</v>
      </c>
      <c r="M18" s="2"/>
      <c r="N18" s="19">
        <f t="shared" si="1"/>
        <v>-1</v>
      </c>
      <c r="O18" s="11"/>
      <c r="P18" s="2">
        <f>--361873.67</f>
        <v>361873.67</v>
      </c>
      <c r="Q18" s="2"/>
      <c r="R18" s="19"/>
      <c r="S18" s="2"/>
      <c r="T18" s="2">
        <f>--340928.87</f>
        <v>340928.87</v>
      </c>
      <c r="U18" s="2"/>
      <c r="V18" s="19"/>
      <c r="W18" s="2"/>
      <c r="X18" s="2">
        <f t="shared" si="2"/>
        <v>20944.799999999988</v>
      </c>
      <c r="Y18" s="2"/>
      <c r="Z18" s="19">
        <f t="shared" si="3"/>
        <v>6.1434515651314567E-2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 t="shared" si="4"/>
        <v>0</v>
      </c>
      <c r="E19" s="2"/>
      <c r="F19" s="19"/>
      <c r="G19" s="2"/>
      <c r="H19" s="2">
        <f>--4909.75</f>
        <v>4909.75</v>
      </c>
      <c r="I19" s="2"/>
      <c r="J19" s="19"/>
      <c r="K19" s="2"/>
      <c r="L19" s="2">
        <f t="shared" si="0"/>
        <v>-4909.75</v>
      </c>
      <c r="M19" s="2"/>
      <c r="N19" s="19">
        <f t="shared" si="1"/>
        <v>-1</v>
      </c>
      <c r="O19" s="11"/>
      <c r="P19" s="2">
        <f>--48550.34</f>
        <v>48550.34</v>
      </c>
      <c r="Q19" s="2"/>
      <c r="R19" s="19"/>
      <c r="S19" s="2"/>
      <c r="T19" s="2">
        <f>--49275.81</f>
        <v>49275.81</v>
      </c>
      <c r="U19" s="2"/>
      <c r="V19" s="19"/>
      <c r="W19" s="2"/>
      <c r="X19" s="2">
        <f t="shared" si="2"/>
        <v>-725.47000000000116</v>
      </c>
      <c r="Y19" s="2"/>
      <c r="Z19" s="19">
        <f t="shared" si="3"/>
        <v>-1.4722639769899291E-2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 t="shared" si="4"/>
        <v>0</v>
      </c>
      <c r="E20" s="2"/>
      <c r="F20" s="19"/>
      <c r="G20" s="2"/>
      <c r="H20" s="2">
        <f>--1269.22</f>
        <v>1269.22</v>
      </c>
      <c r="I20" s="2"/>
      <c r="J20" s="19"/>
      <c r="K20" s="2"/>
      <c r="L20" s="2">
        <f t="shared" si="0"/>
        <v>-1269.22</v>
      </c>
      <c r="M20" s="2"/>
      <c r="N20" s="19">
        <f t="shared" si="1"/>
        <v>-1</v>
      </c>
      <c r="O20" s="11"/>
      <c r="P20" s="2">
        <f>--30701.57</f>
        <v>30701.57</v>
      </c>
      <c r="Q20" s="2"/>
      <c r="R20" s="19"/>
      <c r="S20" s="2"/>
      <c r="T20" s="2">
        <f>--25753.74</f>
        <v>25753.74</v>
      </c>
      <c r="U20" s="2"/>
      <c r="V20" s="19"/>
      <c r="W20" s="2"/>
      <c r="X20" s="2">
        <f t="shared" si="2"/>
        <v>4947.8299999999981</v>
      </c>
      <c r="Y20" s="2"/>
      <c r="Z20" s="19">
        <f t="shared" si="3"/>
        <v>0.19212083371191904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--1544.02</f>
        <v>1544.02</v>
      </c>
      <c r="Q21" s="2"/>
      <c r="R21" s="19"/>
      <c r="S21" s="2"/>
      <c r="T21" s="2">
        <f>--349.77</f>
        <v>349.77</v>
      </c>
      <c r="U21" s="2"/>
      <c r="V21" s="19"/>
      <c r="W21" s="2"/>
      <c r="X21" s="2">
        <f t="shared" si="2"/>
        <v>1194.25</v>
      </c>
      <c r="Y21" s="2"/>
      <c r="Z21" s="19">
        <f t="shared" si="3"/>
        <v>3.4143865969065388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 t="shared" si="4"/>
        <v>0</v>
      </c>
      <c r="E22" s="2"/>
      <c r="F22" s="19"/>
      <c r="G22" s="2"/>
      <c r="H22" s="2">
        <f>--481.6</f>
        <v>481.6</v>
      </c>
      <c r="I22" s="2"/>
      <c r="J22" s="19"/>
      <c r="K22" s="2"/>
      <c r="L22" s="2">
        <f t="shared" si="0"/>
        <v>-481.6</v>
      </c>
      <c r="M22" s="2"/>
      <c r="N22" s="19">
        <f t="shared" si="1"/>
        <v>-1</v>
      </c>
      <c r="O22" s="11"/>
      <c r="P22" s="2">
        <f>--4101.55</f>
        <v>4101.55</v>
      </c>
      <c r="Q22" s="2"/>
      <c r="R22" s="19"/>
      <c r="S22" s="2"/>
      <c r="T22" s="2">
        <f>--5311.36</f>
        <v>5311.36</v>
      </c>
      <c r="U22" s="2"/>
      <c r="V22" s="19"/>
      <c r="W22" s="2"/>
      <c r="X22" s="2">
        <f t="shared" si="2"/>
        <v>-1209.8099999999995</v>
      </c>
      <c r="Y22" s="2"/>
      <c r="Z22" s="19">
        <f t="shared" si="3"/>
        <v>-0.22777781961682123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 t="shared" si="4"/>
        <v>0</v>
      </c>
      <c r="E23" s="2"/>
      <c r="F23" s="19"/>
      <c r="G23" s="2"/>
      <c r="H23" s="2">
        <f t="shared" ref="H23:H24" si="7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--467.6</f>
        <v>467.6</v>
      </c>
      <c r="Q23" s="2"/>
      <c r="R23" s="19"/>
      <c r="S23" s="2"/>
      <c r="T23" s="2">
        <f>--993.69</f>
        <v>993.69</v>
      </c>
      <c r="U23" s="2"/>
      <c r="V23" s="19"/>
      <c r="W23" s="2"/>
      <c r="X23" s="2">
        <f t="shared" si="2"/>
        <v>-526.09</v>
      </c>
      <c r="Y23" s="2"/>
      <c r="Z23" s="19">
        <f t="shared" si="3"/>
        <v>-0.52943070776600354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si="4"/>
        <v>0</v>
      </c>
      <c r="E24" s="2"/>
      <c r="F24" s="19"/>
      <c r="G24" s="2"/>
      <c r="H24" s="2">
        <f t="shared" si="7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--5</f>
        <v>5</v>
      </c>
      <c r="U24" s="2"/>
      <c r="V24" s="19"/>
      <c r="W24" s="2"/>
      <c r="X24" s="2">
        <f t="shared" si="2"/>
        <v>-44.95</v>
      </c>
      <c r="Y24" s="2"/>
      <c r="Z24" s="19">
        <f t="shared" si="3"/>
        <v>-8.99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4"/>
        <v>0</v>
      </c>
      <c r="E25" s="2"/>
      <c r="F25" s="19"/>
      <c r="G25" s="2"/>
      <c r="H25" s="2">
        <f>--0.99</f>
        <v>0.99</v>
      </c>
      <c r="I25" s="2"/>
      <c r="J25" s="19"/>
      <c r="K25" s="2"/>
      <c r="L25" s="2">
        <f t="shared" si="0"/>
        <v>-0.99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--36.63</f>
        <v>36.630000000000003</v>
      </c>
      <c r="U25" s="2"/>
      <c r="V25" s="19"/>
      <c r="W25" s="2"/>
      <c r="X25" s="2">
        <f t="shared" si="2"/>
        <v>-6.9300000000000033</v>
      </c>
      <c r="Y25" s="2"/>
      <c r="Z25" s="19">
        <f t="shared" si="3"/>
        <v>-0.18918918918918926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 t="shared" si="4"/>
        <v>0</v>
      </c>
      <c r="E26" s="2"/>
      <c r="F26" s="19"/>
      <c r="G26" s="2"/>
      <c r="H26" s="2">
        <f>--15</f>
        <v>15</v>
      </c>
      <c r="I26" s="2"/>
      <c r="J26" s="19"/>
      <c r="K26" s="2"/>
      <c r="L26" s="2">
        <f t="shared" si="0"/>
        <v>-15</v>
      </c>
      <c r="M26" s="2"/>
      <c r="N26" s="19">
        <f t="shared" si="1"/>
        <v>-1</v>
      </c>
      <c r="O26" s="11"/>
      <c r="P26" s="2">
        <f>--123</f>
        <v>123</v>
      </c>
      <c r="Q26" s="2"/>
      <c r="R26" s="19"/>
      <c r="S26" s="2"/>
      <c r="T26" s="2">
        <f>--106.5</f>
        <v>106.5</v>
      </c>
      <c r="U26" s="2"/>
      <c r="V26" s="19"/>
      <c r="W26" s="2"/>
      <c r="X26" s="2">
        <f t="shared" si="2"/>
        <v>16.5</v>
      </c>
      <c r="Y26" s="2"/>
      <c r="Z26" s="19">
        <f t="shared" si="3"/>
        <v>0.15492957746478872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 t="shared" si="4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--101.5</f>
        <v>101.5</v>
      </c>
      <c r="U27" s="2"/>
      <c r="V27" s="19"/>
      <c r="W27" s="2"/>
      <c r="X27" s="2">
        <f t="shared" si="2"/>
        <v>-101.5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 t="shared" si="4"/>
        <v>0</v>
      </c>
      <c r="E28" s="2"/>
      <c r="F28" s="19"/>
      <c r="G28" s="2"/>
      <c r="H28" s="2">
        <f>--7</f>
        <v>7</v>
      </c>
      <c r="I28" s="2"/>
      <c r="J28" s="19"/>
      <c r="K28" s="2"/>
      <c r="L28" s="2">
        <f t="shared" si="0"/>
        <v>-7</v>
      </c>
      <c r="M28" s="2"/>
      <c r="N28" s="19">
        <f t="shared" si="1"/>
        <v>-1</v>
      </c>
      <c r="O28" s="11"/>
      <c r="P28" s="2">
        <f>--591.86</f>
        <v>591.86</v>
      </c>
      <c r="Q28" s="2"/>
      <c r="R28" s="19"/>
      <c r="S28" s="2"/>
      <c r="T28" s="2">
        <f>--538.53</f>
        <v>538.53</v>
      </c>
      <c r="U28" s="2"/>
      <c r="V28" s="19"/>
      <c r="W28" s="2"/>
      <c r="X28" s="2">
        <f t="shared" si="2"/>
        <v>53.330000000000041</v>
      </c>
      <c r="Y28" s="2"/>
      <c r="Z28" s="19">
        <f t="shared" si="3"/>
        <v>9.9028837762056052E-2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4"/>
        <v>0</v>
      </c>
      <c r="E29" s="2"/>
      <c r="F29" s="19"/>
      <c r="G29" s="2"/>
      <c r="H29" s="2">
        <f t="shared" ref="H29:H30" si="8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-134.8</f>
        <v>-134.80000000000001</v>
      </c>
      <c r="Q29" s="2"/>
      <c r="R29" s="19"/>
      <c r="S29" s="2"/>
      <c r="T29" s="2">
        <f>-5.07</f>
        <v>-5.07</v>
      </c>
      <c r="U29" s="2"/>
      <c r="V29" s="19"/>
      <c r="W29" s="2"/>
      <c r="X29" s="2">
        <f t="shared" si="2"/>
        <v>-129.73000000000002</v>
      </c>
      <c r="Y29" s="2"/>
      <c r="Z29" s="19">
        <f t="shared" si="3"/>
        <v>25.587771203155821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4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-4.99</f>
        <v>-4.99</v>
      </c>
      <c r="U30" s="2"/>
      <c r="V30" s="19"/>
      <c r="W30" s="2"/>
      <c r="X30" s="2">
        <f t="shared" si="2"/>
        <v>4.99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 t="shared" si="4"/>
        <v>0</v>
      </c>
      <c r="E31" s="2"/>
      <c r="F31" s="19"/>
      <c r="G31" s="2"/>
      <c r="H31" s="2">
        <f>-1216.43</f>
        <v>-1216.43</v>
      </c>
      <c r="I31" s="2"/>
      <c r="J31" s="19"/>
      <c r="K31" s="2"/>
      <c r="L31" s="2">
        <f t="shared" si="0"/>
        <v>1216.43</v>
      </c>
      <c r="M31" s="2"/>
      <c r="N31" s="19">
        <f t="shared" si="1"/>
        <v>-1</v>
      </c>
      <c r="O31" s="11"/>
      <c r="P31" s="2">
        <f>-16122.19</f>
        <v>-16122.19</v>
      </c>
      <c r="Q31" s="2"/>
      <c r="R31" s="19"/>
      <c r="S31" s="2"/>
      <c r="T31" s="2">
        <f>-18085.12</f>
        <v>-18085.12</v>
      </c>
      <c r="U31" s="2"/>
      <c r="V31" s="19"/>
      <c r="W31" s="2"/>
      <c r="X31" s="2">
        <f t="shared" si="2"/>
        <v>1962.9299999999985</v>
      </c>
      <c r="Y31" s="2"/>
      <c r="Z31" s="19">
        <f t="shared" si="3"/>
        <v>-0.10853840062991003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 t="shared" si="4"/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-1260.11</f>
        <v>-1260.1099999999999</v>
      </c>
      <c r="Q32" s="2"/>
      <c r="R32" s="19"/>
      <c r="S32" s="2"/>
      <c r="T32" s="2">
        <f>-1012.04</f>
        <v>-1012.04</v>
      </c>
      <c r="U32" s="2"/>
      <c r="V32" s="19"/>
      <c r="W32" s="2"/>
      <c r="X32" s="2">
        <f t="shared" si="2"/>
        <v>-248.06999999999994</v>
      </c>
      <c r="Y32" s="2"/>
      <c r="Z32" s="19">
        <f t="shared" si="3"/>
        <v>0.24511877000909049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 t="shared" si="4"/>
        <v>0</v>
      </c>
      <c r="E33" s="2"/>
      <c r="F33" s="19"/>
      <c r="G33" s="2"/>
      <c r="H33" s="2">
        <f>-18.89</f>
        <v>-18.89</v>
      </c>
      <c r="I33" s="2"/>
      <c r="J33" s="19"/>
      <c r="K33" s="2"/>
      <c r="L33" s="2">
        <f t="shared" si="0"/>
        <v>18.89</v>
      </c>
      <c r="M33" s="2"/>
      <c r="N33" s="19">
        <f t="shared" si="1"/>
        <v>-1</v>
      </c>
      <c r="O33" s="11"/>
      <c r="P33" s="2">
        <f>-850.31</f>
        <v>-850.31</v>
      </c>
      <c r="Q33" s="2"/>
      <c r="R33" s="19"/>
      <c r="S33" s="2"/>
      <c r="T33" s="2">
        <f>-467.86</f>
        <v>-467.86</v>
      </c>
      <c r="U33" s="2"/>
      <c r="V33" s="19"/>
      <c r="W33" s="2"/>
      <c r="X33" s="2">
        <f t="shared" si="2"/>
        <v>-382.44999999999993</v>
      </c>
      <c r="Y33" s="2"/>
      <c r="Z33" s="19">
        <f t="shared" si="3"/>
        <v>0.81744538964647528</v>
      </c>
    </row>
    <row r="34" spans="1:26" s="24" customFormat="1" hidden="1" outlineLevel="1" x14ac:dyDescent="0.25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si="4"/>
        <v>0</v>
      </c>
      <c r="E34" s="2"/>
      <c r="F34" s="19"/>
      <c r="G34" s="2"/>
      <c r="H34" s="2">
        <f t="shared" ref="H34:H36" si="9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-130.8</f>
        <v>-130.80000000000001</v>
      </c>
      <c r="Q34" s="2"/>
      <c r="R34" s="19"/>
      <c r="S34" s="2"/>
      <c r="T34" s="2">
        <f>-229.85</f>
        <v>-229.85</v>
      </c>
      <c r="U34" s="2"/>
      <c r="V34" s="19"/>
      <c r="W34" s="2"/>
      <c r="X34" s="2">
        <f t="shared" si="2"/>
        <v>99.049999999999983</v>
      </c>
      <c r="Y34" s="2"/>
      <c r="Z34" s="19">
        <f t="shared" si="3"/>
        <v>-0.43093321731564055</v>
      </c>
    </row>
    <row r="35" spans="1:26" s="24" customFormat="1" hidden="1" outlineLevel="1" x14ac:dyDescent="0.25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4"/>
        <v>0</v>
      </c>
      <c r="E35" s="2"/>
      <c r="F35" s="19"/>
      <c r="G35" s="2"/>
      <c r="H35" s="2">
        <f t="shared" si="9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-9.99</f>
        <v>-9.99</v>
      </c>
      <c r="Q35" s="2"/>
      <c r="R35" s="19"/>
      <c r="S35" s="2"/>
      <c r="T35" s="2">
        <f>-39.9</f>
        <v>-39.9</v>
      </c>
      <c r="U35" s="2"/>
      <c r="V35" s="19"/>
      <c r="W35" s="2"/>
      <c r="X35" s="2">
        <f t="shared" si="2"/>
        <v>29.909999999999997</v>
      </c>
      <c r="Y35" s="2"/>
      <c r="Z35" s="19">
        <f t="shared" si="3"/>
        <v>-0.74962406015037586</v>
      </c>
    </row>
    <row r="36" spans="1:26" s="24" customFormat="1" hidden="1" outlineLevel="1" x14ac:dyDescent="0.25">
      <c r="A36" s="44"/>
      <c r="B36" s="11" t="str">
        <f>CONCATENATE("          ", "4295", " - ", "SALES RETURN TAXABLE-CUSTOMER")</f>
        <v xml:space="preserve">          4295 - SALES RETURN TAXABLE-CUSTOMER</v>
      </c>
      <c r="C36" s="11"/>
      <c r="D36" s="2">
        <f t="shared" si="4"/>
        <v>0</v>
      </c>
      <c r="E36" s="2"/>
      <c r="F36" s="19"/>
      <c r="G36" s="2"/>
      <c r="H36" s="2">
        <f t="shared" si="9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--0.99</f>
        <v>0.99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0.99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-0.33999999999991815</v>
      </c>
      <c r="E38" s="4"/>
      <c r="F38" s="12">
        <f t="shared" ref="F38:F56" si="10">IF(D$12=0,0,D38/D$12)</f>
        <v>0</v>
      </c>
      <c r="G38" s="4"/>
      <c r="H38" s="4">
        <f>SUM(OSRRefH16x_0)</f>
        <v>15389.01</v>
      </c>
      <c r="I38" s="4"/>
      <c r="J38" s="12">
        <f t="shared" ref="J38:J56" si="11">IF(H$12=0,0,H38/H$12)</f>
        <v>0.4076061175045908</v>
      </c>
      <c r="K38" s="4"/>
      <c r="L38" s="4">
        <f t="shared" ref="L38:L56" si="12">+D38-H38</f>
        <v>-15389.35</v>
      </c>
      <c r="M38" s="4"/>
      <c r="N38" s="12">
        <f t="shared" ref="N38:N56" si="13">IF(H38=0,0,L38/H38)</f>
        <v>-1.0000220936889377</v>
      </c>
      <c r="O38" s="10"/>
      <c r="P38" s="4">
        <f>SUM(OSRRefP16x_0)</f>
        <v>183317.59000000003</v>
      </c>
      <c r="Q38" s="4"/>
      <c r="R38" s="12">
        <f t="shared" ref="R38:R56" si="14">IF(P$12=0,0,P38/P$12)</f>
        <v>0.42647780328566715</v>
      </c>
      <c r="S38" s="4"/>
      <c r="T38" s="4">
        <f>SUM(OSRRefT16x_0)</f>
        <v>171413.13000000003</v>
      </c>
      <c r="U38" s="4"/>
      <c r="V38" s="12">
        <f t="shared" ref="V38:V56" si="15">IF(T$12=0,0,T38/T$12)</f>
        <v>0.42386452942549291</v>
      </c>
      <c r="W38" s="4"/>
      <c r="X38" s="4">
        <f t="shared" ref="X38:X56" si="16">+P38-T38</f>
        <v>11904.459999999992</v>
      </c>
      <c r="Y38" s="4"/>
      <c r="Z38" s="12">
        <f t="shared" ref="Z38:Z56" si="17">IF(T38=0,0,X38/T38)</f>
        <v>6.9448938946508873E-2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/>
      <c r="E39" s="2"/>
      <c r="F39" s="19">
        <f t="shared" si="10"/>
        <v>0</v>
      </c>
      <c r="G39" s="2"/>
      <c r="H39" s="2"/>
      <c r="I39" s="2"/>
      <c r="J39" s="19">
        <f t="shared" si="11"/>
        <v>0</v>
      </c>
      <c r="K39" s="2"/>
      <c r="L39" s="2">
        <f t="shared" si="12"/>
        <v>0</v>
      </c>
      <c r="M39" s="2"/>
      <c r="N39" s="19">
        <f t="shared" si="13"/>
        <v>0</v>
      </c>
      <c r="O39" s="11"/>
      <c r="P39" s="2">
        <v>6.06</v>
      </c>
      <c r="Q39" s="2"/>
      <c r="R39" s="19">
        <f t="shared" si="14"/>
        <v>1.4098240588429853E-5</v>
      </c>
      <c r="S39" s="2"/>
      <c r="T39" s="2">
        <v>19.149999999999999</v>
      </c>
      <c r="U39" s="2"/>
      <c r="V39" s="19">
        <f t="shared" si="15"/>
        <v>4.7353465504644758E-5</v>
      </c>
      <c r="W39" s="2"/>
      <c r="X39" s="2">
        <f t="shared" si="16"/>
        <v>-13.09</v>
      </c>
      <c r="Y39" s="2"/>
      <c r="Z39" s="19">
        <f t="shared" si="17"/>
        <v>-0.68355091383812017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/>
      <c r="E40" s="2"/>
      <c r="F40" s="19">
        <f t="shared" si="10"/>
        <v>0</v>
      </c>
      <c r="G40" s="2"/>
      <c r="H40" s="2">
        <v>13.96</v>
      </c>
      <c r="I40" s="2"/>
      <c r="J40" s="19">
        <f t="shared" si="11"/>
        <v>3.697561701736556E-4</v>
      </c>
      <c r="K40" s="2"/>
      <c r="L40" s="2">
        <f t="shared" si="12"/>
        <v>-13.96</v>
      </c>
      <c r="M40" s="2"/>
      <c r="N40" s="19">
        <f t="shared" si="13"/>
        <v>-1</v>
      </c>
      <c r="O40" s="11"/>
      <c r="P40" s="2">
        <v>1198.07</v>
      </c>
      <c r="Q40" s="2"/>
      <c r="R40" s="19">
        <f t="shared" si="14"/>
        <v>2.7872407758713124E-3</v>
      </c>
      <c r="S40" s="2"/>
      <c r="T40" s="2">
        <v>584.94000000000005</v>
      </c>
      <c r="U40" s="2"/>
      <c r="V40" s="19">
        <f t="shared" si="15"/>
        <v>1.446419640328298E-3</v>
      </c>
      <c r="W40" s="2"/>
      <c r="X40" s="2">
        <f t="shared" si="16"/>
        <v>613.12999999999988</v>
      </c>
      <c r="Y40" s="2"/>
      <c r="Z40" s="19">
        <f t="shared" si="17"/>
        <v>1.0481929770574756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/>
      <c r="E41" s="2"/>
      <c r="F41" s="19">
        <f t="shared" si="10"/>
        <v>0</v>
      </c>
      <c r="G41" s="2"/>
      <c r="H41" s="2"/>
      <c r="I41" s="2"/>
      <c r="J41" s="19">
        <f t="shared" si="11"/>
        <v>0</v>
      </c>
      <c r="K41" s="2"/>
      <c r="L41" s="2">
        <f t="shared" si="12"/>
        <v>0</v>
      </c>
      <c r="M41" s="2"/>
      <c r="N41" s="19">
        <f t="shared" si="13"/>
        <v>0</v>
      </c>
      <c r="O41" s="11"/>
      <c r="P41" s="2">
        <v>325.45</v>
      </c>
      <c r="Q41" s="2"/>
      <c r="R41" s="19">
        <f t="shared" si="14"/>
        <v>7.5714065998424022E-4</v>
      </c>
      <c r="S41" s="2"/>
      <c r="T41" s="2">
        <v>569.59</v>
      </c>
      <c r="U41" s="2"/>
      <c r="V41" s="19">
        <f t="shared" si="15"/>
        <v>1.4084626849499013E-3</v>
      </c>
      <c r="W41" s="2"/>
      <c r="X41" s="2">
        <f t="shared" si="16"/>
        <v>-244.14000000000004</v>
      </c>
      <c r="Y41" s="2"/>
      <c r="Z41" s="19">
        <f t="shared" si="17"/>
        <v>-0.42862409803542906</v>
      </c>
    </row>
    <row r="42" spans="1:26" s="24" customFormat="1" hidden="1" outlineLevel="1" x14ac:dyDescent="0.25">
      <c r="A42" s="44"/>
      <c r="B42" s="11" t="str">
        <f>CONCATENATE("          ", "5034", " - ", "PURCHASES @ COST-SODA")</f>
        <v xml:space="preserve">          5034 - PURCHASES @ COST-SODA</v>
      </c>
      <c r="C42" s="11"/>
      <c r="D42" s="2"/>
      <c r="E42" s="2"/>
      <c r="F42" s="19">
        <f t="shared" si="10"/>
        <v>0</v>
      </c>
      <c r="G42" s="2"/>
      <c r="H42" s="2"/>
      <c r="I42" s="2"/>
      <c r="J42" s="19">
        <f t="shared" si="11"/>
        <v>0</v>
      </c>
      <c r="K42" s="2"/>
      <c r="L42" s="2">
        <f t="shared" si="12"/>
        <v>0</v>
      </c>
      <c r="M42" s="2"/>
      <c r="N42" s="19">
        <f t="shared" si="13"/>
        <v>0</v>
      </c>
      <c r="O42" s="11"/>
      <c r="P42" s="2"/>
      <c r="Q42" s="2"/>
      <c r="R42" s="19">
        <f t="shared" si="14"/>
        <v>0</v>
      </c>
      <c r="S42" s="2"/>
      <c r="T42" s="2">
        <v>18.54</v>
      </c>
      <c r="U42" s="2"/>
      <c r="V42" s="19">
        <f t="shared" si="15"/>
        <v>4.5845078352799677E-5</v>
      </c>
      <c r="W42" s="2"/>
      <c r="X42" s="2">
        <f t="shared" si="16"/>
        <v>-18.54</v>
      </c>
      <c r="Y42" s="2"/>
      <c r="Z42" s="19">
        <f t="shared" si="17"/>
        <v>-1</v>
      </c>
    </row>
    <row r="43" spans="1:26" s="24" customFormat="1" hidden="1" outlineLevel="1" x14ac:dyDescent="0.25">
      <c r="A43" s="44"/>
      <c r="B43" s="11" t="str">
        <f>CONCATENATE("          ", "5037", " - ", "PURCHASES @ COST-WATER")</f>
        <v xml:space="preserve">          5037 - PURCHASES @ COST-WATER</v>
      </c>
      <c r="C43" s="11"/>
      <c r="D43" s="2"/>
      <c r="E43" s="2"/>
      <c r="F43" s="19">
        <f t="shared" si="10"/>
        <v>0</v>
      </c>
      <c r="G43" s="2"/>
      <c r="H43" s="2">
        <v>17.04</v>
      </c>
      <c r="I43" s="2"/>
      <c r="J43" s="19">
        <f t="shared" si="11"/>
        <v>4.5133561173059394E-4</v>
      </c>
      <c r="K43" s="2"/>
      <c r="L43" s="2">
        <f t="shared" si="12"/>
        <v>-17.04</v>
      </c>
      <c r="M43" s="2"/>
      <c r="N43" s="19">
        <f t="shared" si="13"/>
        <v>-1</v>
      </c>
      <c r="O43" s="11"/>
      <c r="P43" s="2">
        <v>29.76</v>
      </c>
      <c r="Q43" s="2"/>
      <c r="R43" s="19">
        <f t="shared" si="14"/>
        <v>6.9234924077833738E-5</v>
      </c>
      <c r="S43" s="2"/>
      <c r="T43" s="2">
        <v>67.790000000000006</v>
      </c>
      <c r="U43" s="2"/>
      <c r="V43" s="19">
        <f t="shared" si="15"/>
        <v>1.6762879512061978E-4</v>
      </c>
      <c r="W43" s="2"/>
      <c r="X43" s="2">
        <f t="shared" si="16"/>
        <v>-38.03</v>
      </c>
      <c r="Y43" s="2"/>
      <c r="Z43" s="19">
        <f t="shared" si="17"/>
        <v>-0.56099719722672958</v>
      </c>
    </row>
    <row r="44" spans="1:26" s="24" customFormat="1" hidden="1" outlineLevel="1" x14ac:dyDescent="0.25">
      <c r="A44" s="44"/>
      <c r="B44" s="11" t="str">
        <f>CONCATENATE("          ", "5040", " - ", "PURCHASES @ COST-LOGO CLOTHING")</f>
        <v xml:space="preserve">          5040 - PURCHASES @ COST-LOGO CLOTHING</v>
      </c>
      <c r="C44" s="11"/>
      <c r="D44" s="2">
        <v>264</v>
      </c>
      <c r="E44" s="2"/>
      <c r="F44" s="19">
        <f t="shared" si="10"/>
        <v>0</v>
      </c>
      <c r="G44" s="2"/>
      <c r="H44" s="2">
        <v>10092.620000000001</v>
      </c>
      <c r="I44" s="2"/>
      <c r="J44" s="19">
        <f t="shared" si="11"/>
        <v>0.26732152709298285</v>
      </c>
      <c r="K44" s="2"/>
      <c r="L44" s="2">
        <f t="shared" si="12"/>
        <v>-9828.6200000000008</v>
      </c>
      <c r="M44" s="2"/>
      <c r="N44" s="19">
        <f t="shared" si="13"/>
        <v>-0.97384227286869018</v>
      </c>
      <c r="O44" s="11"/>
      <c r="P44" s="2">
        <v>195988.82</v>
      </c>
      <c r="Q44" s="2"/>
      <c r="R44" s="19">
        <f t="shared" si="14"/>
        <v>0.45595668927433541</v>
      </c>
      <c r="S44" s="2"/>
      <c r="T44" s="2">
        <v>169007.45</v>
      </c>
      <c r="U44" s="2"/>
      <c r="V44" s="19">
        <f t="shared" si="15"/>
        <v>0.41791584614114752</v>
      </c>
      <c r="W44" s="2"/>
      <c r="X44" s="2">
        <f t="shared" si="16"/>
        <v>26981.369999999995</v>
      </c>
      <c r="Y44" s="2"/>
      <c r="Z44" s="19">
        <f t="shared" si="17"/>
        <v>0.15964603927223323</v>
      </c>
    </row>
    <row r="45" spans="1:26" s="24" customFormat="1" hidden="1" outlineLevel="1" x14ac:dyDescent="0.25">
      <c r="A45" s="44"/>
      <c r="B45" s="11" t="str">
        <f>CONCATENATE("          ", "5041", " - ", "PURCHASES @ COST-LOGO GIFTS")</f>
        <v xml:space="preserve">          5041 - PURCHASES @ COST-LOGO GIFTS</v>
      </c>
      <c r="C45" s="11"/>
      <c r="D45" s="2">
        <v>1053.6600000000001</v>
      </c>
      <c r="E45" s="2"/>
      <c r="F45" s="19">
        <f t="shared" si="10"/>
        <v>0</v>
      </c>
      <c r="G45" s="2"/>
      <c r="H45" s="2">
        <v>645.12</v>
      </c>
      <c r="I45" s="2"/>
      <c r="J45" s="19">
        <f t="shared" si="11"/>
        <v>1.7087184849744176E-2</v>
      </c>
      <c r="K45" s="2"/>
      <c r="L45" s="2">
        <f t="shared" si="12"/>
        <v>408.54000000000008</v>
      </c>
      <c r="M45" s="2"/>
      <c r="N45" s="19">
        <f t="shared" si="13"/>
        <v>0.63327752976190488</v>
      </c>
      <c r="O45" s="11"/>
      <c r="P45" s="2">
        <v>26980.92</v>
      </c>
      <c r="Q45" s="2"/>
      <c r="R45" s="19">
        <f t="shared" si="14"/>
        <v>6.276955469590409E-2</v>
      </c>
      <c r="S45" s="2"/>
      <c r="T45" s="2">
        <v>24491.25</v>
      </c>
      <c r="U45" s="2"/>
      <c r="V45" s="19">
        <f t="shared" si="15"/>
        <v>6.0561125955124334E-2</v>
      </c>
      <c r="W45" s="2"/>
      <c r="X45" s="2">
        <f t="shared" si="16"/>
        <v>2489.6699999999983</v>
      </c>
      <c r="Y45" s="2"/>
      <c r="Z45" s="19">
        <f t="shared" si="17"/>
        <v>0.10165548920532837</v>
      </c>
    </row>
    <row r="46" spans="1:26" s="24" customFormat="1" hidden="1" outlineLevel="1" x14ac:dyDescent="0.25">
      <c r="A46" s="44"/>
      <c r="B46" s="11" t="str">
        <f>CONCATENATE("          ", "5042", " - ", "PURCHASES @ COST-EVERYDAY GIFT")</f>
        <v xml:space="preserve">          5042 - PURCHASES @ COST-EVERYDAY GIFT</v>
      </c>
      <c r="C46" s="11"/>
      <c r="D46" s="2"/>
      <c r="E46" s="2"/>
      <c r="F46" s="19">
        <f t="shared" si="10"/>
        <v>0</v>
      </c>
      <c r="G46" s="2"/>
      <c r="H46" s="2">
        <v>1006.55</v>
      </c>
      <c r="I46" s="2"/>
      <c r="J46" s="19">
        <f t="shared" si="11"/>
        <v>2.6660320421797494E-2</v>
      </c>
      <c r="K46" s="2"/>
      <c r="L46" s="2">
        <f t="shared" si="12"/>
        <v>-1006.55</v>
      </c>
      <c r="M46" s="2"/>
      <c r="N46" s="19">
        <f t="shared" si="13"/>
        <v>-1</v>
      </c>
      <c r="O46" s="11"/>
      <c r="P46" s="2">
        <v>20517.63</v>
      </c>
      <c r="Q46" s="2"/>
      <c r="R46" s="19">
        <f t="shared" si="14"/>
        <v>4.7733083175641261E-2</v>
      </c>
      <c r="S46" s="2"/>
      <c r="T46" s="2">
        <v>13762.09</v>
      </c>
      <c r="U46" s="2"/>
      <c r="V46" s="19">
        <f t="shared" si="15"/>
        <v>3.4030425800878152E-2</v>
      </c>
      <c r="W46" s="2"/>
      <c r="X46" s="2">
        <f t="shared" si="16"/>
        <v>6755.5400000000009</v>
      </c>
      <c r="Y46" s="2"/>
      <c r="Z46" s="19">
        <f t="shared" si="17"/>
        <v>0.49088038226751901</v>
      </c>
    </row>
    <row r="47" spans="1:26" s="24" customFormat="1" hidden="1" outlineLevel="1" x14ac:dyDescent="0.25">
      <c r="A47" s="44"/>
      <c r="B47" s="11" t="str">
        <f>CONCATENATE("          ", "5043", " - ", "PURCHASES @ COST-CARDS")</f>
        <v xml:space="preserve">          5043 - PURCHASES @ COST-CARDS</v>
      </c>
      <c r="C47" s="11"/>
      <c r="D47" s="2"/>
      <c r="E47" s="2"/>
      <c r="F47" s="19">
        <f t="shared" si="10"/>
        <v>0</v>
      </c>
      <c r="G47" s="2"/>
      <c r="H47" s="2"/>
      <c r="I47" s="2"/>
      <c r="J47" s="19">
        <f t="shared" si="11"/>
        <v>0</v>
      </c>
      <c r="K47" s="2"/>
      <c r="L47" s="2">
        <f t="shared" si="12"/>
        <v>0</v>
      </c>
      <c r="M47" s="2"/>
      <c r="N47" s="19">
        <f t="shared" si="13"/>
        <v>0</v>
      </c>
      <c r="O47" s="11"/>
      <c r="P47" s="2">
        <v>154.47</v>
      </c>
      <c r="Q47" s="2"/>
      <c r="R47" s="19">
        <f t="shared" si="14"/>
        <v>3.5936554846448173E-4</v>
      </c>
      <c r="S47" s="2"/>
      <c r="T47" s="2">
        <v>252.69</v>
      </c>
      <c r="U47" s="2"/>
      <c r="V47" s="19">
        <f t="shared" si="15"/>
        <v>6.2484319573726812E-4</v>
      </c>
      <c r="W47" s="2"/>
      <c r="X47" s="2">
        <f t="shared" si="16"/>
        <v>-98.22</v>
      </c>
      <c r="Y47" s="2"/>
      <c r="Z47" s="19">
        <f t="shared" si="17"/>
        <v>-0.38869761367683725</v>
      </c>
    </row>
    <row r="48" spans="1:26" s="24" customFormat="1" hidden="1" outlineLevel="1" x14ac:dyDescent="0.25">
      <c r="A48" s="44"/>
      <c r="B48" s="11" t="str">
        <f>CONCATENATE("          ", "5044", " - ", "PURCHASES @ COST-ACCESSORIES")</f>
        <v xml:space="preserve">          5044 - PURCHASES @ COST-ACCESSORIES</v>
      </c>
      <c r="C48" s="11"/>
      <c r="D48" s="2"/>
      <c r="E48" s="2"/>
      <c r="F48" s="19">
        <f t="shared" si="10"/>
        <v>0</v>
      </c>
      <c r="G48" s="2"/>
      <c r="H48" s="2">
        <v>361.4</v>
      </c>
      <c r="I48" s="2"/>
      <c r="J48" s="19">
        <f t="shared" si="11"/>
        <v>9.5723409671030889E-3</v>
      </c>
      <c r="K48" s="2"/>
      <c r="L48" s="2">
        <f t="shared" si="12"/>
        <v>-361.4</v>
      </c>
      <c r="M48" s="2"/>
      <c r="N48" s="19">
        <f t="shared" si="13"/>
        <v>-1</v>
      </c>
      <c r="O48" s="11"/>
      <c r="P48" s="2">
        <v>-4381.05</v>
      </c>
      <c r="Q48" s="2"/>
      <c r="R48" s="19">
        <f t="shared" si="14"/>
        <v>-1.0192260219462146E-2</v>
      </c>
      <c r="S48" s="2"/>
      <c r="T48" s="2">
        <v>2540.39</v>
      </c>
      <c r="U48" s="2"/>
      <c r="V48" s="19">
        <f t="shared" si="15"/>
        <v>6.2817895683208612E-3</v>
      </c>
      <c r="W48" s="2"/>
      <c r="X48" s="2">
        <f t="shared" si="16"/>
        <v>-6921.4400000000005</v>
      </c>
      <c r="Y48" s="2"/>
      <c r="Z48" s="19">
        <f t="shared" si="17"/>
        <v>-2.7245580403008991</v>
      </c>
    </row>
    <row r="49" spans="1:26" s="24" customFormat="1" hidden="1" outlineLevel="1" x14ac:dyDescent="0.25">
      <c r="A49" s="44"/>
      <c r="B49" s="11" t="str">
        <f>CONCATENATE("          ", "5045", " - ", "PURCHASES @ COST-SPECIAL ORDER")</f>
        <v xml:space="preserve">          5045 - PURCHASES @ COST-SPECIAL ORDER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>
        <v>-998.2</v>
      </c>
      <c r="Q49" s="2"/>
      <c r="R49" s="19">
        <f t="shared" si="14"/>
        <v>-2.3222547451106734E-3</v>
      </c>
      <c r="S49" s="2"/>
      <c r="T49" s="2">
        <v>80.92</v>
      </c>
      <c r="U49" s="2"/>
      <c r="V49" s="19">
        <f t="shared" si="15"/>
        <v>2.0009621037262945E-4</v>
      </c>
      <c r="W49" s="2"/>
      <c r="X49" s="2">
        <f t="shared" si="16"/>
        <v>-1079.1200000000001</v>
      </c>
      <c r="Y49" s="2"/>
      <c r="Z49" s="19">
        <f t="shared" si="17"/>
        <v>-13.335640138408305</v>
      </c>
    </row>
    <row r="50" spans="1:26" s="24" customFormat="1" hidden="1" outlineLevel="1" x14ac:dyDescent="0.25">
      <c r="A50" s="44"/>
      <c r="B50" s="11" t="str">
        <f>CONCATENATE("          ", "5083", " - ", "PURCHASES @ COST-COMPUTER EQUI")</f>
        <v xml:space="preserve">          5083 - PURCHASES @ COST-COMPUTER EQUI</v>
      </c>
      <c r="C50" s="11"/>
      <c r="D50" s="2"/>
      <c r="E50" s="2"/>
      <c r="F50" s="19">
        <f t="shared" si="10"/>
        <v>0</v>
      </c>
      <c r="G50" s="2"/>
      <c r="H50" s="2"/>
      <c r="I50" s="2"/>
      <c r="J50" s="19">
        <f t="shared" si="11"/>
        <v>0</v>
      </c>
      <c r="K50" s="2"/>
      <c r="L50" s="2">
        <f t="shared" si="12"/>
        <v>0</v>
      </c>
      <c r="M50" s="2"/>
      <c r="N50" s="19">
        <f t="shared" si="13"/>
        <v>0</v>
      </c>
      <c r="O50" s="11"/>
      <c r="P50" s="2">
        <v>90.35</v>
      </c>
      <c r="Q50" s="2"/>
      <c r="R50" s="19">
        <f t="shared" si="14"/>
        <v>2.1019406553871901E-4</v>
      </c>
      <c r="S50" s="2"/>
      <c r="T50" s="2">
        <v>15.8</v>
      </c>
      <c r="U50" s="2"/>
      <c r="V50" s="19">
        <f t="shared" si="15"/>
        <v>3.90696999986103E-5</v>
      </c>
      <c r="W50" s="2"/>
      <c r="X50" s="2">
        <f t="shared" si="16"/>
        <v>74.55</v>
      </c>
      <c r="Y50" s="2"/>
      <c r="Z50" s="19">
        <f t="shared" si="17"/>
        <v>4.7183544303797467</v>
      </c>
    </row>
    <row r="51" spans="1:26" s="24" customFormat="1" hidden="1" outlineLevel="1" x14ac:dyDescent="0.25">
      <c r="A51" s="44"/>
      <c r="B51" s="11" t="str">
        <f>CONCATENATE("          ", "5092", " - ", "PURCHASES @ COST-GRAD MERCH")</f>
        <v xml:space="preserve">          5092 - PURCHASES @ COST-GRAD MERCH</v>
      </c>
      <c r="C51" s="11"/>
      <c r="D51" s="2"/>
      <c r="E51" s="2"/>
      <c r="F51" s="19">
        <f t="shared" si="10"/>
        <v>0</v>
      </c>
      <c r="G51" s="2"/>
      <c r="H51" s="2"/>
      <c r="I51" s="2"/>
      <c r="J51" s="19">
        <f t="shared" si="11"/>
        <v>0</v>
      </c>
      <c r="K51" s="2"/>
      <c r="L51" s="2">
        <f t="shared" si="12"/>
        <v>0</v>
      </c>
      <c r="M51" s="2"/>
      <c r="N51" s="19">
        <f t="shared" si="13"/>
        <v>0</v>
      </c>
      <c r="O51" s="11"/>
      <c r="P51" s="2">
        <v>-60.35</v>
      </c>
      <c r="Q51" s="2"/>
      <c r="R51" s="19">
        <f t="shared" si="14"/>
        <v>-1.4040079529896728E-4</v>
      </c>
      <c r="S51" s="2"/>
      <c r="T51" s="2"/>
      <c r="U51" s="2"/>
      <c r="V51" s="19">
        <f t="shared" si="15"/>
        <v>0</v>
      </c>
      <c r="W51" s="2"/>
      <c r="X51" s="2">
        <f t="shared" si="16"/>
        <v>-60.35</v>
      </c>
      <c r="Y51" s="2"/>
      <c r="Z51" s="19">
        <f t="shared" si="17"/>
        <v>0</v>
      </c>
    </row>
    <row r="52" spans="1:26" s="24" customFormat="1" hidden="1" outlineLevel="1" x14ac:dyDescent="0.25">
      <c r="A52" s="44"/>
      <c r="B52" s="11" t="str">
        <f>CONCATENATE("          ", "5095", " - ", "PURCHASES @ COST-CUSTOMER SERV")</f>
        <v xml:space="preserve">          5095 - PURCHASES @ COST-CUSTOMER SERV</v>
      </c>
      <c r="C52" s="11"/>
      <c r="D52" s="2"/>
      <c r="E52" s="2"/>
      <c r="F52" s="19">
        <f t="shared" si="10"/>
        <v>0</v>
      </c>
      <c r="G52" s="2"/>
      <c r="H52" s="2">
        <v>4.32</v>
      </c>
      <c r="I52" s="2"/>
      <c r="J52" s="19">
        <f t="shared" si="11"/>
        <v>1.1442311283310833E-4</v>
      </c>
      <c r="K52" s="2"/>
      <c r="L52" s="2">
        <f t="shared" si="12"/>
        <v>-4.32</v>
      </c>
      <c r="M52" s="2"/>
      <c r="N52" s="19">
        <f t="shared" si="13"/>
        <v>-1</v>
      </c>
      <c r="O52" s="11"/>
      <c r="P52" s="2">
        <v>-11.85</v>
      </c>
      <c r="Q52" s="2"/>
      <c r="R52" s="19">
        <f t="shared" si="14"/>
        <v>-2.7568341744701939E-5</v>
      </c>
      <c r="S52" s="2"/>
      <c r="T52" s="2">
        <v>73.44</v>
      </c>
      <c r="U52" s="2"/>
      <c r="V52" s="19">
        <f t="shared" si="15"/>
        <v>1.8159992201885697E-4</v>
      </c>
      <c r="W52" s="2"/>
      <c r="X52" s="2">
        <f t="shared" si="16"/>
        <v>-85.289999999999992</v>
      </c>
      <c r="Y52" s="2"/>
      <c r="Z52" s="19">
        <f t="shared" si="17"/>
        <v>-1.1613562091503267</v>
      </c>
    </row>
    <row r="53" spans="1:26" s="24" customFormat="1" hidden="1" outlineLevel="1" x14ac:dyDescent="0.2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-1318</v>
      </c>
      <c r="E53" s="2"/>
      <c r="F53" s="19">
        <f t="shared" si="10"/>
        <v>0</v>
      </c>
      <c r="G53" s="2"/>
      <c r="H53" s="2">
        <v>-12141</v>
      </c>
      <c r="I53" s="2"/>
      <c r="J53" s="19">
        <f t="shared" si="11"/>
        <v>-0.32157662335804821</v>
      </c>
      <c r="K53" s="2"/>
      <c r="L53" s="2">
        <f t="shared" si="12"/>
        <v>10823</v>
      </c>
      <c r="M53" s="2"/>
      <c r="N53" s="19">
        <f t="shared" si="13"/>
        <v>-0.8914422205749114</v>
      </c>
      <c r="O53" s="11"/>
      <c r="P53" s="2">
        <v>-201736</v>
      </c>
      <c r="Q53" s="2"/>
      <c r="R53" s="19">
        <f t="shared" si="14"/>
        <v>-0.46932717216955194</v>
      </c>
      <c r="S53" s="2"/>
      <c r="T53" s="2">
        <v>-211527</v>
      </c>
      <c r="U53" s="2"/>
      <c r="V53" s="19">
        <f t="shared" si="15"/>
        <v>-0.52305673617759751</v>
      </c>
      <c r="W53" s="2"/>
      <c r="X53" s="2">
        <f t="shared" si="16"/>
        <v>9791</v>
      </c>
      <c r="Y53" s="2"/>
      <c r="Z53" s="19">
        <f t="shared" si="17"/>
        <v>-4.6287235199288977E-2</v>
      </c>
    </row>
    <row r="54" spans="1:26" s="24" customFormat="1" hidden="1" outlineLevel="1" x14ac:dyDescent="0.25">
      <c r="A54" s="44"/>
      <c r="B54" s="11" t="str">
        <f>CONCATENATE("          ", "5300", " - ", "COG$ OFFSET")</f>
        <v xml:space="preserve">          5300 - COG$ OFFSET</v>
      </c>
      <c r="C54" s="11"/>
      <c r="D54" s="2"/>
      <c r="E54" s="2"/>
      <c r="F54" s="19">
        <f t="shared" si="10"/>
        <v>0</v>
      </c>
      <c r="G54" s="2"/>
      <c r="H54" s="2">
        <v>15389</v>
      </c>
      <c r="I54" s="2"/>
      <c r="J54" s="19">
        <f t="shared" si="11"/>
        <v>0.40760585263627408</v>
      </c>
      <c r="K54" s="2"/>
      <c r="L54" s="2">
        <f t="shared" si="12"/>
        <v>-15389</v>
      </c>
      <c r="M54" s="2"/>
      <c r="N54" s="19">
        <f t="shared" si="13"/>
        <v>-1</v>
      </c>
      <c r="O54" s="11"/>
      <c r="P54" s="2">
        <v>145191</v>
      </c>
      <c r="Q54" s="2"/>
      <c r="R54" s="19">
        <f t="shared" si="14"/>
        <v>0.33777848997932652</v>
      </c>
      <c r="S54" s="2"/>
      <c r="T54" s="2">
        <v>171415</v>
      </c>
      <c r="U54" s="2"/>
      <c r="V54" s="19">
        <f t="shared" si="15"/>
        <v>0.42386915349758125</v>
      </c>
      <c r="W54" s="2"/>
      <c r="X54" s="2">
        <f t="shared" si="16"/>
        <v>-26224</v>
      </c>
      <c r="Y54" s="2"/>
      <c r="Z54" s="19">
        <f t="shared" si="17"/>
        <v>-0.15298544468103725</v>
      </c>
    </row>
    <row r="55" spans="1:26" s="24" customFormat="1" hidden="1" outlineLevel="1" x14ac:dyDescent="0.25">
      <c r="A55" s="44"/>
      <c r="B55" s="11" t="str">
        <f>CONCATENATE("          ", "5540", " - ", "FREIGHT-IN-LOGO CLOTHING")</f>
        <v xml:space="preserve">          5540 - FREIGHT-IN-LOGO CLOTHING</v>
      </c>
      <c r="C55" s="11"/>
      <c r="D55" s="2"/>
      <c r="E55" s="2"/>
      <c r="F55" s="19">
        <f t="shared" si="10"/>
        <v>0</v>
      </c>
      <c r="G55" s="2"/>
      <c r="H55" s="2"/>
      <c r="I55" s="2"/>
      <c r="J55" s="19">
        <f t="shared" si="11"/>
        <v>0</v>
      </c>
      <c r="K55" s="2"/>
      <c r="L55" s="2">
        <f t="shared" si="12"/>
        <v>0</v>
      </c>
      <c r="M55" s="2"/>
      <c r="N55" s="19">
        <f t="shared" si="13"/>
        <v>0</v>
      </c>
      <c r="O55" s="11"/>
      <c r="P55" s="2">
        <v>22.51</v>
      </c>
      <c r="Q55" s="2"/>
      <c r="R55" s="19">
        <f t="shared" si="14"/>
        <v>5.2368217103227063E-5</v>
      </c>
      <c r="S55" s="2"/>
      <c r="T55" s="2">
        <v>11.96</v>
      </c>
      <c r="U55" s="2"/>
      <c r="V55" s="19">
        <f t="shared" si="15"/>
        <v>2.9574279239454379E-5</v>
      </c>
      <c r="W55" s="2"/>
      <c r="X55" s="2">
        <f t="shared" si="16"/>
        <v>10.55</v>
      </c>
      <c r="Y55" s="2"/>
      <c r="Z55" s="19">
        <f t="shared" si="17"/>
        <v>0.88210702341137126</v>
      </c>
    </row>
    <row r="56" spans="1:26" s="24" customFormat="1" hidden="1" outlineLevel="1" x14ac:dyDescent="0.25">
      <c r="A56" s="44"/>
      <c r="B56" s="11" t="str">
        <f>CONCATENATE("          ", "5542", " - ", "FREIGHT-IN-EVERYDAY GIFTS")</f>
        <v xml:space="preserve">          5542 - FREIGHT-IN-EVERYDAY GIFTS</v>
      </c>
      <c r="C56" s="11"/>
      <c r="D56" s="2"/>
      <c r="E56" s="2"/>
      <c r="F56" s="19">
        <f t="shared" si="10"/>
        <v>0</v>
      </c>
      <c r="G56" s="2"/>
      <c r="H56" s="2"/>
      <c r="I56" s="2"/>
      <c r="J56" s="19">
        <f t="shared" si="11"/>
        <v>0</v>
      </c>
      <c r="K56" s="2"/>
      <c r="L56" s="2">
        <f t="shared" si="12"/>
        <v>0</v>
      </c>
      <c r="M56" s="2"/>
      <c r="N56" s="19">
        <f t="shared" si="13"/>
        <v>0</v>
      </c>
      <c r="O56" s="11"/>
      <c r="P56" s="2"/>
      <c r="Q56" s="2"/>
      <c r="R56" s="19">
        <f t="shared" si="14"/>
        <v>0</v>
      </c>
      <c r="S56" s="2"/>
      <c r="T56" s="2">
        <v>29.13</v>
      </c>
      <c r="U56" s="2"/>
      <c r="V56" s="19">
        <f t="shared" si="15"/>
        <v>7.2031668415159365E-5</v>
      </c>
      <c r="W56" s="2"/>
      <c r="X56" s="2">
        <f t="shared" si="16"/>
        <v>-29.13</v>
      </c>
      <c r="Y56" s="2"/>
      <c r="Z56" s="19">
        <f t="shared" si="17"/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6</v>
      </c>
      <c r="C58" s="28"/>
      <c r="D58" s="21">
        <f>D12-D38</f>
        <v>0.33999999999991815</v>
      </c>
      <c r="E58" s="14"/>
      <c r="F58" s="20">
        <f>IF(D$12=0,0,D58/D$12)</f>
        <v>0</v>
      </c>
      <c r="G58" s="14"/>
      <c r="H58" s="21">
        <f>H12-H38</f>
        <v>22365.599999999999</v>
      </c>
      <c r="I58" s="14"/>
      <c r="J58" s="20">
        <f>IF(H$12=0,0,H58/H$12)</f>
        <v>0.59239388249540914</v>
      </c>
      <c r="K58" s="15"/>
      <c r="L58" s="21">
        <f>+D58-H58</f>
        <v>-22365.26</v>
      </c>
      <c r="M58" s="15"/>
      <c r="N58" s="20">
        <f>IF(H58=0,0,L58/H58)</f>
        <v>-0.99998479808276997</v>
      </c>
      <c r="O58" s="29"/>
      <c r="P58" s="21">
        <f>P12-P38</f>
        <v>246523.27999999997</v>
      </c>
      <c r="Q58" s="14"/>
      <c r="R58" s="20">
        <f>IF(P$12=0,0,P58/P$12)</f>
        <v>0.5735221967143328</v>
      </c>
      <c r="S58" s="14"/>
      <c r="T58" s="21">
        <f>T12-T38</f>
        <v>232992.33000000005</v>
      </c>
      <c r="U58" s="14"/>
      <c r="V58" s="20">
        <f>IF(T$12=0,0,T58/T$12)</f>
        <v>0.57613547057450709</v>
      </c>
      <c r="W58" s="15"/>
      <c r="X58" s="21">
        <f>+P58-T58</f>
        <v>13530.949999999924</v>
      </c>
      <c r="Y58" s="15"/>
      <c r="Z58" s="20">
        <f>IF(T58=0,0,X58/T58)</f>
        <v>5.8074658509144582E-2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9" t="s">
        <v>9</v>
      </c>
      <c r="C60" s="10"/>
      <c r="D60" s="22">
        <f>SUM(OSRRefD22x_0)</f>
        <v>17168.43</v>
      </c>
      <c r="E60" s="22"/>
      <c r="F60" s="35">
        <f t="shared" ref="F60:F69" si="18">IF(D$12=0,0,D60/D$12)</f>
        <v>0</v>
      </c>
      <c r="G60" s="22"/>
      <c r="H60" s="22">
        <f>SUM(OSRRefH22x_0)</f>
        <v>20020.329999999994</v>
      </c>
      <c r="I60" s="22"/>
      <c r="J60" s="35">
        <f t="shared" ref="J60:J69" si="19">IF(H$12=0,0,H60/H$12)</f>
        <v>0.53027511077455158</v>
      </c>
      <c r="K60" s="4"/>
      <c r="L60" s="22">
        <f t="shared" ref="L60:L69" si="20">+D60-H60</f>
        <v>-2851.8999999999942</v>
      </c>
      <c r="M60" s="4"/>
      <c r="N60" s="35">
        <f t="shared" ref="N60:N69" si="21">IF(H60=0,0,L60/H60)</f>
        <v>-0.14245019937233777</v>
      </c>
      <c r="O60" s="10"/>
      <c r="P60" s="22">
        <f>SUM(OSRRefP22x_0)</f>
        <v>300722.09999999998</v>
      </c>
      <c r="Q60" s="22"/>
      <c r="R60" s="35">
        <f t="shared" ref="R60:R69" si="22">IF(P$12=0,0,P60/P$12)</f>
        <v>0.69961262641218824</v>
      </c>
      <c r="S60" s="22"/>
      <c r="T60" s="22">
        <f>SUM(OSRRefT22x_0)</f>
        <v>250185.02</v>
      </c>
      <c r="U60" s="22"/>
      <c r="V60" s="35">
        <f t="shared" ref="V60:V69" si="23">IF(T$12=0,0,T60/T$12)</f>
        <v>0.61864896680672887</v>
      </c>
      <c r="W60" s="4"/>
      <c r="X60" s="22">
        <f t="shared" ref="X60:X69" si="24">+P60-T60</f>
        <v>50537.079999999987</v>
      </c>
      <c r="Y60" s="4"/>
      <c r="Z60" s="35">
        <f t="shared" ref="Z60:Z69" si="25">IF(T60=0,0,X60/T60)</f>
        <v>0.20199882470980873</v>
      </c>
    </row>
    <row r="61" spans="1:26" s="25" customFormat="1" outlineLevel="1" collapsed="1" x14ac:dyDescent="0.25">
      <c r="A61" s="26"/>
      <c r="B61" s="13" t="str">
        <f>CONCATENATE("     ","*Benefits                                         ")</f>
        <v xml:space="preserve">     *Benefits                                         </v>
      </c>
      <c r="C61" s="13"/>
      <c r="D61" s="1">
        <f>SUM(OSRRefD22_0x_0)</f>
        <v>3907.89</v>
      </c>
      <c r="E61" s="1"/>
      <c r="F61" s="5">
        <f t="shared" si="18"/>
        <v>0</v>
      </c>
      <c r="G61" s="1"/>
      <c r="H61" s="1">
        <f>SUM(OSRRefH22_0x_0)</f>
        <v>466.35</v>
      </c>
      <c r="I61" s="1"/>
      <c r="J61" s="5">
        <f t="shared" si="19"/>
        <v>1.235213395132409E-2</v>
      </c>
      <c r="K61" s="1"/>
      <c r="L61" s="1">
        <f t="shared" si="20"/>
        <v>3441.54</v>
      </c>
      <c r="M61" s="1"/>
      <c r="N61" s="5">
        <f t="shared" si="21"/>
        <v>7.3797362495979408</v>
      </c>
      <c r="O61" s="13"/>
      <c r="P61" s="1">
        <f>SUM(OSRRefP22_0x_0)</f>
        <v>23263.960000000003</v>
      </c>
      <c r="Q61" s="1"/>
      <c r="R61" s="5">
        <f t="shared" si="22"/>
        <v>5.4122261570892512E-2</v>
      </c>
      <c r="S61" s="1"/>
      <c r="T61" s="1">
        <f>SUM(OSRRefT22_0x_0)</f>
        <v>21749.989999999998</v>
      </c>
      <c r="U61" s="1"/>
      <c r="V61" s="5">
        <f t="shared" si="23"/>
        <v>5.3782631915998351E-2</v>
      </c>
      <c r="W61" s="1"/>
      <c r="X61" s="1">
        <f t="shared" si="24"/>
        <v>1513.9700000000048</v>
      </c>
      <c r="Y61" s="1"/>
      <c r="Z61" s="5">
        <f t="shared" si="25"/>
        <v>6.9607848095562572E-2</v>
      </c>
    </row>
    <row r="62" spans="1:26" s="24" customFormat="1" hidden="1" outlineLevel="2" x14ac:dyDescent="0.25">
      <c r="A62" s="27"/>
      <c r="B62" s="11" t="str">
        <f>CONCATENATE("          ", "6111", " - ", "F.I.C.A.")</f>
        <v xml:space="preserve">          6111 - F.I.C.A.</v>
      </c>
      <c r="C62" s="11"/>
      <c r="D62" s="6">
        <v>626.87</v>
      </c>
      <c r="E62" s="2"/>
      <c r="F62" s="7">
        <f t="shared" si="18"/>
        <v>0</v>
      </c>
      <c r="G62" s="2"/>
      <c r="H62" s="6">
        <v>185.87</v>
      </c>
      <c r="I62" s="2"/>
      <c r="J62" s="7">
        <f t="shared" si="19"/>
        <v>4.9231074033078345E-3</v>
      </c>
      <c r="K62" s="2"/>
      <c r="L62" s="6">
        <f t="shared" si="20"/>
        <v>441</v>
      </c>
      <c r="M62" s="2"/>
      <c r="N62" s="7">
        <f t="shared" si="21"/>
        <v>2.3726260289449614</v>
      </c>
      <c r="O62" s="11"/>
      <c r="P62" s="6">
        <v>4640.1499999999996</v>
      </c>
      <c r="Q62" s="2"/>
      <c r="R62" s="7">
        <f t="shared" si="22"/>
        <v>1.0795041430099468E-2</v>
      </c>
      <c r="S62" s="2"/>
      <c r="T62" s="6">
        <v>4393.42</v>
      </c>
      <c r="U62" s="2"/>
      <c r="V62" s="7">
        <f t="shared" si="23"/>
        <v>1.0863898820752813E-2</v>
      </c>
      <c r="W62" s="2"/>
      <c r="X62" s="6">
        <f t="shared" si="24"/>
        <v>246.72999999999956</v>
      </c>
      <c r="Y62" s="2"/>
      <c r="Z62" s="7">
        <f t="shared" si="25"/>
        <v>5.6158983206704469E-2</v>
      </c>
    </row>
    <row r="63" spans="1:26" s="24" customFormat="1" hidden="1" outlineLevel="2" x14ac:dyDescent="0.25">
      <c r="A63" s="27"/>
      <c r="B63" s="11" t="str">
        <f>CONCATENATE("          ", "6112", " - ", "COMPENSATION INSURANCE")</f>
        <v xml:space="preserve">          6112 - COMPENSATION INSURANCE</v>
      </c>
      <c r="C63" s="11"/>
      <c r="D63" s="6">
        <v>138.82</v>
      </c>
      <c r="E63" s="2"/>
      <c r="F63" s="7">
        <f t="shared" si="18"/>
        <v>0</v>
      </c>
      <c r="G63" s="2"/>
      <c r="H63" s="6">
        <v>90.63</v>
      </c>
      <c r="I63" s="2"/>
      <c r="J63" s="7">
        <f t="shared" si="19"/>
        <v>2.4005015546445848E-3</v>
      </c>
      <c r="K63" s="2"/>
      <c r="L63" s="6">
        <f t="shared" si="20"/>
        <v>48.19</v>
      </c>
      <c r="M63" s="2"/>
      <c r="N63" s="7">
        <f t="shared" si="21"/>
        <v>0.53172238773033209</v>
      </c>
      <c r="O63" s="11"/>
      <c r="P63" s="6">
        <v>1783.49</v>
      </c>
      <c r="Q63" s="2"/>
      <c r="R63" s="7">
        <f t="shared" si="22"/>
        <v>4.1491866513298286E-3</v>
      </c>
      <c r="S63" s="2"/>
      <c r="T63" s="6">
        <v>1219.93</v>
      </c>
      <c r="U63" s="2"/>
      <c r="V63" s="7">
        <f t="shared" si="23"/>
        <v>3.0166012100825736E-3</v>
      </c>
      <c r="W63" s="2"/>
      <c r="X63" s="6">
        <f t="shared" si="24"/>
        <v>563.55999999999995</v>
      </c>
      <c r="Y63" s="2"/>
      <c r="Z63" s="7">
        <f t="shared" si="25"/>
        <v>0.46196093218463347</v>
      </c>
    </row>
    <row r="64" spans="1:26" s="24" customFormat="1" hidden="1" outlineLevel="2" x14ac:dyDescent="0.25">
      <c r="A64" s="27"/>
      <c r="B64" s="11" t="str">
        <f>CONCATENATE("          ", "6113", " - ", "GROUP INSURANCE")</f>
        <v xml:space="preserve">          6113 - GROUP INSURANCE</v>
      </c>
      <c r="C64" s="11"/>
      <c r="D64" s="6">
        <v>2012.47</v>
      </c>
      <c r="E64" s="2"/>
      <c r="F64" s="7">
        <f t="shared" si="18"/>
        <v>0</v>
      </c>
      <c r="G64" s="2"/>
      <c r="H64" s="6">
        <v>31.11</v>
      </c>
      <c r="I64" s="2"/>
      <c r="J64" s="7">
        <f t="shared" si="19"/>
        <v>8.2400533338842597E-4</v>
      </c>
      <c r="K64" s="2"/>
      <c r="L64" s="6">
        <f t="shared" si="20"/>
        <v>1981.3600000000001</v>
      </c>
      <c r="M64" s="2"/>
      <c r="N64" s="7">
        <f t="shared" si="21"/>
        <v>63.688846030215373</v>
      </c>
      <c r="O64" s="11"/>
      <c r="P64" s="6">
        <v>10321.58</v>
      </c>
      <c r="Q64" s="2"/>
      <c r="R64" s="7">
        <f t="shared" si="22"/>
        <v>2.4012560741373895E-2</v>
      </c>
      <c r="S64" s="2"/>
      <c r="T64" s="6">
        <v>8040</v>
      </c>
      <c r="U64" s="2"/>
      <c r="V64" s="7">
        <f t="shared" si="23"/>
        <v>1.988103721448271E-2</v>
      </c>
      <c r="W64" s="2"/>
      <c r="X64" s="6">
        <f t="shared" si="24"/>
        <v>2281.58</v>
      </c>
      <c r="Y64" s="2"/>
      <c r="Z64" s="7">
        <f t="shared" si="25"/>
        <v>0.2837786069651741</v>
      </c>
    </row>
    <row r="65" spans="1:26" s="24" customFormat="1" hidden="1" outlineLevel="2" x14ac:dyDescent="0.25">
      <c r="A65" s="27"/>
      <c r="B65" s="11" t="str">
        <f>CONCATENATE("          ", "6114", " - ", "STATE UNEMPLOYMENT INSURANCE")</f>
        <v xml:space="preserve">          6114 - STATE UNEMPLOYMENT INSURANCE</v>
      </c>
      <c r="C65" s="11"/>
      <c r="D65" s="6">
        <v>19</v>
      </c>
      <c r="E65" s="2"/>
      <c r="F65" s="7">
        <f t="shared" si="18"/>
        <v>0</v>
      </c>
      <c r="G65" s="2"/>
      <c r="H65" s="6">
        <v>19.8</v>
      </c>
      <c r="I65" s="2"/>
      <c r="J65" s="7">
        <f t="shared" si="19"/>
        <v>5.244392671517465E-4</v>
      </c>
      <c r="K65" s="2"/>
      <c r="L65" s="6">
        <f t="shared" si="20"/>
        <v>-0.80000000000000071</v>
      </c>
      <c r="M65" s="2"/>
      <c r="N65" s="7">
        <f t="shared" si="21"/>
        <v>-4.0404040404040435E-2</v>
      </c>
      <c r="O65" s="11"/>
      <c r="P65" s="6">
        <v>276.77</v>
      </c>
      <c r="Q65" s="2"/>
      <c r="R65" s="7">
        <f t="shared" si="22"/>
        <v>6.4388944680853638E-4</v>
      </c>
      <c r="S65" s="2"/>
      <c r="T65" s="6">
        <v>304.42</v>
      </c>
      <c r="U65" s="2"/>
      <c r="V65" s="7">
        <f t="shared" si="23"/>
        <v>7.5275937174537643E-4</v>
      </c>
      <c r="W65" s="2"/>
      <c r="X65" s="6">
        <f t="shared" si="24"/>
        <v>-27.650000000000034</v>
      </c>
      <c r="Y65" s="2"/>
      <c r="Z65" s="7">
        <f t="shared" si="25"/>
        <v>-9.0828460679324721E-2</v>
      </c>
    </row>
    <row r="66" spans="1:26" s="24" customFormat="1" hidden="1" outlineLevel="2" x14ac:dyDescent="0.25">
      <c r="A66" s="27"/>
      <c r="B66" s="11" t="str">
        <f>CONCATENATE("          ", "6115", " - ", "P.E.R.S.")</f>
        <v xml:space="preserve">          6115 - P.E.R.S.</v>
      </c>
      <c r="C66" s="11"/>
      <c r="D66" s="6">
        <v>327.22000000000003</v>
      </c>
      <c r="E66" s="2"/>
      <c r="F66" s="7">
        <f t="shared" si="18"/>
        <v>0</v>
      </c>
      <c r="G66" s="2"/>
      <c r="H66" s="6">
        <v>138.94</v>
      </c>
      <c r="I66" s="2"/>
      <c r="J66" s="7">
        <f t="shared" si="19"/>
        <v>3.6800803928314979E-3</v>
      </c>
      <c r="K66" s="2"/>
      <c r="L66" s="6">
        <f t="shared" si="20"/>
        <v>188.28000000000003</v>
      </c>
      <c r="M66" s="2"/>
      <c r="N66" s="7">
        <f t="shared" si="21"/>
        <v>1.3551173168274078</v>
      </c>
      <c r="O66" s="11"/>
      <c r="P66" s="6">
        <v>2034.13</v>
      </c>
      <c r="Q66" s="2"/>
      <c r="R66" s="7">
        <f t="shared" si="22"/>
        <v>4.7322861597595411E-3</v>
      </c>
      <c r="S66" s="2"/>
      <c r="T66" s="6">
        <v>2332.3200000000002</v>
      </c>
      <c r="U66" s="2"/>
      <c r="V66" s="7">
        <f t="shared" si="23"/>
        <v>5.7672811835923279E-3</v>
      </c>
      <c r="W66" s="2"/>
      <c r="X66" s="6">
        <f t="shared" si="24"/>
        <v>-298.19000000000005</v>
      </c>
      <c r="Y66" s="2"/>
      <c r="Z66" s="7">
        <f t="shared" si="25"/>
        <v>-0.12785123825204089</v>
      </c>
    </row>
    <row r="67" spans="1:26" s="24" customFormat="1" hidden="1" outlineLevel="2" x14ac:dyDescent="0.25">
      <c r="A67" s="27"/>
      <c r="B67" s="11" t="str">
        <f>CONCATENATE("          ", "6118", " - ", "VACATION")</f>
        <v xml:space="preserve">          6118 - VACATION</v>
      </c>
      <c r="C67" s="11"/>
      <c r="D67" s="6">
        <v>459.39</v>
      </c>
      <c r="E67" s="2"/>
      <c r="F67" s="7">
        <f t="shared" si="18"/>
        <v>0</v>
      </c>
      <c r="G67" s="2"/>
      <c r="H67" s="6"/>
      <c r="I67" s="2"/>
      <c r="J67" s="7">
        <f t="shared" si="19"/>
        <v>0</v>
      </c>
      <c r="K67" s="2"/>
      <c r="L67" s="6">
        <f t="shared" si="20"/>
        <v>459.39</v>
      </c>
      <c r="M67" s="2"/>
      <c r="N67" s="7">
        <f t="shared" si="21"/>
        <v>0</v>
      </c>
      <c r="O67" s="11"/>
      <c r="P67" s="6">
        <v>2562.44</v>
      </c>
      <c r="Q67" s="2"/>
      <c r="R67" s="7">
        <f t="shared" si="22"/>
        <v>5.9613689131049821E-3</v>
      </c>
      <c r="S67" s="2"/>
      <c r="T67" s="6">
        <v>2460.09</v>
      </c>
      <c r="U67" s="2"/>
      <c r="V67" s="7">
        <f t="shared" si="23"/>
        <v>6.0832264727583045E-3</v>
      </c>
      <c r="W67" s="2"/>
      <c r="X67" s="6">
        <f t="shared" si="24"/>
        <v>102.34999999999991</v>
      </c>
      <c r="Y67" s="2"/>
      <c r="Z67" s="7">
        <f t="shared" si="25"/>
        <v>4.160416895316834E-2</v>
      </c>
    </row>
    <row r="68" spans="1:26" s="24" customFormat="1" hidden="1" outlineLevel="2" x14ac:dyDescent="0.25">
      <c r="A68" s="27"/>
      <c r="B68" s="11" t="str">
        <f>CONCATENATE("          ", "6119", " - ", "SICK LEAVE")</f>
        <v xml:space="preserve">          6119 - SICK LEAVE</v>
      </c>
      <c r="C68" s="11"/>
      <c r="D68" s="6">
        <v>324.12</v>
      </c>
      <c r="E68" s="2"/>
      <c r="F68" s="7">
        <f t="shared" si="18"/>
        <v>0</v>
      </c>
      <c r="G68" s="2"/>
      <c r="H68" s="6"/>
      <c r="I68" s="2"/>
      <c r="J68" s="7">
        <f t="shared" si="19"/>
        <v>0</v>
      </c>
      <c r="K68" s="2"/>
      <c r="L68" s="6">
        <f t="shared" si="20"/>
        <v>324.12</v>
      </c>
      <c r="M68" s="2"/>
      <c r="N68" s="7">
        <f t="shared" si="21"/>
        <v>0</v>
      </c>
      <c r="O68" s="11"/>
      <c r="P68" s="6">
        <v>1155.9000000000001</v>
      </c>
      <c r="Q68" s="2"/>
      <c r="R68" s="7">
        <f t="shared" si="22"/>
        <v>2.6891347023376352E-3</v>
      </c>
      <c r="S68" s="2"/>
      <c r="T68" s="6">
        <v>1516.76</v>
      </c>
      <c r="U68" s="2"/>
      <c r="V68" s="7">
        <f t="shared" si="23"/>
        <v>3.7505922892336809E-3</v>
      </c>
      <c r="W68" s="2"/>
      <c r="X68" s="6">
        <f t="shared" si="24"/>
        <v>-360.8599999999999</v>
      </c>
      <c r="Y68" s="2"/>
      <c r="Z68" s="7">
        <f t="shared" si="25"/>
        <v>-0.23791502940478382</v>
      </c>
    </row>
    <row r="69" spans="1:26" s="24" customFormat="1" hidden="1" outlineLevel="2" x14ac:dyDescent="0.25">
      <c r="A69" s="27"/>
      <c r="B69" s="11" t="str">
        <f>CONCATENATE("          ", "6156", " - ", "EMPLOYEE MEALS")</f>
        <v xml:space="preserve">          6156 - EMPLOYEE MEALS</v>
      </c>
      <c r="C69" s="11"/>
      <c r="D69" s="6"/>
      <c r="E69" s="2"/>
      <c r="F69" s="7">
        <f t="shared" si="18"/>
        <v>0</v>
      </c>
      <c r="G69" s="2"/>
      <c r="H69" s="6"/>
      <c r="I69" s="2"/>
      <c r="J69" s="7">
        <f t="shared" si="19"/>
        <v>0</v>
      </c>
      <c r="K69" s="2"/>
      <c r="L69" s="6">
        <f t="shared" si="20"/>
        <v>0</v>
      </c>
      <c r="M69" s="2"/>
      <c r="N69" s="7">
        <f t="shared" si="21"/>
        <v>0</v>
      </c>
      <c r="O69" s="11"/>
      <c r="P69" s="6">
        <v>489.5</v>
      </c>
      <c r="Q69" s="2"/>
      <c r="R69" s="7">
        <f t="shared" si="22"/>
        <v>1.1387935260786161E-3</v>
      </c>
      <c r="S69" s="2"/>
      <c r="T69" s="6">
        <v>1483.05</v>
      </c>
      <c r="U69" s="2"/>
      <c r="V69" s="7">
        <f t="shared" si="23"/>
        <v>3.6672353533505698E-3</v>
      </c>
      <c r="W69" s="2"/>
      <c r="X69" s="6">
        <f t="shared" si="24"/>
        <v>-993.55</v>
      </c>
      <c r="Y69" s="2"/>
      <c r="Z69" s="7">
        <f t="shared" si="25"/>
        <v>-0.66993695424968813</v>
      </c>
    </row>
    <row r="70" spans="1:26" s="25" customFormat="1" outlineLevel="1" collapsed="1" x14ac:dyDescent="0.25">
      <c r="A70" s="26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3706.6800000000003</v>
      </c>
      <c r="E70" s="1"/>
      <c r="F70" s="5">
        <f t="shared" ref="F70:F74" si="26">IF(D$12=0,0,D70/D$12)</f>
        <v>0</v>
      </c>
      <c r="G70" s="1"/>
      <c r="H70" s="1">
        <f>SUM(OSRRefH22_1x_0)</f>
        <v>7087.4800000000005</v>
      </c>
      <c r="I70" s="1"/>
      <c r="J70" s="5">
        <f t="shared" ref="J70:J74" si="27">IF(H$12=0,0,H70/H$12)</f>
        <v>0.18772488975518486</v>
      </c>
      <c r="K70" s="1"/>
      <c r="L70" s="1">
        <f t="shared" ref="L70:L74" si="28">+D70-H70</f>
        <v>-3380.8</v>
      </c>
      <c r="M70" s="1"/>
      <c r="N70" s="5">
        <f t="shared" ref="N70:N74" si="29">IF(H70=0,0,L70/H70)</f>
        <v>-0.47701016440258032</v>
      </c>
      <c r="O70" s="13"/>
      <c r="P70" s="1">
        <f>SUM(OSRRefP22_1x_0)</f>
        <v>107642.89</v>
      </c>
      <c r="Q70" s="1"/>
      <c r="R70" s="5">
        <f t="shared" ref="R70:R74" si="30">IF(P$12=0,0,P70/P$12)</f>
        <v>0.25042497703859573</v>
      </c>
      <c r="S70" s="1"/>
      <c r="T70" s="1">
        <f>SUM(OSRRefT22_1x_0)</f>
        <v>85082.01</v>
      </c>
      <c r="U70" s="1"/>
      <c r="V70" s="5">
        <f t="shared" ref="V70:V74" si="31">IF(T$12=0,0,T70/T$12)</f>
        <v>0.21038788645435197</v>
      </c>
      <c r="W70" s="1"/>
      <c r="X70" s="1">
        <f t="shared" ref="X70:X74" si="32">+P70-T70</f>
        <v>22560.880000000005</v>
      </c>
      <c r="Y70" s="1"/>
      <c r="Z70" s="5">
        <f t="shared" ref="Z70:Z74" si="33">IF(T70=0,0,X70/T70)</f>
        <v>0.2651662789818906</v>
      </c>
    </row>
    <row r="71" spans="1:26" s="24" customFormat="1" hidden="1" outlineLevel="2" x14ac:dyDescent="0.25">
      <c r="A71" s="27"/>
      <c r="B71" s="11" t="str">
        <f>CONCATENATE("          ", "6002", " - ", "STAFF SALARIES")</f>
        <v xml:space="preserve">          6002 - STAFF SALARIES</v>
      </c>
      <c r="C71" s="11"/>
      <c r="D71" s="6">
        <v>2810.92</v>
      </c>
      <c r="E71" s="2"/>
      <c r="F71" s="7">
        <f t="shared" si="26"/>
        <v>0</v>
      </c>
      <c r="G71" s="2"/>
      <c r="H71" s="6">
        <v>-1168.69</v>
      </c>
      <c r="I71" s="2"/>
      <c r="J71" s="7">
        <f t="shared" si="27"/>
        <v>-3.0954895309473467E-2</v>
      </c>
      <c r="K71" s="2"/>
      <c r="L71" s="6">
        <f t="shared" si="28"/>
        <v>3979.61</v>
      </c>
      <c r="M71" s="2"/>
      <c r="N71" s="7">
        <f t="shared" si="29"/>
        <v>-3.405188715570425</v>
      </c>
      <c r="O71" s="11"/>
      <c r="P71" s="6">
        <v>22748.98</v>
      </c>
      <c r="Q71" s="2"/>
      <c r="R71" s="7">
        <f t="shared" si="30"/>
        <v>5.2924190293956924E-2</v>
      </c>
      <c r="S71" s="2"/>
      <c r="T71" s="6">
        <v>279.49</v>
      </c>
      <c r="U71" s="2"/>
      <c r="V71" s="7">
        <f t="shared" si="31"/>
        <v>6.9111331978554378E-4</v>
      </c>
      <c r="W71" s="2"/>
      <c r="X71" s="6">
        <f t="shared" si="32"/>
        <v>22469.489999999998</v>
      </c>
      <c r="Y71" s="2"/>
      <c r="Z71" s="7">
        <f t="shared" si="33"/>
        <v>80.394611614011225</v>
      </c>
    </row>
    <row r="72" spans="1:26" s="24" customFormat="1" hidden="1" outlineLevel="2" x14ac:dyDescent="0.25">
      <c r="A72" s="27"/>
      <c r="B72" s="11" t="str">
        <f>CONCATENATE("          ", "6005", " - ", "TEMPORARY WAGES-HOURLY")</f>
        <v xml:space="preserve">          6005 - TEMPORARY WAGES-HOURLY</v>
      </c>
      <c r="C72" s="11"/>
      <c r="D72" s="6">
        <v>1196.76</v>
      </c>
      <c r="E72" s="2"/>
      <c r="F72" s="7">
        <f t="shared" si="26"/>
        <v>0</v>
      </c>
      <c r="G72" s="2"/>
      <c r="H72" s="6">
        <v>526.70000000000005</v>
      </c>
      <c r="I72" s="2"/>
      <c r="J72" s="7">
        <f t="shared" si="27"/>
        <v>1.3950614242869945E-2</v>
      </c>
      <c r="K72" s="2"/>
      <c r="L72" s="6">
        <f t="shared" si="28"/>
        <v>670.06</v>
      </c>
      <c r="M72" s="2"/>
      <c r="N72" s="7">
        <f t="shared" si="29"/>
        <v>1.2721853047275486</v>
      </c>
      <c r="O72" s="11"/>
      <c r="P72" s="6">
        <v>12681.83</v>
      </c>
      <c r="Q72" s="2"/>
      <c r="R72" s="7">
        <f t="shared" si="30"/>
        <v>2.9503546277486362E-2</v>
      </c>
      <c r="S72" s="2"/>
      <c r="T72" s="6">
        <v>14218</v>
      </c>
      <c r="U72" s="2"/>
      <c r="V72" s="7">
        <f t="shared" si="31"/>
        <v>3.5157784467103874E-2</v>
      </c>
      <c r="W72" s="2"/>
      <c r="X72" s="6">
        <f t="shared" si="32"/>
        <v>-1536.17</v>
      </c>
      <c r="Y72" s="2"/>
      <c r="Z72" s="7">
        <f t="shared" si="33"/>
        <v>-0.10804402869601913</v>
      </c>
    </row>
    <row r="73" spans="1:26" s="24" customFormat="1" hidden="1" outlineLevel="2" x14ac:dyDescent="0.25">
      <c r="A73" s="27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6"/>
        <v>0</v>
      </c>
      <c r="G73" s="2"/>
      <c r="H73" s="6"/>
      <c r="I73" s="2"/>
      <c r="J73" s="7">
        <f t="shared" si="27"/>
        <v>0</v>
      </c>
      <c r="K73" s="2"/>
      <c r="L73" s="6">
        <f t="shared" si="28"/>
        <v>0</v>
      </c>
      <c r="M73" s="2"/>
      <c r="N73" s="7">
        <f t="shared" si="29"/>
        <v>0</v>
      </c>
      <c r="O73" s="11"/>
      <c r="P73" s="6">
        <v>316.16000000000003</v>
      </c>
      <c r="Q73" s="2"/>
      <c r="R73" s="7">
        <f t="shared" si="30"/>
        <v>7.3552801063333053E-4</v>
      </c>
      <c r="S73" s="2"/>
      <c r="T73" s="6">
        <v>2864.13</v>
      </c>
      <c r="U73" s="2"/>
      <c r="V73" s="7">
        <f t="shared" si="31"/>
        <v>7.0823227757607415E-3</v>
      </c>
      <c r="W73" s="2"/>
      <c r="X73" s="6">
        <f t="shared" si="32"/>
        <v>-2547.9700000000003</v>
      </c>
      <c r="Y73" s="2"/>
      <c r="Z73" s="7">
        <f t="shared" si="33"/>
        <v>-0.88961394908750657</v>
      </c>
    </row>
    <row r="74" spans="1:26" s="24" customFormat="1" hidden="1" outlineLevel="2" x14ac:dyDescent="0.25">
      <c r="A74" s="27"/>
      <c r="B74" s="11" t="str">
        <f>CONCATENATE("          ", "6007", " - ", "STUDENT HOURLY")</f>
        <v xml:space="preserve">          6007 - STUDENT HOURLY</v>
      </c>
      <c r="C74" s="11"/>
      <c r="D74" s="6">
        <v>-301</v>
      </c>
      <c r="E74" s="2"/>
      <c r="F74" s="7">
        <f t="shared" si="26"/>
        <v>0</v>
      </c>
      <c r="G74" s="2"/>
      <c r="H74" s="6">
        <v>7729.47</v>
      </c>
      <c r="I74" s="2"/>
      <c r="J74" s="7">
        <f t="shared" si="27"/>
        <v>0.20472917082178838</v>
      </c>
      <c r="K74" s="2"/>
      <c r="L74" s="6">
        <f t="shared" si="28"/>
        <v>-8030.47</v>
      </c>
      <c r="M74" s="2"/>
      <c r="N74" s="7">
        <f t="shared" si="29"/>
        <v>-1.0389418679417863</v>
      </c>
      <c r="O74" s="11"/>
      <c r="P74" s="6">
        <v>71895.92</v>
      </c>
      <c r="Q74" s="2"/>
      <c r="R74" s="7">
        <f t="shared" si="30"/>
        <v>0.16726171245651908</v>
      </c>
      <c r="S74" s="2"/>
      <c r="T74" s="6">
        <v>67720.39</v>
      </c>
      <c r="U74" s="2"/>
      <c r="V74" s="7">
        <f t="shared" si="31"/>
        <v>0.16745666589170183</v>
      </c>
      <c r="W74" s="2"/>
      <c r="X74" s="6">
        <f t="shared" si="32"/>
        <v>4175.5299999999988</v>
      </c>
      <c r="Y74" s="2"/>
      <c r="Z74" s="7">
        <f t="shared" si="33"/>
        <v>6.1658386787199523E-2</v>
      </c>
    </row>
    <row r="75" spans="1:26" s="25" customFormat="1" outlineLevel="1" collapsed="1" x14ac:dyDescent="0.25">
      <c r="A75" s="26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799.5</v>
      </c>
      <c r="E75" s="1"/>
      <c r="F75" s="5">
        <f t="shared" ref="F75:F99" si="34">IF(D$12=0,0,D75/D$12)</f>
        <v>0</v>
      </c>
      <c r="G75" s="1"/>
      <c r="H75" s="1">
        <f>SUM(OSRRefH22_2x_0)</f>
        <v>54</v>
      </c>
      <c r="I75" s="1"/>
      <c r="J75" s="5">
        <f t="shared" ref="J75:J99" si="35">IF(H$12=0,0,H75/H$12)</f>
        <v>1.4302889104138542E-3</v>
      </c>
      <c r="K75" s="1"/>
      <c r="L75" s="1">
        <f t="shared" ref="L75:L99" si="36">+D75-H75</f>
        <v>745.5</v>
      </c>
      <c r="M75" s="1"/>
      <c r="N75" s="5">
        <f t="shared" ref="N75:N99" si="37">IF(H75=0,0,L75/H75)</f>
        <v>13.805555555555555</v>
      </c>
      <c r="O75" s="13"/>
      <c r="P75" s="1">
        <f>SUM(OSRRefP22_2x_0)</f>
        <v>3638.48</v>
      </c>
      <c r="Q75" s="1"/>
      <c r="R75" s="5">
        <f t="shared" ref="R75:R99" si="38">IF(P$12=0,0,P75/P$12)</f>
        <v>8.4647139300643975E-3</v>
      </c>
      <c r="S75" s="1"/>
      <c r="T75" s="1">
        <f>SUM(OSRRefT22_2x_0)</f>
        <v>5180.87</v>
      </c>
      <c r="U75" s="1"/>
      <c r="V75" s="5">
        <f t="shared" ref="V75:V99" si="39">IF(T$12=0,0,T75/T$12)</f>
        <v>1.2811078267835452E-2</v>
      </c>
      <c r="W75" s="1"/>
      <c r="X75" s="1">
        <f t="shared" ref="X75:X99" si="40">+P75-T75</f>
        <v>-1542.3899999999999</v>
      </c>
      <c r="Y75" s="1"/>
      <c r="Z75" s="5">
        <f t="shared" ref="Z75:Z99" si="41">IF(T75=0,0,X75/T75)</f>
        <v>-0.29770868599289307</v>
      </c>
    </row>
    <row r="76" spans="1:26" s="24" customFormat="1" hidden="1" outlineLevel="2" x14ac:dyDescent="0.25">
      <c r="A76" s="27"/>
      <c r="B76" s="11" t="str">
        <f>CONCATENATE("          ", "6362", " - ", "ADVERTISING EXPENSE")</f>
        <v xml:space="preserve">          6362 - ADVERTISING EXPENSE</v>
      </c>
      <c r="C76" s="11"/>
      <c r="D76" s="6">
        <v>799.5</v>
      </c>
      <c r="E76" s="2"/>
      <c r="F76" s="7">
        <f t="shared" si="34"/>
        <v>0</v>
      </c>
      <c r="G76" s="2"/>
      <c r="H76" s="6">
        <v>54</v>
      </c>
      <c r="I76" s="2"/>
      <c r="J76" s="7">
        <f t="shared" si="35"/>
        <v>1.4302889104138542E-3</v>
      </c>
      <c r="K76" s="2"/>
      <c r="L76" s="6">
        <f t="shared" si="36"/>
        <v>745.5</v>
      </c>
      <c r="M76" s="2"/>
      <c r="N76" s="7">
        <f t="shared" si="37"/>
        <v>13.805555555555555</v>
      </c>
      <c r="O76" s="11"/>
      <c r="P76" s="6">
        <v>3638.48</v>
      </c>
      <c r="Q76" s="2"/>
      <c r="R76" s="7">
        <f t="shared" si="38"/>
        <v>8.4647139300643975E-3</v>
      </c>
      <c r="S76" s="2"/>
      <c r="T76" s="6">
        <v>5180.87</v>
      </c>
      <c r="U76" s="2"/>
      <c r="V76" s="7">
        <f t="shared" si="39"/>
        <v>1.2811078267835452E-2</v>
      </c>
      <c r="W76" s="2"/>
      <c r="X76" s="6">
        <f t="shared" si="40"/>
        <v>-1542.3899999999999</v>
      </c>
      <c r="Y76" s="2"/>
      <c r="Z76" s="7">
        <f t="shared" si="41"/>
        <v>-0.29770868599289307</v>
      </c>
    </row>
    <row r="77" spans="1:26" s="25" customFormat="1" outlineLevel="1" collapsed="1" x14ac:dyDescent="0.25">
      <c r="A77" s="26"/>
      <c r="B77" s="13" t="str">
        <f>CONCATENATE("     ","Bad Debts/Over/Short                              ")</f>
        <v xml:space="preserve">     Bad Debts/Over/Short                              </v>
      </c>
      <c r="C77" s="13"/>
      <c r="D77" s="1">
        <f>SUM(OSRRefD22_3x_0)</f>
        <v>0</v>
      </c>
      <c r="E77" s="1"/>
      <c r="F77" s="5">
        <f t="shared" si="34"/>
        <v>0</v>
      </c>
      <c r="G77" s="1"/>
      <c r="H77" s="1">
        <f>SUM(OSRRefH22_3x_0)</f>
        <v>-0.47</v>
      </c>
      <c r="I77" s="1"/>
      <c r="J77" s="5">
        <f t="shared" si="35"/>
        <v>-1.2448810886935396E-5</v>
      </c>
      <c r="K77" s="1"/>
      <c r="L77" s="1">
        <f t="shared" si="36"/>
        <v>0.47</v>
      </c>
      <c r="M77" s="1"/>
      <c r="N77" s="5">
        <f t="shared" si="37"/>
        <v>-1</v>
      </c>
      <c r="O77" s="13"/>
      <c r="P77" s="1">
        <f>SUM(OSRRefP22_3x_0)</f>
        <v>44.45</v>
      </c>
      <c r="Q77" s="1"/>
      <c r="R77" s="5">
        <f t="shared" si="38"/>
        <v>1.0341036207189884E-4</v>
      </c>
      <c r="S77" s="1"/>
      <c r="T77" s="1">
        <f>SUM(OSRRefT22_3x_0)</f>
        <v>137.32</v>
      </c>
      <c r="U77" s="1"/>
      <c r="V77" s="5">
        <f t="shared" si="39"/>
        <v>3.3956020277273202E-4</v>
      </c>
      <c r="W77" s="1"/>
      <c r="X77" s="1">
        <f t="shared" si="40"/>
        <v>-92.86999999999999</v>
      </c>
      <c r="Y77" s="1"/>
      <c r="Z77" s="5">
        <f t="shared" si="41"/>
        <v>-0.6763035246140402</v>
      </c>
    </row>
    <row r="78" spans="1:26" s="24" customFormat="1" hidden="1" outlineLevel="2" x14ac:dyDescent="0.25">
      <c r="A78" s="27"/>
      <c r="B78" s="11" t="str">
        <f>CONCATENATE("          ", "6272", " - ", "CASH (OVER/SHORT)")</f>
        <v xml:space="preserve">          6272 - CASH (OVER/SHORT)</v>
      </c>
      <c r="C78" s="11"/>
      <c r="D78" s="6"/>
      <c r="E78" s="2"/>
      <c r="F78" s="7">
        <f t="shared" si="34"/>
        <v>0</v>
      </c>
      <c r="G78" s="2"/>
      <c r="H78" s="6">
        <v>-0.47</v>
      </c>
      <c r="I78" s="2"/>
      <c r="J78" s="7">
        <f t="shared" si="35"/>
        <v>-1.2448810886935396E-5</v>
      </c>
      <c r="K78" s="2"/>
      <c r="L78" s="6">
        <f t="shared" si="36"/>
        <v>0.47</v>
      </c>
      <c r="M78" s="2"/>
      <c r="N78" s="7">
        <f t="shared" si="37"/>
        <v>-1</v>
      </c>
      <c r="O78" s="11"/>
      <c r="P78" s="6">
        <v>44.45</v>
      </c>
      <c r="Q78" s="2"/>
      <c r="R78" s="7">
        <f t="shared" si="38"/>
        <v>1.0341036207189884E-4</v>
      </c>
      <c r="S78" s="2"/>
      <c r="T78" s="6">
        <v>137.32</v>
      </c>
      <c r="U78" s="2"/>
      <c r="V78" s="7">
        <f t="shared" si="39"/>
        <v>3.3956020277273202E-4</v>
      </c>
      <c r="W78" s="2"/>
      <c r="X78" s="6">
        <f t="shared" si="40"/>
        <v>-92.86999999999999</v>
      </c>
      <c r="Y78" s="2"/>
      <c r="Z78" s="7">
        <f t="shared" si="41"/>
        <v>-0.6763035246140402</v>
      </c>
    </row>
    <row r="79" spans="1:26" s="25" customFormat="1" outlineLevel="1" collapsed="1" x14ac:dyDescent="0.25">
      <c r="A79" s="26"/>
      <c r="B79" s="13" t="str">
        <f>CONCATENATE("     ","Bank/card Fees                                    ")</f>
        <v xml:space="preserve">     Bank/card Fees                                    </v>
      </c>
      <c r="C79" s="13"/>
      <c r="D79" s="1">
        <f>SUM(OSRRefD22_4x_0)</f>
        <v>13.04</v>
      </c>
      <c r="E79" s="1"/>
      <c r="F79" s="5">
        <f t="shared" si="34"/>
        <v>0</v>
      </c>
      <c r="G79" s="1"/>
      <c r="H79" s="1">
        <f>SUM(OSRRefH22_4x_0)</f>
        <v>539.79999999999995</v>
      </c>
      <c r="I79" s="1"/>
      <c r="J79" s="5">
        <f t="shared" si="35"/>
        <v>1.4297591737803674E-2</v>
      </c>
      <c r="K79" s="1"/>
      <c r="L79" s="1">
        <f t="shared" si="36"/>
        <v>-526.76</v>
      </c>
      <c r="M79" s="1"/>
      <c r="N79" s="5">
        <f t="shared" si="37"/>
        <v>-0.97584290477954805</v>
      </c>
      <c r="O79" s="13"/>
      <c r="P79" s="1">
        <f>SUM(OSRRefP22_4x_0)</f>
        <v>6160.92</v>
      </c>
      <c r="Q79" s="1"/>
      <c r="R79" s="5">
        <f t="shared" si="38"/>
        <v>1.4333025149516378E-2</v>
      </c>
      <c r="S79" s="1"/>
      <c r="T79" s="1">
        <f>SUM(OSRRefT22_4x_0)</f>
        <v>6088.83</v>
      </c>
      <c r="U79" s="1"/>
      <c r="V79" s="5">
        <f t="shared" si="39"/>
        <v>1.5056250724211287E-2</v>
      </c>
      <c r="W79" s="1"/>
      <c r="X79" s="1">
        <f t="shared" si="40"/>
        <v>72.090000000000146</v>
      </c>
      <c r="Y79" s="1"/>
      <c r="Z79" s="5">
        <f t="shared" si="41"/>
        <v>1.1839713048319652E-2</v>
      </c>
    </row>
    <row r="80" spans="1:26" s="24" customFormat="1" hidden="1" outlineLevel="2" x14ac:dyDescent="0.25">
      <c r="A80" s="27"/>
      <c r="B80" s="11" t="str">
        <f>CONCATENATE("          ", "6381", " - ", "BANK/CREDIT CARD FEES")</f>
        <v xml:space="preserve">          6381 - BANK/CREDIT CARD FEES</v>
      </c>
      <c r="C80" s="11"/>
      <c r="D80" s="6">
        <v>13.04</v>
      </c>
      <c r="E80" s="2"/>
      <c r="F80" s="7">
        <f t="shared" si="34"/>
        <v>0</v>
      </c>
      <c r="G80" s="2"/>
      <c r="H80" s="6">
        <v>539.79999999999995</v>
      </c>
      <c r="I80" s="2"/>
      <c r="J80" s="7">
        <f t="shared" si="35"/>
        <v>1.4297591737803674E-2</v>
      </c>
      <c r="K80" s="2"/>
      <c r="L80" s="6">
        <f t="shared" si="36"/>
        <v>-526.76</v>
      </c>
      <c r="M80" s="2"/>
      <c r="N80" s="7">
        <f t="shared" si="37"/>
        <v>-0.97584290477954805</v>
      </c>
      <c r="O80" s="11"/>
      <c r="P80" s="6">
        <v>6160.92</v>
      </c>
      <c r="Q80" s="2"/>
      <c r="R80" s="7">
        <f t="shared" si="38"/>
        <v>1.4333025149516378E-2</v>
      </c>
      <c r="S80" s="2"/>
      <c r="T80" s="6">
        <v>6088.83</v>
      </c>
      <c r="U80" s="2"/>
      <c r="V80" s="7">
        <f t="shared" si="39"/>
        <v>1.5056250724211287E-2</v>
      </c>
      <c r="W80" s="2"/>
      <c r="X80" s="6">
        <f t="shared" si="40"/>
        <v>72.090000000000146</v>
      </c>
      <c r="Y80" s="2"/>
      <c r="Z80" s="7">
        <f t="shared" si="41"/>
        <v>1.1839713048319652E-2</v>
      </c>
    </row>
    <row r="81" spans="1:26" s="25" customFormat="1" outlineLevel="1" collapsed="1" x14ac:dyDescent="0.25">
      <c r="A81" s="26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SUM(OSRRefD22_5x_0)</f>
        <v>0</v>
      </c>
      <c r="E81" s="1"/>
      <c r="F81" s="5">
        <f t="shared" si="34"/>
        <v>0</v>
      </c>
      <c r="G81" s="1"/>
      <c r="H81" s="1">
        <f>SUM(OSRRefH22_5x_0)</f>
        <v>2787.8</v>
      </c>
      <c r="I81" s="1"/>
      <c r="J81" s="5">
        <f t="shared" si="35"/>
        <v>7.3839989341698942E-2</v>
      </c>
      <c r="K81" s="1"/>
      <c r="L81" s="1">
        <f t="shared" si="36"/>
        <v>-2787.8</v>
      </c>
      <c r="M81" s="1"/>
      <c r="N81" s="5">
        <f t="shared" si="37"/>
        <v>-1</v>
      </c>
      <c r="O81" s="13"/>
      <c r="P81" s="1">
        <f>SUM(OSRRefP22_5x_0)</f>
        <v>68571.64</v>
      </c>
      <c r="Q81" s="1"/>
      <c r="R81" s="5">
        <f t="shared" si="38"/>
        <v>0.15952796671009903</v>
      </c>
      <c r="S81" s="1"/>
      <c r="T81" s="1">
        <f>SUM(OSRRefT22_5x_0)</f>
        <v>39084.74</v>
      </c>
      <c r="U81" s="1"/>
      <c r="V81" s="5">
        <f t="shared" si="39"/>
        <v>9.6647409260992648E-2</v>
      </c>
      <c r="W81" s="1"/>
      <c r="X81" s="1">
        <f t="shared" si="40"/>
        <v>29486.9</v>
      </c>
      <c r="Y81" s="1"/>
      <c r="Z81" s="5">
        <f t="shared" si="41"/>
        <v>0.75443510689849802</v>
      </c>
    </row>
    <row r="82" spans="1:26" s="24" customFormat="1" hidden="1" outlineLevel="2" x14ac:dyDescent="0.25">
      <c r="A82" s="27"/>
      <c r="B82" s="11" t="str">
        <f>CONCATENATE("          ", "6382", " - ", "DISCOUNTS/MARK DOWNS")</f>
        <v xml:space="preserve">          6382 - DISCOUNTS/MARK DOWNS</v>
      </c>
      <c r="C82" s="11"/>
      <c r="D82" s="6"/>
      <c r="E82" s="2"/>
      <c r="F82" s="7">
        <f t="shared" si="34"/>
        <v>0</v>
      </c>
      <c r="G82" s="2"/>
      <c r="H82" s="6">
        <v>2787.8</v>
      </c>
      <c r="I82" s="2"/>
      <c r="J82" s="7">
        <f t="shared" si="35"/>
        <v>7.3839989341698942E-2</v>
      </c>
      <c r="K82" s="2"/>
      <c r="L82" s="6">
        <f t="shared" si="36"/>
        <v>-2787.8</v>
      </c>
      <c r="M82" s="2"/>
      <c r="N82" s="7">
        <f t="shared" si="37"/>
        <v>-1</v>
      </c>
      <c r="O82" s="11"/>
      <c r="P82" s="6">
        <v>68571.64</v>
      </c>
      <c r="Q82" s="2"/>
      <c r="R82" s="7">
        <f t="shared" si="38"/>
        <v>0.15952796671009903</v>
      </c>
      <c r="S82" s="2"/>
      <c r="T82" s="6">
        <v>39084.74</v>
      </c>
      <c r="U82" s="2"/>
      <c r="V82" s="7">
        <f t="shared" si="39"/>
        <v>9.6647409260992648E-2</v>
      </c>
      <c r="W82" s="2"/>
      <c r="X82" s="6">
        <f t="shared" si="40"/>
        <v>29486.9</v>
      </c>
      <c r="Y82" s="2"/>
      <c r="Z82" s="7">
        <f t="shared" si="41"/>
        <v>0.75443510689849802</v>
      </c>
    </row>
    <row r="83" spans="1:26" s="25" customFormat="1" outlineLevel="1" collapsed="1" x14ac:dyDescent="0.25">
      <c r="A83" s="26"/>
      <c r="B83" s="13" t="str">
        <f>CONCATENATE("     ","Donations                                         ")</f>
        <v xml:space="preserve">     Donations                                         </v>
      </c>
      <c r="C83" s="13"/>
      <c r="D83" s="1">
        <f>SUM(OSRRefD22_6x_0)</f>
        <v>0</v>
      </c>
      <c r="E83" s="1"/>
      <c r="F83" s="5">
        <f t="shared" si="34"/>
        <v>0</v>
      </c>
      <c r="G83" s="1"/>
      <c r="H83" s="1">
        <f>SUM(OSRRefH22_6x_0)</f>
        <v>0</v>
      </c>
      <c r="I83" s="1"/>
      <c r="J83" s="5">
        <f t="shared" si="35"/>
        <v>0</v>
      </c>
      <c r="K83" s="1"/>
      <c r="L83" s="1">
        <f t="shared" si="36"/>
        <v>0</v>
      </c>
      <c r="M83" s="1"/>
      <c r="N83" s="5">
        <f t="shared" si="37"/>
        <v>0</v>
      </c>
      <c r="O83" s="13"/>
      <c r="P83" s="1">
        <f>SUM(OSRRefP22_6x_0)</f>
        <v>0</v>
      </c>
      <c r="Q83" s="1"/>
      <c r="R83" s="5">
        <f t="shared" si="38"/>
        <v>0</v>
      </c>
      <c r="S83" s="1"/>
      <c r="T83" s="1">
        <f>SUM(OSRRefT22_6x_0)</f>
        <v>141.53</v>
      </c>
      <c r="U83" s="1"/>
      <c r="V83" s="5">
        <f t="shared" si="39"/>
        <v>3.4997054688628578E-4</v>
      </c>
      <c r="W83" s="1"/>
      <c r="X83" s="1">
        <f t="shared" si="40"/>
        <v>-141.53</v>
      </c>
      <c r="Y83" s="1"/>
      <c r="Z83" s="5">
        <f t="shared" si="41"/>
        <v>-1</v>
      </c>
    </row>
    <row r="84" spans="1:26" s="24" customFormat="1" hidden="1" outlineLevel="2" x14ac:dyDescent="0.25">
      <c r="A84" s="27"/>
      <c r="B84" s="11" t="str">
        <f>CONCATENATE("          ", "6399", " - ", "DONATION-ON CAMPUS")</f>
        <v xml:space="preserve">          6399 - DONATION-ON CAMPUS</v>
      </c>
      <c r="C84" s="11"/>
      <c r="D84" s="6"/>
      <c r="E84" s="2"/>
      <c r="F84" s="7">
        <f t="shared" si="34"/>
        <v>0</v>
      </c>
      <c r="G84" s="2"/>
      <c r="H84" s="6"/>
      <c r="I84" s="2"/>
      <c r="J84" s="7">
        <f t="shared" si="35"/>
        <v>0</v>
      </c>
      <c r="K84" s="2"/>
      <c r="L84" s="6">
        <f t="shared" si="36"/>
        <v>0</v>
      </c>
      <c r="M84" s="2"/>
      <c r="N84" s="7">
        <f t="shared" si="37"/>
        <v>0</v>
      </c>
      <c r="O84" s="11"/>
      <c r="P84" s="6"/>
      <c r="Q84" s="2"/>
      <c r="R84" s="7">
        <f t="shared" si="38"/>
        <v>0</v>
      </c>
      <c r="S84" s="2"/>
      <c r="T84" s="6">
        <v>141.53</v>
      </c>
      <c r="U84" s="2"/>
      <c r="V84" s="7">
        <f t="shared" si="39"/>
        <v>3.4997054688628578E-4</v>
      </c>
      <c r="W84" s="2"/>
      <c r="X84" s="6">
        <f t="shared" si="40"/>
        <v>-141.53</v>
      </c>
      <c r="Y84" s="2"/>
      <c r="Z84" s="7">
        <f t="shared" si="41"/>
        <v>-1</v>
      </c>
    </row>
    <row r="85" spans="1:26" s="25" customFormat="1" outlineLevel="1" collapsed="1" x14ac:dyDescent="0.25">
      <c r="A85" s="26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SUM(OSRRefD22_7x_0)</f>
        <v>0</v>
      </c>
      <c r="E85" s="1"/>
      <c r="F85" s="5">
        <f t="shared" si="34"/>
        <v>0</v>
      </c>
      <c r="G85" s="1"/>
      <c r="H85" s="1">
        <f>SUM(OSRRefH22_7x_0)</f>
        <v>0</v>
      </c>
      <c r="I85" s="1"/>
      <c r="J85" s="5">
        <f t="shared" si="35"/>
        <v>0</v>
      </c>
      <c r="K85" s="1"/>
      <c r="L85" s="1">
        <f t="shared" si="36"/>
        <v>0</v>
      </c>
      <c r="M85" s="1"/>
      <c r="N85" s="5">
        <f t="shared" si="37"/>
        <v>0</v>
      </c>
      <c r="O85" s="13"/>
      <c r="P85" s="1">
        <f>SUM(OSRRefP22_7x_0)</f>
        <v>120.93</v>
      </c>
      <c r="Q85" s="1"/>
      <c r="R85" s="5">
        <f t="shared" si="38"/>
        <v>2.8133667233643932E-4</v>
      </c>
      <c r="S85" s="1"/>
      <c r="T85" s="1">
        <f>SUM(OSRRefT22_7x_0)</f>
        <v>75.53</v>
      </c>
      <c r="U85" s="1"/>
      <c r="V85" s="5">
        <f t="shared" si="39"/>
        <v>1.867680025882934E-4</v>
      </c>
      <c r="W85" s="1"/>
      <c r="X85" s="1">
        <f t="shared" si="40"/>
        <v>45.400000000000006</v>
      </c>
      <c r="Y85" s="1"/>
      <c r="Z85" s="5">
        <f t="shared" si="41"/>
        <v>0.60108566132662522</v>
      </c>
    </row>
    <row r="86" spans="1:26" s="24" customFormat="1" hidden="1" outlineLevel="2" x14ac:dyDescent="0.25">
      <c r="A86" s="27"/>
      <c r="B86" s="11" t="str">
        <f>CONCATENATE("          ", "6277", " - ", "EMPLOYEE APPRECIATION")</f>
        <v xml:space="preserve">          6277 - EMPLOYEE APPRECIATION</v>
      </c>
      <c r="C86" s="11"/>
      <c r="D86" s="6"/>
      <c r="E86" s="2"/>
      <c r="F86" s="7">
        <f t="shared" si="34"/>
        <v>0</v>
      </c>
      <c r="G86" s="2"/>
      <c r="H86" s="6"/>
      <c r="I86" s="2"/>
      <c r="J86" s="7">
        <f t="shared" si="35"/>
        <v>0</v>
      </c>
      <c r="K86" s="2"/>
      <c r="L86" s="6">
        <f t="shared" si="36"/>
        <v>0</v>
      </c>
      <c r="M86" s="2"/>
      <c r="N86" s="7">
        <f t="shared" si="37"/>
        <v>0</v>
      </c>
      <c r="O86" s="11"/>
      <c r="P86" s="6">
        <v>120.93</v>
      </c>
      <c r="Q86" s="2"/>
      <c r="R86" s="7">
        <f t="shared" si="38"/>
        <v>2.8133667233643932E-4</v>
      </c>
      <c r="S86" s="2"/>
      <c r="T86" s="6">
        <v>75.53</v>
      </c>
      <c r="U86" s="2"/>
      <c r="V86" s="7">
        <f t="shared" si="39"/>
        <v>1.867680025882934E-4</v>
      </c>
      <c r="W86" s="2"/>
      <c r="X86" s="6">
        <f t="shared" si="40"/>
        <v>45.400000000000006</v>
      </c>
      <c r="Y86" s="2"/>
      <c r="Z86" s="7">
        <f t="shared" si="41"/>
        <v>0.60108566132662522</v>
      </c>
    </row>
    <row r="87" spans="1:26" s="25" customFormat="1" outlineLevel="1" collapsed="1" x14ac:dyDescent="0.25">
      <c r="A87" s="26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SUM(OSRRefD22_8x_0)</f>
        <v>0</v>
      </c>
      <c r="E87" s="1"/>
      <c r="F87" s="5">
        <f t="shared" si="34"/>
        <v>0</v>
      </c>
      <c r="G87" s="1"/>
      <c r="H87" s="1">
        <f>SUM(OSRRefH22_8x_0)</f>
        <v>0</v>
      </c>
      <c r="I87" s="1"/>
      <c r="J87" s="5">
        <f t="shared" si="35"/>
        <v>0</v>
      </c>
      <c r="K87" s="1"/>
      <c r="L87" s="1">
        <f t="shared" si="36"/>
        <v>0</v>
      </c>
      <c r="M87" s="1"/>
      <c r="N87" s="5">
        <f t="shared" si="37"/>
        <v>0</v>
      </c>
      <c r="O87" s="13"/>
      <c r="P87" s="1">
        <f>SUM(OSRRefP22_8x_0)</f>
        <v>1271.44</v>
      </c>
      <c r="Q87" s="1"/>
      <c r="R87" s="5">
        <f t="shared" si="38"/>
        <v>2.9579318504543324E-3</v>
      </c>
      <c r="S87" s="1"/>
      <c r="T87" s="1">
        <f>SUM(OSRRefT22_8x_0)</f>
        <v>1494.38</v>
      </c>
      <c r="U87" s="1"/>
      <c r="V87" s="5">
        <f t="shared" si="39"/>
        <v>3.6952517901217255E-3</v>
      </c>
      <c r="W87" s="1"/>
      <c r="X87" s="1">
        <f t="shared" si="40"/>
        <v>-222.94000000000005</v>
      </c>
      <c r="Y87" s="1"/>
      <c r="Z87" s="5">
        <f t="shared" si="41"/>
        <v>-0.14918561543917883</v>
      </c>
    </row>
    <row r="88" spans="1:26" s="24" customFormat="1" hidden="1" outlineLevel="2" x14ac:dyDescent="0.25">
      <c r="A88" s="27"/>
      <c r="B88" s="11" t="str">
        <f>CONCATENATE("          ", "6279", " - ", "GENERAL EXPENSE")</f>
        <v xml:space="preserve">          6279 - GENERAL EXPENSE</v>
      </c>
      <c r="C88" s="11"/>
      <c r="D88" s="6"/>
      <c r="E88" s="2"/>
      <c r="F88" s="7">
        <f t="shared" si="34"/>
        <v>0</v>
      </c>
      <c r="G88" s="2"/>
      <c r="H88" s="6"/>
      <c r="I88" s="2"/>
      <c r="J88" s="7">
        <f t="shared" si="35"/>
        <v>0</v>
      </c>
      <c r="K88" s="2"/>
      <c r="L88" s="6">
        <f t="shared" si="36"/>
        <v>0</v>
      </c>
      <c r="M88" s="2"/>
      <c r="N88" s="7">
        <f t="shared" si="37"/>
        <v>0</v>
      </c>
      <c r="O88" s="11"/>
      <c r="P88" s="6">
        <v>1271.44</v>
      </c>
      <c r="Q88" s="2"/>
      <c r="R88" s="7">
        <f t="shared" si="38"/>
        <v>2.9579318504543324E-3</v>
      </c>
      <c r="S88" s="2"/>
      <c r="T88" s="6">
        <v>1494.38</v>
      </c>
      <c r="U88" s="2"/>
      <c r="V88" s="7">
        <f t="shared" si="39"/>
        <v>3.6952517901217255E-3</v>
      </c>
      <c r="W88" s="2"/>
      <c r="X88" s="6">
        <f t="shared" si="40"/>
        <v>-222.94000000000005</v>
      </c>
      <c r="Y88" s="2"/>
      <c r="Z88" s="7">
        <f t="shared" si="41"/>
        <v>-0.14918561543917883</v>
      </c>
    </row>
    <row r="89" spans="1:26" s="25" customFormat="1" outlineLevel="1" collapsed="1" x14ac:dyDescent="0.25">
      <c r="A89" s="26"/>
      <c r="B89" s="13" t="str">
        <f>CONCATENATE("     ","Insurance                                         ")</f>
        <v xml:space="preserve">     Insurance                                         </v>
      </c>
      <c r="C89" s="13"/>
      <c r="D89" s="1">
        <f>SUM(OSRRefD22_9x_0)</f>
        <v>161.18</v>
      </c>
      <c r="E89" s="1"/>
      <c r="F89" s="5">
        <f t="shared" si="34"/>
        <v>0</v>
      </c>
      <c r="G89" s="1"/>
      <c r="H89" s="1">
        <f>SUM(OSRRefH22_9x_0)</f>
        <v>151.85</v>
      </c>
      <c r="I89" s="1"/>
      <c r="J89" s="5">
        <f t="shared" si="35"/>
        <v>4.0220253897471064E-3</v>
      </c>
      <c r="K89" s="1"/>
      <c r="L89" s="1">
        <f t="shared" si="36"/>
        <v>9.3300000000000125</v>
      </c>
      <c r="M89" s="1"/>
      <c r="N89" s="5">
        <f t="shared" si="37"/>
        <v>6.1442212709911181E-2</v>
      </c>
      <c r="O89" s="13"/>
      <c r="P89" s="1">
        <f>SUM(OSRRefP22_9x_0)</f>
        <v>1611.8</v>
      </c>
      <c r="Q89" s="1"/>
      <c r="R89" s="5">
        <f t="shared" si="38"/>
        <v>3.7497597657477288E-3</v>
      </c>
      <c r="S89" s="1"/>
      <c r="T89" s="1">
        <f>SUM(OSRRefT22_9x_0)</f>
        <v>1247.55</v>
      </c>
      <c r="U89" s="1"/>
      <c r="V89" s="5">
        <f t="shared" si="39"/>
        <v>3.0848990021054607E-3</v>
      </c>
      <c r="W89" s="1"/>
      <c r="X89" s="1">
        <f t="shared" si="40"/>
        <v>364.25</v>
      </c>
      <c r="Y89" s="1"/>
      <c r="Z89" s="5">
        <f t="shared" si="41"/>
        <v>0.2919722656406557</v>
      </c>
    </row>
    <row r="90" spans="1:26" s="24" customFormat="1" hidden="1" outlineLevel="2" x14ac:dyDescent="0.25">
      <c r="A90" s="27"/>
      <c r="B90" s="11" t="str">
        <f>CONCATENATE("          ", "6314", " - ", "LIABILITY INSURANCE")</f>
        <v xml:space="preserve">          6314 - LIABILITY INSURANCE</v>
      </c>
      <c r="C90" s="11"/>
      <c r="D90" s="6">
        <v>161.18</v>
      </c>
      <c r="E90" s="2"/>
      <c r="F90" s="7">
        <f t="shared" si="34"/>
        <v>0</v>
      </c>
      <c r="G90" s="2"/>
      <c r="H90" s="6">
        <v>151.85</v>
      </c>
      <c r="I90" s="2"/>
      <c r="J90" s="7">
        <f t="shared" si="35"/>
        <v>4.0220253897471064E-3</v>
      </c>
      <c r="K90" s="2"/>
      <c r="L90" s="6">
        <f t="shared" si="36"/>
        <v>9.3300000000000125</v>
      </c>
      <c r="M90" s="2"/>
      <c r="N90" s="7">
        <f t="shared" si="37"/>
        <v>6.1442212709911181E-2</v>
      </c>
      <c r="O90" s="11"/>
      <c r="P90" s="6">
        <v>1611.8</v>
      </c>
      <c r="Q90" s="2"/>
      <c r="R90" s="7">
        <f t="shared" si="38"/>
        <v>3.7497597657477288E-3</v>
      </c>
      <c r="S90" s="2"/>
      <c r="T90" s="6">
        <v>1247.55</v>
      </c>
      <c r="U90" s="2"/>
      <c r="V90" s="7">
        <f t="shared" si="39"/>
        <v>3.0848990021054607E-3</v>
      </c>
      <c r="W90" s="2"/>
      <c r="X90" s="6">
        <f t="shared" si="40"/>
        <v>364.25</v>
      </c>
      <c r="Y90" s="2"/>
      <c r="Z90" s="7">
        <f t="shared" si="41"/>
        <v>0.2919722656406557</v>
      </c>
    </row>
    <row r="91" spans="1:26" s="25" customFormat="1" outlineLevel="1" collapsed="1" x14ac:dyDescent="0.25">
      <c r="A91" s="26"/>
      <c r="B91" s="13" t="str">
        <f>CONCATENATE("     ","Inventory Adjustment                              ")</f>
        <v xml:space="preserve">     Inventory Adjustment                              </v>
      </c>
      <c r="C91" s="13"/>
      <c r="D91" s="1">
        <f>SUM(OSRRefD22_10x_0)</f>
        <v>600</v>
      </c>
      <c r="E91" s="1"/>
      <c r="F91" s="5">
        <f t="shared" si="34"/>
        <v>0</v>
      </c>
      <c r="G91" s="1"/>
      <c r="H91" s="1">
        <f>SUM(OSRRefH22_10x_0)</f>
        <v>600</v>
      </c>
      <c r="I91" s="1"/>
      <c r="J91" s="5">
        <f t="shared" si="35"/>
        <v>1.5892099004598377E-2</v>
      </c>
      <c r="K91" s="1"/>
      <c r="L91" s="1">
        <f t="shared" si="36"/>
        <v>0</v>
      </c>
      <c r="M91" s="1"/>
      <c r="N91" s="5">
        <f t="shared" si="37"/>
        <v>0</v>
      </c>
      <c r="O91" s="13"/>
      <c r="P91" s="1">
        <f>SUM(OSRRefP22_10x_0)</f>
        <v>3600</v>
      </c>
      <c r="Q91" s="1"/>
      <c r="R91" s="5">
        <f t="shared" si="38"/>
        <v>8.3751924287702104E-3</v>
      </c>
      <c r="S91" s="1"/>
      <c r="T91" s="1">
        <f>SUM(OSRRefT22_10x_0)</f>
        <v>3600</v>
      </c>
      <c r="U91" s="1"/>
      <c r="V91" s="5">
        <f t="shared" si="39"/>
        <v>8.9019569617086753E-3</v>
      </c>
      <c r="W91" s="1"/>
      <c r="X91" s="1">
        <f t="shared" si="40"/>
        <v>0</v>
      </c>
      <c r="Y91" s="1"/>
      <c r="Z91" s="5">
        <f t="shared" si="41"/>
        <v>0</v>
      </c>
    </row>
    <row r="92" spans="1:26" s="24" customFormat="1" hidden="1" outlineLevel="2" x14ac:dyDescent="0.25">
      <c r="A92" s="27"/>
      <c r="B92" s="11" t="str">
        <f>CONCATENATE("          ", "6408", " - ", "INVENTORY ADJUSTMENT")</f>
        <v xml:space="preserve">          6408 - INVENTORY ADJUSTMENT</v>
      </c>
      <c r="C92" s="11"/>
      <c r="D92" s="6">
        <v>600</v>
      </c>
      <c r="E92" s="2"/>
      <c r="F92" s="7">
        <f t="shared" si="34"/>
        <v>0</v>
      </c>
      <c r="G92" s="2"/>
      <c r="H92" s="6">
        <v>600</v>
      </c>
      <c r="I92" s="2"/>
      <c r="J92" s="7">
        <f t="shared" si="35"/>
        <v>1.5892099004598377E-2</v>
      </c>
      <c r="K92" s="2"/>
      <c r="L92" s="6">
        <f t="shared" si="36"/>
        <v>0</v>
      </c>
      <c r="M92" s="2"/>
      <c r="N92" s="7">
        <f t="shared" si="37"/>
        <v>0</v>
      </c>
      <c r="O92" s="11"/>
      <c r="P92" s="6">
        <v>3600</v>
      </c>
      <c r="Q92" s="2"/>
      <c r="R92" s="7">
        <f t="shared" si="38"/>
        <v>8.3751924287702104E-3</v>
      </c>
      <c r="S92" s="2"/>
      <c r="T92" s="6">
        <v>3600</v>
      </c>
      <c r="U92" s="2"/>
      <c r="V92" s="7">
        <f t="shared" si="39"/>
        <v>8.9019569617086753E-3</v>
      </c>
      <c r="W92" s="2"/>
      <c r="X92" s="6">
        <f t="shared" si="40"/>
        <v>0</v>
      </c>
      <c r="Y92" s="2"/>
      <c r="Z92" s="7">
        <f t="shared" si="41"/>
        <v>0</v>
      </c>
    </row>
    <row r="93" spans="1:26" s="25" customFormat="1" outlineLevel="1" collapsed="1" x14ac:dyDescent="0.25">
      <c r="A93" s="26"/>
      <c r="B93" s="13" t="str">
        <f>CONCATENATE("     ","Professional Services                             ")</f>
        <v xml:space="preserve">     Professional Services                             </v>
      </c>
      <c r="C93" s="13"/>
      <c r="D93" s="1">
        <f>SUM(OSRRefD22_11x_0)</f>
        <v>0</v>
      </c>
      <c r="E93" s="1"/>
      <c r="F93" s="5">
        <f t="shared" si="34"/>
        <v>0</v>
      </c>
      <c r="G93" s="1"/>
      <c r="H93" s="1">
        <f>SUM(OSRRefH22_11x_0)</f>
        <v>0</v>
      </c>
      <c r="I93" s="1"/>
      <c r="J93" s="5">
        <f t="shared" si="35"/>
        <v>0</v>
      </c>
      <c r="K93" s="1"/>
      <c r="L93" s="1">
        <f t="shared" si="36"/>
        <v>0</v>
      </c>
      <c r="M93" s="1"/>
      <c r="N93" s="5">
        <f t="shared" si="37"/>
        <v>0</v>
      </c>
      <c r="O93" s="13"/>
      <c r="P93" s="1">
        <f>SUM(OSRRefP22_11x_0)</f>
        <v>750</v>
      </c>
      <c r="Q93" s="1"/>
      <c r="R93" s="5">
        <f t="shared" si="38"/>
        <v>1.7448317559937937E-3</v>
      </c>
      <c r="S93" s="1"/>
      <c r="T93" s="1">
        <f>SUM(OSRRefT22_11x_0)</f>
        <v>750</v>
      </c>
      <c r="U93" s="1"/>
      <c r="V93" s="5">
        <f t="shared" si="39"/>
        <v>1.8545743670226407E-3</v>
      </c>
      <c r="W93" s="1"/>
      <c r="X93" s="1">
        <f t="shared" si="40"/>
        <v>0</v>
      </c>
      <c r="Y93" s="1"/>
      <c r="Z93" s="5">
        <f t="shared" si="41"/>
        <v>0</v>
      </c>
    </row>
    <row r="94" spans="1:26" s="24" customFormat="1" hidden="1" outlineLevel="2" x14ac:dyDescent="0.25">
      <c r="A94" s="27"/>
      <c r="B94" s="11" t="str">
        <f>CONCATENATE("          ", "6336", " - ", "PROFESSIONAL SERVICES")</f>
        <v xml:space="preserve">          6336 - PROFESSIONAL SERVICES</v>
      </c>
      <c r="C94" s="11"/>
      <c r="D94" s="6"/>
      <c r="E94" s="2"/>
      <c r="F94" s="7">
        <f t="shared" si="34"/>
        <v>0</v>
      </c>
      <c r="G94" s="2"/>
      <c r="H94" s="6"/>
      <c r="I94" s="2"/>
      <c r="J94" s="7">
        <f t="shared" si="35"/>
        <v>0</v>
      </c>
      <c r="K94" s="2"/>
      <c r="L94" s="6">
        <f t="shared" si="36"/>
        <v>0</v>
      </c>
      <c r="M94" s="2"/>
      <c r="N94" s="7">
        <f t="shared" si="37"/>
        <v>0</v>
      </c>
      <c r="O94" s="11"/>
      <c r="P94" s="6">
        <v>750</v>
      </c>
      <c r="Q94" s="2"/>
      <c r="R94" s="7">
        <f t="shared" si="38"/>
        <v>1.7448317559937937E-3</v>
      </c>
      <c r="S94" s="2"/>
      <c r="T94" s="6">
        <v>750</v>
      </c>
      <c r="U94" s="2"/>
      <c r="V94" s="7">
        <f t="shared" si="39"/>
        <v>1.8545743670226407E-3</v>
      </c>
      <c r="W94" s="2"/>
      <c r="X94" s="6">
        <f t="shared" si="40"/>
        <v>0</v>
      </c>
      <c r="Y94" s="2"/>
      <c r="Z94" s="7">
        <f t="shared" si="41"/>
        <v>0</v>
      </c>
    </row>
    <row r="95" spans="1:26" s="25" customFormat="1" outlineLevel="1" collapsed="1" x14ac:dyDescent="0.25">
      <c r="A95" s="26"/>
      <c r="B95" s="13" t="str">
        <f>CONCATENATE("     ","Rent                                              ")</f>
        <v xml:space="preserve">     Rent                                              </v>
      </c>
      <c r="C95" s="13"/>
      <c r="D95" s="1">
        <f>SUM(OSRRefD22_12x_0)</f>
        <v>6900</v>
      </c>
      <c r="E95" s="1"/>
      <c r="F95" s="5">
        <f t="shared" si="34"/>
        <v>0</v>
      </c>
      <c r="G95" s="1"/>
      <c r="H95" s="1">
        <f>SUM(OSRRefH22_12x_0)</f>
        <v>6900</v>
      </c>
      <c r="I95" s="1"/>
      <c r="J95" s="5">
        <f t="shared" si="35"/>
        <v>0.18275913855288137</v>
      </c>
      <c r="K95" s="1"/>
      <c r="L95" s="1">
        <f t="shared" si="36"/>
        <v>0</v>
      </c>
      <c r="M95" s="1"/>
      <c r="N95" s="5">
        <f t="shared" si="37"/>
        <v>0</v>
      </c>
      <c r="O95" s="13"/>
      <c r="P95" s="1">
        <f>SUM(OSRRefP22_12x_0)</f>
        <v>69000</v>
      </c>
      <c r="Q95" s="1"/>
      <c r="R95" s="5">
        <f t="shared" si="38"/>
        <v>0.16052452155142902</v>
      </c>
      <c r="S95" s="1"/>
      <c r="T95" s="1">
        <f>SUM(OSRRefT22_12x_0)</f>
        <v>69000</v>
      </c>
      <c r="U95" s="1"/>
      <c r="V95" s="5">
        <f t="shared" si="39"/>
        <v>0.17062084176608294</v>
      </c>
      <c r="W95" s="1"/>
      <c r="X95" s="1">
        <f t="shared" si="40"/>
        <v>0</v>
      </c>
      <c r="Y95" s="1"/>
      <c r="Z95" s="5">
        <f t="shared" si="41"/>
        <v>0</v>
      </c>
    </row>
    <row r="96" spans="1:26" s="24" customFormat="1" hidden="1" outlineLevel="2" x14ac:dyDescent="0.25">
      <c r="A96" s="27"/>
      <c r="B96" s="11" t="str">
        <f>CONCATENATE("          ", "6273", " - ", "RENT")</f>
        <v xml:space="preserve">          6273 - RENT</v>
      </c>
      <c r="C96" s="11"/>
      <c r="D96" s="6">
        <v>6900</v>
      </c>
      <c r="E96" s="2"/>
      <c r="F96" s="7">
        <f t="shared" si="34"/>
        <v>0</v>
      </c>
      <c r="G96" s="2"/>
      <c r="H96" s="6">
        <v>6900</v>
      </c>
      <c r="I96" s="2"/>
      <c r="J96" s="7">
        <f t="shared" si="35"/>
        <v>0.18275913855288137</v>
      </c>
      <c r="K96" s="2"/>
      <c r="L96" s="6">
        <f t="shared" si="36"/>
        <v>0</v>
      </c>
      <c r="M96" s="2"/>
      <c r="N96" s="7">
        <f t="shared" si="37"/>
        <v>0</v>
      </c>
      <c r="O96" s="11"/>
      <c r="P96" s="6">
        <v>69000</v>
      </c>
      <c r="Q96" s="2"/>
      <c r="R96" s="7">
        <f t="shared" si="38"/>
        <v>0.16052452155142902</v>
      </c>
      <c r="S96" s="2"/>
      <c r="T96" s="6">
        <v>69000</v>
      </c>
      <c r="U96" s="2"/>
      <c r="V96" s="7">
        <f t="shared" si="39"/>
        <v>0.17062084176608294</v>
      </c>
      <c r="W96" s="2"/>
      <c r="X96" s="6">
        <f t="shared" si="40"/>
        <v>0</v>
      </c>
      <c r="Y96" s="2"/>
      <c r="Z96" s="7">
        <f t="shared" si="41"/>
        <v>0</v>
      </c>
    </row>
    <row r="97" spans="1:26" s="25" customFormat="1" outlineLevel="1" collapsed="1" x14ac:dyDescent="0.25">
      <c r="A97" s="26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SUM(OSRRefD22_13x_0)</f>
        <v>0</v>
      </c>
      <c r="E97" s="1"/>
      <c r="F97" s="5">
        <f t="shared" si="34"/>
        <v>0</v>
      </c>
      <c r="G97" s="1"/>
      <c r="H97" s="1">
        <f>SUM(OSRRefH22_13x_0)</f>
        <v>0</v>
      </c>
      <c r="I97" s="1"/>
      <c r="J97" s="5">
        <f t="shared" si="35"/>
        <v>0</v>
      </c>
      <c r="K97" s="1"/>
      <c r="L97" s="1">
        <f t="shared" si="36"/>
        <v>0</v>
      </c>
      <c r="M97" s="1"/>
      <c r="N97" s="5">
        <f t="shared" si="37"/>
        <v>0</v>
      </c>
      <c r="O97" s="13"/>
      <c r="P97" s="1">
        <f>SUM(OSRRefP22_13x_0)</f>
        <v>323.98</v>
      </c>
      <c r="Q97" s="1"/>
      <c r="R97" s="5">
        <f t="shared" si="38"/>
        <v>7.5372078974249247E-4</v>
      </c>
      <c r="S97" s="1"/>
      <c r="T97" s="1">
        <f>SUM(OSRRefT22_13x_0)</f>
        <v>654.57999999999993</v>
      </c>
      <c r="U97" s="1"/>
      <c r="V97" s="5">
        <f t="shared" si="39"/>
        <v>1.6186230522209067E-3</v>
      </c>
      <c r="W97" s="1"/>
      <c r="X97" s="1">
        <f t="shared" si="40"/>
        <v>-330.59999999999991</v>
      </c>
      <c r="Y97" s="1"/>
      <c r="Z97" s="5">
        <f t="shared" si="41"/>
        <v>-0.50505667756423955</v>
      </c>
    </row>
    <row r="98" spans="1:26" s="24" customFormat="1" hidden="1" outlineLevel="2" x14ac:dyDescent="0.25">
      <c r="A98" s="27"/>
      <c r="B98" s="11" t="str">
        <f>CONCATENATE("          ", "6373", " - ", "MAINTENANCE CONTRACTS")</f>
        <v xml:space="preserve">          6373 - MAINTENANCE CONTRACTS</v>
      </c>
      <c r="C98" s="11"/>
      <c r="D98" s="6"/>
      <c r="E98" s="2"/>
      <c r="F98" s="7">
        <f t="shared" si="34"/>
        <v>0</v>
      </c>
      <c r="G98" s="2"/>
      <c r="H98" s="6"/>
      <c r="I98" s="2"/>
      <c r="J98" s="7">
        <f t="shared" si="35"/>
        <v>0</v>
      </c>
      <c r="K98" s="2"/>
      <c r="L98" s="6">
        <f t="shared" si="36"/>
        <v>0</v>
      </c>
      <c r="M98" s="2"/>
      <c r="N98" s="7">
        <f t="shared" si="37"/>
        <v>0</v>
      </c>
      <c r="O98" s="11"/>
      <c r="P98" s="6">
        <v>141.44999999999999</v>
      </c>
      <c r="Q98" s="2"/>
      <c r="R98" s="7">
        <f t="shared" si="38"/>
        <v>3.2907526918042948E-4</v>
      </c>
      <c r="S98" s="2"/>
      <c r="T98" s="6">
        <v>134.94</v>
      </c>
      <c r="U98" s="2"/>
      <c r="V98" s="7">
        <f t="shared" si="39"/>
        <v>3.3367502011471352E-4</v>
      </c>
      <c r="W98" s="2"/>
      <c r="X98" s="6">
        <f t="shared" si="40"/>
        <v>6.5099999999999909</v>
      </c>
      <c r="Y98" s="2"/>
      <c r="Z98" s="7">
        <f t="shared" si="41"/>
        <v>4.8243663850600201E-2</v>
      </c>
    </row>
    <row r="99" spans="1:26" s="24" customFormat="1" hidden="1" outlineLevel="2" x14ac:dyDescent="0.25">
      <c r="A99" s="27"/>
      <c r="B99" s="11" t="str">
        <f>CONCATENATE("          ", "6375", " - ", "OUTSIDE REPAIRS &amp; MAINTENANCE")</f>
        <v xml:space="preserve">          6375 - OUTSIDE REPAIRS &amp; MAINTENANCE</v>
      </c>
      <c r="C99" s="11"/>
      <c r="D99" s="6"/>
      <c r="E99" s="2"/>
      <c r="F99" s="7">
        <f t="shared" si="34"/>
        <v>0</v>
      </c>
      <c r="G99" s="2"/>
      <c r="H99" s="6"/>
      <c r="I99" s="2"/>
      <c r="J99" s="7">
        <f t="shared" si="35"/>
        <v>0</v>
      </c>
      <c r="K99" s="2"/>
      <c r="L99" s="6">
        <f t="shared" si="36"/>
        <v>0</v>
      </c>
      <c r="M99" s="2"/>
      <c r="N99" s="7">
        <f t="shared" si="37"/>
        <v>0</v>
      </c>
      <c r="O99" s="11"/>
      <c r="P99" s="6">
        <v>182.53</v>
      </c>
      <c r="Q99" s="2"/>
      <c r="R99" s="7">
        <f t="shared" si="38"/>
        <v>4.2464552056206288E-4</v>
      </c>
      <c r="S99" s="2"/>
      <c r="T99" s="6">
        <v>519.64</v>
      </c>
      <c r="U99" s="2"/>
      <c r="V99" s="7">
        <f t="shared" si="39"/>
        <v>1.2849480321061933E-3</v>
      </c>
      <c r="W99" s="2"/>
      <c r="X99" s="6">
        <f t="shared" si="40"/>
        <v>-337.11</v>
      </c>
      <c r="Y99" s="2"/>
      <c r="Z99" s="7">
        <f t="shared" si="41"/>
        <v>-0.64873758756061894</v>
      </c>
    </row>
    <row r="100" spans="1:26" s="25" customFormat="1" outlineLevel="1" collapsed="1" x14ac:dyDescent="0.25">
      <c r="A100" s="26"/>
      <c r="B100" s="13" t="str">
        <f>CONCATENATE("     ","Services                                          ")</f>
        <v xml:space="preserve">     Services                                          </v>
      </c>
      <c r="C100" s="13"/>
      <c r="D100" s="1">
        <f>SUM(OSRRefD22_14x_0)</f>
        <v>128.72</v>
      </c>
      <c r="E100" s="1"/>
      <c r="F100" s="5">
        <f t="shared" ref="F100:F103" si="42">IF(D$12=0,0,D100/D$12)</f>
        <v>0</v>
      </c>
      <c r="G100" s="1"/>
      <c r="H100" s="1">
        <f>SUM(OSRRefH22_14x_0)</f>
        <v>224.45999999999998</v>
      </c>
      <c r="I100" s="1"/>
      <c r="J100" s="5">
        <f t="shared" ref="J100:J103" si="43">IF(H$12=0,0,H100/H$12)</f>
        <v>5.9452342376202531E-3</v>
      </c>
      <c r="K100" s="1"/>
      <c r="L100" s="1">
        <f t="shared" ref="L100:L103" si="44">+D100-H100</f>
        <v>-95.739999999999981</v>
      </c>
      <c r="M100" s="1"/>
      <c r="N100" s="5">
        <f t="shared" ref="N100:N103" si="45">IF(H100=0,0,L100/H100)</f>
        <v>-0.42653479461819471</v>
      </c>
      <c r="O100" s="13"/>
      <c r="P100" s="1">
        <f>SUM(OSRRefP22_14x_0)</f>
        <v>2760.08</v>
      </c>
      <c r="Q100" s="1"/>
      <c r="R100" s="5">
        <f t="shared" ref="R100:R103" si="46">IF(P$12=0,0,P100/P$12)</f>
        <v>6.4211669774444664E-3</v>
      </c>
      <c r="S100" s="1"/>
      <c r="T100" s="1">
        <f>SUM(OSRRefT22_14x_0)</f>
        <v>2103.3199999999997</v>
      </c>
      <c r="U100" s="1"/>
      <c r="V100" s="5">
        <f t="shared" ref="V100:V103" si="47">IF(T$12=0,0,T100/T$12)</f>
        <v>5.2010178101947468E-3</v>
      </c>
      <c r="W100" s="1"/>
      <c r="X100" s="1">
        <f t="shared" ref="X100:X103" si="48">+P100-T100</f>
        <v>656.76000000000022</v>
      </c>
      <c r="Y100" s="1"/>
      <c r="Z100" s="5">
        <f t="shared" ref="Z100:Z103" si="49">IF(T100=0,0,X100/T100)</f>
        <v>0.312249206017154</v>
      </c>
    </row>
    <row r="101" spans="1:26" s="24" customFormat="1" hidden="1" outlineLevel="2" x14ac:dyDescent="0.25">
      <c r="A101" s="27"/>
      <c r="B101" s="11" t="str">
        <f>CONCATENATE("          ", "6283", " - ", "PLANT SERVICE")</f>
        <v xml:space="preserve">          6283 - PLANT SERVICE</v>
      </c>
      <c r="C101" s="11"/>
      <c r="D101" s="6"/>
      <c r="E101" s="2"/>
      <c r="F101" s="7">
        <f t="shared" si="42"/>
        <v>0</v>
      </c>
      <c r="G101" s="2"/>
      <c r="H101" s="6">
        <v>56</v>
      </c>
      <c r="I101" s="2"/>
      <c r="J101" s="7">
        <f t="shared" si="43"/>
        <v>1.4832625737625153E-3</v>
      </c>
      <c r="K101" s="2"/>
      <c r="L101" s="6">
        <f t="shared" si="44"/>
        <v>-56</v>
      </c>
      <c r="M101" s="2"/>
      <c r="N101" s="7">
        <f t="shared" si="45"/>
        <v>-1</v>
      </c>
      <c r="O101" s="11"/>
      <c r="P101" s="6">
        <v>178.65</v>
      </c>
      <c r="Q101" s="2"/>
      <c r="R101" s="7">
        <f t="shared" si="46"/>
        <v>4.1561892427772166E-4</v>
      </c>
      <c r="S101" s="2"/>
      <c r="T101" s="6">
        <v>560</v>
      </c>
      <c r="U101" s="2"/>
      <c r="V101" s="7">
        <f t="shared" si="47"/>
        <v>1.3847488607102384E-3</v>
      </c>
      <c r="W101" s="2"/>
      <c r="X101" s="6">
        <f t="shared" si="48"/>
        <v>-381.35</v>
      </c>
      <c r="Y101" s="2"/>
      <c r="Z101" s="7">
        <f t="shared" si="49"/>
        <v>-0.68098214285714287</v>
      </c>
    </row>
    <row r="102" spans="1:26" s="24" customFormat="1" hidden="1" outlineLevel="2" x14ac:dyDescent="0.25">
      <c r="A102" s="27"/>
      <c r="B102" s="11" t="str">
        <f>CONCATENATE("          ", "6284", " - ", "TRASH REMOVAL EXPENSE")</f>
        <v xml:space="preserve">          6284 - TRASH REMOVAL EXPENSE</v>
      </c>
      <c r="C102" s="11"/>
      <c r="D102" s="6">
        <v>134.82</v>
      </c>
      <c r="E102" s="2"/>
      <c r="F102" s="7">
        <f t="shared" si="42"/>
        <v>0</v>
      </c>
      <c r="G102" s="2"/>
      <c r="H102" s="6">
        <v>121.46</v>
      </c>
      <c r="I102" s="2"/>
      <c r="J102" s="7">
        <f t="shared" si="43"/>
        <v>3.2170905751641981E-3</v>
      </c>
      <c r="K102" s="2"/>
      <c r="L102" s="6">
        <f t="shared" si="44"/>
        <v>13.36</v>
      </c>
      <c r="M102" s="2"/>
      <c r="N102" s="7">
        <f t="shared" si="45"/>
        <v>0.10999506010209123</v>
      </c>
      <c r="O102" s="11"/>
      <c r="P102" s="6">
        <v>1348.2</v>
      </c>
      <c r="Q102" s="2"/>
      <c r="R102" s="7">
        <f t="shared" si="46"/>
        <v>3.1365095645744436E-3</v>
      </c>
      <c r="S102" s="2"/>
      <c r="T102" s="6">
        <v>1214.5999999999999</v>
      </c>
      <c r="U102" s="2"/>
      <c r="V102" s="7">
        <f t="shared" si="47"/>
        <v>3.0034213682475991E-3</v>
      </c>
      <c r="W102" s="2"/>
      <c r="X102" s="6">
        <f t="shared" si="48"/>
        <v>133.60000000000014</v>
      </c>
      <c r="Y102" s="2"/>
      <c r="Z102" s="7">
        <f t="shared" si="49"/>
        <v>0.10999506010209134</v>
      </c>
    </row>
    <row r="103" spans="1:26" s="24" customFormat="1" hidden="1" outlineLevel="2" x14ac:dyDescent="0.25">
      <c r="A103" s="27"/>
      <c r="B103" s="11" t="str">
        <f>CONCATENATE("          ", "6285", " - ", "JANITORIAL SERVICES")</f>
        <v xml:space="preserve">          6285 - JANITORIAL SERVICES</v>
      </c>
      <c r="C103" s="11"/>
      <c r="D103" s="6">
        <v>-6.1</v>
      </c>
      <c r="E103" s="2"/>
      <c r="F103" s="7">
        <f t="shared" si="42"/>
        <v>0</v>
      </c>
      <c r="G103" s="2"/>
      <c r="H103" s="6">
        <v>47</v>
      </c>
      <c r="I103" s="2"/>
      <c r="J103" s="7">
        <f t="shared" si="43"/>
        <v>1.2448810886935397E-3</v>
      </c>
      <c r="K103" s="2"/>
      <c r="L103" s="6">
        <f t="shared" si="44"/>
        <v>-53.1</v>
      </c>
      <c r="M103" s="2"/>
      <c r="N103" s="7">
        <f t="shared" si="45"/>
        <v>-1.1297872340425532</v>
      </c>
      <c r="O103" s="11"/>
      <c r="P103" s="6">
        <v>1233.23</v>
      </c>
      <c r="Q103" s="2"/>
      <c r="R103" s="7">
        <f t="shared" si="46"/>
        <v>2.8690384885923016E-3</v>
      </c>
      <c r="S103" s="2"/>
      <c r="T103" s="6">
        <v>328.72</v>
      </c>
      <c r="U103" s="2"/>
      <c r="V103" s="7">
        <f t="shared" si="47"/>
        <v>8.1284758123691006E-4</v>
      </c>
      <c r="W103" s="2"/>
      <c r="X103" s="6">
        <f t="shared" si="48"/>
        <v>904.51</v>
      </c>
      <c r="Y103" s="2"/>
      <c r="Z103" s="7">
        <f t="shared" si="49"/>
        <v>2.751612314431735</v>
      </c>
    </row>
    <row r="104" spans="1:26" s="25" customFormat="1" outlineLevel="1" collapsed="1" x14ac:dyDescent="0.25">
      <c r="A104" s="26"/>
      <c r="B104" s="13" t="str">
        <f>CONCATENATE("     ","Subscriptions &amp; Dues                              ")</f>
        <v xml:space="preserve">     Subscriptions &amp; Dues                              </v>
      </c>
      <c r="C104" s="13"/>
      <c r="D104" s="1">
        <f>SUM(OSRRefD22_15x_0)</f>
        <v>75</v>
      </c>
      <c r="E104" s="1"/>
      <c r="F104" s="5">
        <f t="shared" ref="F104:F106" si="50">IF(D$12=0,0,D104/D$12)</f>
        <v>0</v>
      </c>
      <c r="G104" s="1"/>
      <c r="H104" s="1">
        <f>SUM(OSRRefH22_15x_0)</f>
        <v>131.97999999999999</v>
      </c>
      <c r="I104" s="1"/>
      <c r="J104" s="5">
        <f t="shared" ref="J104:J106" si="51">IF(H$12=0,0,H104/H$12)</f>
        <v>3.4957320443781566E-3</v>
      </c>
      <c r="K104" s="1"/>
      <c r="L104" s="1">
        <f t="shared" ref="L104:L106" si="52">+D104-H104</f>
        <v>-56.97999999999999</v>
      </c>
      <c r="M104" s="1"/>
      <c r="N104" s="5">
        <f t="shared" ref="N104:N106" si="53">IF(H104=0,0,L104/H104)</f>
        <v>-0.43173208061827545</v>
      </c>
      <c r="O104" s="13"/>
      <c r="P104" s="1">
        <f>SUM(OSRRefP22_15x_0)</f>
        <v>268.40999999999997</v>
      </c>
      <c r="Q104" s="1"/>
      <c r="R104" s="5">
        <f t="shared" ref="R104:R106" si="54">IF(P$12=0,0,P104/P$12)</f>
        <v>6.2444038883505886E-4</v>
      </c>
      <c r="S104" s="1"/>
      <c r="T104" s="1">
        <f>SUM(OSRRefT22_15x_0)</f>
        <v>1611.18</v>
      </c>
      <c r="U104" s="1"/>
      <c r="V104" s="5">
        <f t="shared" ref="V104:V106" si="55">IF(T$12=0,0,T104/T$12)</f>
        <v>3.9840708382127181E-3</v>
      </c>
      <c r="W104" s="1"/>
      <c r="X104" s="1">
        <f t="shared" ref="X104:X106" si="56">+P104-T104</f>
        <v>-1342.77</v>
      </c>
      <c r="Y104" s="1"/>
      <c r="Z104" s="5">
        <f t="shared" ref="Z104:Z106" si="57">IF(T104=0,0,X104/T104)</f>
        <v>-0.83340781290731014</v>
      </c>
    </row>
    <row r="105" spans="1:26" s="24" customFormat="1" hidden="1" outlineLevel="2" x14ac:dyDescent="0.25">
      <c r="A105" s="27"/>
      <c r="B105" s="11" t="str">
        <f>CONCATENATE("          ", "6258", " - ", "MEMBERSHIP DUES")</f>
        <v xml:space="preserve">          6258 - MEMBERSHIP DUES</v>
      </c>
      <c r="C105" s="11"/>
      <c r="D105" s="6"/>
      <c r="E105" s="2"/>
      <c r="F105" s="7">
        <f t="shared" si="50"/>
        <v>0</v>
      </c>
      <c r="G105" s="2"/>
      <c r="H105" s="6"/>
      <c r="I105" s="2"/>
      <c r="J105" s="7">
        <f t="shared" si="51"/>
        <v>0</v>
      </c>
      <c r="K105" s="2"/>
      <c r="L105" s="6">
        <f t="shared" si="52"/>
        <v>0</v>
      </c>
      <c r="M105" s="2"/>
      <c r="N105" s="7">
        <f t="shared" si="53"/>
        <v>0</v>
      </c>
      <c r="O105" s="11"/>
      <c r="P105" s="6">
        <v>29.99</v>
      </c>
      <c r="Q105" s="2"/>
      <c r="R105" s="7">
        <f t="shared" si="54"/>
        <v>6.9770005816338491E-5</v>
      </c>
      <c r="S105" s="2"/>
      <c r="T105" s="6"/>
      <c r="U105" s="2"/>
      <c r="V105" s="7">
        <f t="shared" si="55"/>
        <v>0</v>
      </c>
      <c r="W105" s="2"/>
      <c r="X105" s="6">
        <f t="shared" si="56"/>
        <v>29.99</v>
      </c>
      <c r="Y105" s="2"/>
      <c r="Z105" s="7">
        <f t="shared" si="57"/>
        <v>0</v>
      </c>
    </row>
    <row r="106" spans="1:26" s="24" customFormat="1" hidden="1" outlineLevel="2" x14ac:dyDescent="0.25">
      <c r="A106" s="27"/>
      <c r="B106" s="11" t="str">
        <f>CONCATENATE("          ", "6275", " - ", "SUBSCRIPTIONS")</f>
        <v xml:space="preserve">          6275 - SUBSCRIPTIONS</v>
      </c>
      <c r="C106" s="11"/>
      <c r="D106" s="6">
        <v>75</v>
      </c>
      <c r="E106" s="2"/>
      <c r="F106" s="7">
        <f t="shared" si="50"/>
        <v>0</v>
      </c>
      <c r="G106" s="2"/>
      <c r="H106" s="6">
        <v>131.97999999999999</v>
      </c>
      <c r="I106" s="2"/>
      <c r="J106" s="7">
        <f t="shared" si="51"/>
        <v>3.4957320443781566E-3</v>
      </c>
      <c r="K106" s="2"/>
      <c r="L106" s="6">
        <f t="shared" si="52"/>
        <v>-56.97999999999999</v>
      </c>
      <c r="M106" s="2"/>
      <c r="N106" s="7">
        <f t="shared" si="53"/>
        <v>-0.43173208061827545</v>
      </c>
      <c r="O106" s="11"/>
      <c r="P106" s="6">
        <v>238.42</v>
      </c>
      <c r="Q106" s="2"/>
      <c r="R106" s="7">
        <f t="shared" si="54"/>
        <v>5.5467038301872042E-4</v>
      </c>
      <c r="S106" s="2"/>
      <c r="T106" s="6">
        <v>1611.18</v>
      </c>
      <c r="U106" s="2"/>
      <c r="V106" s="7">
        <f t="shared" si="55"/>
        <v>3.9840708382127181E-3</v>
      </c>
      <c r="W106" s="2"/>
      <c r="X106" s="6">
        <f t="shared" si="56"/>
        <v>-1372.76</v>
      </c>
      <c r="Y106" s="2"/>
      <c r="Z106" s="7">
        <f t="shared" si="57"/>
        <v>-0.85202149977035457</v>
      </c>
    </row>
    <row r="107" spans="1:26" s="25" customFormat="1" outlineLevel="1" collapsed="1" x14ac:dyDescent="0.25">
      <c r="A107" s="26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SUM(OSRRefD22_16x_0)</f>
        <v>209.37</v>
      </c>
      <c r="E107" s="1"/>
      <c r="F107" s="5">
        <f t="shared" ref="F107:F112" si="58">IF(D$12=0,0,D107/D$12)</f>
        <v>0</v>
      </c>
      <c r="G107" s="1"/>
      <c r="H107" s="1">
        <f>SUM(OSRRefH22_16x_0)</f>
        <v>611.80999999999995</v>
      </c>
      <c r="I107" s="1"/>
      <c r="J107" s="5">
        <f t="shared" ref="J107:J112" si="59">IF(H$12=0,0,H107/H$12)</f>
        <v>1.620490848667222E-2</v>
      </c>
      <c r="K107" s="1"/>
      <c r="L107" s="1">
        <f t="shared" ref="L107:L112" si="60">+D107-H107</f>
        <v>-402.43999999999994</v>
      </c>
      <c r="M107" s="1"/>
      <c r="N107" s="5">
        <f t="shared" ref="N107:N112" si="61">IF(H107=0,0,L107/H107)</f>
        <v>-0.6577859139275265</v>
      </c>
      <c r="O107" s="13"/>
      <c r="P107" s="1">
        <f>SUM(OSRRefP22_16x_0)</f>
        <v>3811.06</v>
      </c>
      <c r="Q107" s="1"/>
      <c r="R107" s="5">
        <f t="shared" ref="R107:R112" si="62">IF(P$12=0,0,P107/P$12)</f>
        <v>8.8662113493302771E-3</v>
      </c>
      <c r="S107" s="1"/>
      <c r="T107" s="1">
        <f>SUM(OSRRefT22_16x_0)</f>
        <v>4242.71</v>
      </c>
      <c r="U107" s="1"/>
      <c r="V107" s="5">
        <f t="shared" ref="V107:V112" si="63">IF(T$12=0,0,T107/T$12)</f>
        <v>1.049122828361417E-2</v>
      </c>
      <c r="W107" s="1"/>
      <c r="X107" s="1">
        <f t="shared" ref="X107:X112" si="64">+P107-T107</f>
        <v>-431.65000000000009</v>
      </c>
      <c r="Y107" s="1"/>
      <c r="Z107" s="5">
        <f t="shared" ref="Z107:Z112" si="65">IF(T107=0,0,X107/T107)</f>
        <v>-0.10173921856549235</v>
      </c>
    </row>
    <row r="108" spans="1:26" s="24" customFormat="1" hidden="1" outlineLevel="2" x14ac:dyDescent="0.25">
      <c r="A108" s="27"/>
      <c r="B108" s="11" t="str">
        <f>CONCATENATE("          ", "6234", " - ", "EXPENDABLE SUPPLIES &amp; EQUIPMEN")</f>
        <v xml:space="preserve">          6234 - EXPENDABLE SUPPLIES &amp; EQUIPMEN</v>
      </c>
      <c r="C108" s="11"/>
      <c r="D108" s="6"/>
      <c r="E108" s="2"/>
      <c r="F108" s="7">
        <f t="shared" si="58"/>
        <v>0</v>
      </c>
      <c r="G108" s="2"/>
      <c r="H108" s="6">
        <v>131.38999999999999</v>
      </c>
      <c r="I108" s="2"/>
      <c r="J108" s="7">
        <f t="shared" si="59"/>
        <v>3.4801048136903013E-3</v>
      </c>
      <c r="K108" s="2"/>
      <c r="L108" s="6">
        <f t="shared" si="60"/>
        <v>-131.38999999999999</v>
      </c>
      <c r="M108" s="2"/>
      <c r="N108" s="7">
        <f t="shared" si="61"/>
        <v>-1</v>
      </c>
      <c r="O108" s="11"/>
      <c r="P108" s="6">
        <v>303.86</v>
      </c>
      <c r="Q108" s="2"/>
      <c r="R108" s="7">
        <f t="shared" si="62"/>
        <v>7.0691276983503228E-4</v>
      </c>
      <c r="S108" s="2"/>
      <c r="T108" s="6">
        <v>363.86</v>
      </c>
      <c r="U108" s="2"/>
      <c r="V108" s="7">
        <f t="shared" si="63"/>
        <v>8.9974057224647742E-4</v>
      </c>
      <c r="W108" s="2"/>
      <c r="X108" s="6">
        <f t="shared" si="64"/>
        <v>-60</v>
      </c>
      <c r="Y108" s="2"/>
      <c r="Z108" s="7">
        <f t="shared" si="65"/>
        <v>-0.1648985873687682</v>
      </c>
    </row>
    <row r="109" spans="1:26" s="24" customFormat="1" hidden="1" outlineLevel="2" x14ac:dyDescent="0.25">
      <c r="A109" s="27"/>
      <c r="B109" s="11" t="str">
        <f>CONCATENATE("          ", "6237", " - ", "JANITORIAL SUPPLIES")</f>
        <v xml:space="preserve">          6237 - JANITORIAL SUPPLIES</v>
      </c>
      <c r="C109" s="11"/>
      <c r="D109" s="6"/>
      <c r="E109" s="2"/>
      <c r="F109" s="7">
        <f t="shared" si="58"/>
        <v>0</v>
      </c>
      <c r="G109" s="2"/>
      <c r="H109" s="6">
        <v>463.44</v>
      </c>
      <c r="I109" s="2"/>
      <c r="J109" s="7">
        <f t="shared" si="59"/>
        <v>1.2275057271151787E-2</v>
      </c>
      <c r="K109" s="2"/>
      <c r="L109" s="6">
        <f t="shared" si="60"/>
        <v>-463.44</v>
      </c>
      <c r="M109" s="2"/>
      <c r="N109" s="7">
        <f t="shared" si="61"/>
        <v>-1</v>
      </c>
      <c r="O109" s="11"/>
      <c r="P109" s="6">
        <v>670.42</v>
      </c>
      <c r="Q109" s="2"/>
      <c r="R109" s="7">
        <f t="shared" si="62"/>
        <v>1.5596934744711455E-3</v>
      </c>
      <c r="S109" s="2"/>
      <c r="T109" s="6">
        <v>641.32000000000005</v>
      </c>
      <c r="U109" s="2"/>
      <c r="V109" s="7">
        <f t="shared" si="63"/>
        <v>1.5858341774119466E-3</v>
      </c>
      <c r="W109" s="2"/>
      <c r="X109" s="6">
        <f t="shared" si="64"/>
        <v>29.099999999999909</v>
      </c>
      <c r="Y109" s="2"/>
      <c r="Z109" s="7">
        <f t="shared" si="65"/>
        <v>4.5375163724817417E-2</v>
      </c>
    </row>
    <row r="110" spans="1:26" s="24" customFormat="1" hidden="1" outlineLevel="2" x14ac:dyDescent="0.25">
      <c r="A110" s="27"/>
      <c r="B110" s="11" t="str">
        <f>CONCATENATE("          ", "6241", " - ", "OFFICE EXPENSE")</f>
        <v xml:space="preserve">          6241 - OFFICE EXPENSE</v>
      </c>
      <c r="C110" s="11"/>
      <c r="D110" s="6">
        <v>209.37</v>
      </c>
      <c r="E110" s="2"/>
      <c r="F110" s="7">
        <f t="shared" si="58"/>
        <v>0</v>
      </c>
      <c r="G110" s="2"/>
      <c r="H110" s="6">
        <v>16.98</v>
      </c>
      <c r="I110" s="2"/>
      <c r="J110" s="7">
        <f t="shared" si="59"/>
        <v>4.4974640183013411E-4</v>
      </c>
      <c r="K110" s="2"/>
      <c r="L110" s="6">
        <f t="shared" si="60"/>
        <v>192.39000000000001</v>
      </c>
      <c r="M110" s="2"/>
      <c r="N110" s="7">
        <f t="shared" si="61"/>
        <v>11.330388692579506</v>
      </c>
      <c r="O110" s="11"/>
      <c r="P110" s="6">
        <v>2338.41</v>
      </c>
      <c r="Q110" s="2"/>
      <c r="R110" s="7">
        <f t="shared" si="62"/>
        <v>5.4401760353779294E-3</v>
      </c>
      <c r="S110" s="2"/>
      <c r="T110" s="6">
        <v>1760.19</v>
      </c>
      <c r="U110" s="2"/>
      <c r="V110" s="7">
        <f t="shared" si="63"/>
        <v>4.3525376734527763E-3</v>
      </c>
      <c r="W110" s="2"/>
      <c r="X110" s="6">
        <f t="shared" si="64"/>
        <v>578.2199999999998</v>
      </c>
      <c r="Y110" s="2"/>
      <c r="Z110" s="7">
        <f t="shared" si="65"/>
        <v>0.32849862798902379</v>
      </c>
    </row>
    <row r="111" spans="1:26" s="24" customFormat="1" hidden="1" outlineLevel="2" x14ac:dyDescent="0.25">
      <c r="A111" s="27"/>
      <c r="B111" s="11" t="str">
        <f>CONCATENATE("          ", "6245", " - ", "PRINTING")</f>
        <v xml:space="preserve">          6245 - PRINTING</v>
      </c>
      <c r="C111" s="11"/>
      <c r="D111" s="6"/>
      <c r="E111" s="2"/>
      <c r="F111" s="7">
        <f t="shared" si="58"/>
        <v>0</v>
      </c>
      <c r="G111" s="2"/>
      <c r="H111" s="6"/>
      <c r="I111" s="2"/>
      <c r="J111" s="7">
        <f t="shared" si="59"/>
        <v>0</v>
      </c>
      <c r="K111" s="2"/>
      <c r="L111" s="6">
        <f t="shared" si="60"/>
        <v>0</v>
      </c>
      <c r="M111" s="2"/>
      <c r="N111" s="7">
        <f t="shared" si="61"/>
        <v>0</v>
      </c>
      <c r="O111" s="11"/>
      <c r="P111" s="6">
        <v>22.05</v>
      </c>
      <c r="Q111" s="2"/>
      <c r="R111" s="7">
        <f t="shared" si="62"/>
        <v>5.1298053626217537E-5</v>
      </c>
      <c r="S111" s="2"/>
      <c r="T111" s="6">
        <v>750.25</v>
      </c>
      <c r="U111" s="2"/>
      <c r="V111" s="7">
        <f t="shared" si="63"/>
        <v>1.8551925584783149E-3</v>
      </c>
      <c r="W111" s="2"/>
      <c r="X111" s="6">
        <f t="shared" si="64"/>
        <v>-728.2</v>
      </c>
      <c r="Y111" s="2"/>
      <c r="Z111" s="7">
        <f t="shared" si="65"/>
        <v>-0.97060979673442194</v>
      </c>
    </row>
    <row r="112" spans="1:26" s="24" customFormat="1" hidden="1" outlineLevel="2" x14ac:dyDescent="0.25">
      <c r="A112" s="27"/>
      <c r="B112" s="11" t="str">
        <f>CONCATENATE("          ", "6247", " - ", "STORE SUPPLIES")</f>
        <v xml:space="preserve">          6247 - STORE SUPPLIES</v>
      </c>
      <c r="C112" s="11"/>
      <c r="D112" s="6"/>
      <c r="E112" s="2"/>
      <c r="F112" s="7">
        <f t="shared" si="58"/>
        <v>0</v>
      </c>
      <c r="G112" s="2"/>
      <c r="H112" s="6"/>
      <c r="I112" s="2"/>
      <c r="J112" s="7">
        <f t="shared" si="59"/>
        <v>0</v>
      </c>
      <c r="K112" s="2"/>
      <c r="L112" s="6">
        <f t="shared" si="60"/>
        <v>0</v>
      </c>
      <c r="M112" s="2"/>
      <c r="N112" s="7">
        <f t="shared" si="61"/>
        <v>0</v>
      </c>
      <c r="O112" s="11"/>
      <c r="P112" s="6">
        <v>476.32</v>
      </c>
      <c r="Q112" s="2"/>
      <c r="R112" s="7">
        <f t="shared" si="62"/>
        <v>1.1081310160199517E-3</v>
      </c>
      <c r="S112" s="2"/>
      <c r="T112" s="6">
        <v>727.09</v>
      </c>
      <c r="U112" s="2"/>
      <c r="V112" s="7">
        <f t="shared" si="63"/>
        <v>1.7979233020246558E-3</v>
      </c>
      <c r="W112" s="2"/>
      <c r="X112" s="6">
        <f t="shared" si="64"/>
        <v>-250.77000000000004</v>
      </c>
      <c r="Y112" s="2"/>
      <c r="Z112" s="7">
        <f t="shared" si="65"/>
        <v>-0.34489540497049886</v>
      </c>
    </row>
    <row r="113" spans="1:26" s="25" customFormat="1" outlineLevel="1" collapsed="1" x14ac:dyDescent="0.25">
      <c r="A113" s="26"/>
      <c r="B113" s="13" t="str">
        <f>CONCATENATE("     ","Telephone/Data Lines                              ")</f>
        <v xml:space="preserve">     Telephone/Data Lines                              </v>
      </c>
      <c r="C113" s="13"/>
      <c r="D113" s="1">
        <f>SUM(OSRRefD22_17x_0)</f>
        <v>600</v>
      </c>
      <c r="E113" s="1"/>
      <c r="F113" s="5">
        <f t="shared" ref="F113:F120" si="66">IF(D$12=0,0,D113/D$12)</f>
        <v>0</v>
      </c>
      <c r="G113" s="1"/>
      <c r="H113" s="1">
        <f>SUM(OSRRefH22_17x_0)</f>
        <v>372.29</v>
      </c>
      <c r="I113" s="1"/>
      <c r="J113" s="5">
        <f t="shared" ref="J113:J120" si="67">IF(H$12=0,0,H113/H$12)</f>
        <v>9.8607825640365503E-3</v>
      </c>
      <c r="K113" s="1"/>
      <c r="L113" s="1">
        <f t="shared" ref="L113:L120" si="68">+D113-H113</f>
        <v>227.70999999999998</v>
      </c>
      <c r="M113" s="1"/>
      <c r="N113" s="5">
        <f t="shared" ref="N113:N120" si="69">IF(H113=0,0,L113/H113)</f>
        <v>0.61164683445700918</v>
      </c>
      <c r="O113" s="13"/>
      <c r="P113" s="1">
        <f>SUM(OSRRefP22_17x_0)</f>
        <v>2623.17</v>
      </c>
      <c r="Q113" s="1"/>
      <c r="R113" s="5">
        <f t="shared" ref="R113:R120" si="70">IF(P$12=0,0,P113/P$12)</f>
        <v>6.1026537564936537E-3</v>
      </c>
      <c r="S113" s="1"/>
      <c r="T113" s="1">
        <f>SUM(OSRRefT22_17x_0)</f>
        <v>3976.3</v>
      </c>
      <c r="U113" s="1"/>
      <c r="V113" s="5">
        <f t="shared" ref="V113:V120" si="71">IF(T$12=0,0,T113/T$12)</f>
        <v>9.8324587407895014E-3</v>
      </c>
      <c r="W113" s="1"/>
      <c r="X113" s="1">
        <f t="shared" ref="X113:X120" si="72">+P113-T113</f>
        <v>-1353.13</v>
      </c>
      <c r="Y113" s="1"/>
      <c r="Z113" s="5">
        <f t="shared" ref="Z113:Z120" si="73">IF(T113=0,0,X113/T113)</f>
        <v>-0.34029877021351507</v>
      </c>
    </row>
    <row r="114" spans="1:26" s="24" customFormat="1" hidden="1" outlineLevel="2" x14ac:dyDescent="0.25">
      <c r="A114" s="27"/>
      <c r="B114" s="11" t="str">
        <f>CONCATENATE("          ", "6309", " - ", "TELEPHONE")</f>
        <v xml:space="preserve">          6309 - TELEPHONE</v>
      </c>
      <c r="C114" s="11"/>
      <c r="D114" s="6">
        <v>600</v>
      </c>
      <c r="E114" s="2"/>
      <c r="F114" s="7">
        <f t="shared" si="66"/>
        <v>0</v>
      </c>
      <c r="G114" s="2"/>
      <c r="H114" s="6">
        <v>372.29</v>
      </c>
      <c r="I114" s="2"/>
      <c r="J114" s="7">
        <f t="shared" si="67"/>
        <v>9.8607825640365503E-3</v>
      </c>
      <c r="K114" s="2"/>
      <c r="L114" s="6">
        <f t="shared" si="68"/>
        <v>227.70999999999998</v>
      </c>
      <c r="M114" s="2"/>
      <c r="N114" s="7">
        <f t="shared" si="69"/>
        <v>0.61164683445700918</v>
      </c>
      <c r="O114" s="11"/>
      <c r="P114" s="6">
        <v>2623.17</v>
      </c>
      <c r="Q114" s="2"/>
      <c r="R114" s="7">
        <f t="shared" si="70"/>
        <v>6.1026537564936537E-3</v>
      </c>
      <c r="S114" s="2"/>
      <c r="T114" s="6">
        <v>3976.3</v>
      </c>
      <c r="U114" s="2"/>
      <c r="V114" s="7">
        <f t="shared" si="71"/>
        <v>9.8324587407895014E-3</v>
      </c>
      <c r="W114" s="2"/>
      <c r="X114" s="6">
        <f t="shared" si="72"/>
        <v>-1353.13</v>
      </c>
      <c r="Y114" s="2"/>
      <c r="Z114" s="7">
        <f t="shared" si="73"/>
        <v>-0.34029877021351507</v>
      </c>
    </row>
    <row r="115" spans="1:26" s="25" customFormat="1" outlineLevel="1" collapsed="1" x14ac:dyDescent="0.25">
      <c r="A115" s="26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SUM(OSRRefD22_18x_0)</f>
        <v>0</v>
      </c>
      <c r="E115" s="1"/>
      <c r="F115" s="5">
        <f t="shared" si="66"/>
        <v>0</v>
      </c>
      <c r="G115" s="1"/>
      <c r="H115" s="1">
        <f>SUM(OSRRefH22_18x_0)</f>
        <v>0</v>
      </c>
      <c r="I115" s="1"/>
      <c r="J115" s="5">
        <f t="shared" si="67"/>
        <v>0</v>
      </c>
      <c r="K115" s="1"/>
      <c r="L115" s="1">
        <f t="shared" si="68"/>
        <v>0</v>
      </c>
      <c r="M115" s="1"/>
      <c r="N115" s="5">
        <f t="shared" si="69"/>
        <v>0</v>
      </c>
      <c r="O115" s="13"/>
      <c r="P115" s="1">
        <f>SUM(OSRRefP22_18x_0)</f>
        <v>1613.4</v>
      </c>
      <c r="Q115" s="1"/>
      <c r="R115" s="5">
        <f t="shared" si="70"/>
        <v>3.7534820734938493E-3</v>
      </c>
      <c r="S115" s="1"/>
      <c r="T115" s="1">
        <f>SUM(OSRRefT22_18x_0)</f>
        <v>0</v>
      </c>
      <c r="U115" s="1"/>
      <c r="V115" s="5">
        <f t="shared" si="71"/>
        <v>0</v>
      </c>
      <c r="W115" s="1"/>
      <c r="X115" s="1">
        <f t="shared" si="72"/>
        <v>1613.4</v>
      </c>
      <c r="Y115" s="1"/>
      <c r="Z115" s="5">
        <f t="shared" si="73"/>
        <v>0</v>
      </c>
    </row>
    <row r="116" spans="1:26" s="24" customFormat="1" hidden="1" outlineLevel="2" x14ac:dyDescent="0.25">
      <c r="A116" s="27"/>
      <c r="B116" s="11" t="str">
        <f>CONCATENATE("          ", "6376", " - ", "TRAINING")</f>
        <v xml:space="preserve">          6376 - TRAINING</v>
      </c>
      <c r="C116" s="11"/>
      <c r="D116" s="6"/>
      <c r="E116" s="2"/>
      <c r="F116" s="7">
        <f t="shared" si="66"/>
        <v>0</v>
      </c>
      <c r="G116" s="2"/>
      <c r="H116" s="6"/>
      <c r="I116" s="2"/>
      <c r="J116" s="7">
        <f t="shared" si="67"/>
        <v>0</v>
      </c>
      <c r="K116" s="2"/>
      <c r="L116" s="6">
        <f t="shared" si="68"/>
        <v>0</v>
      </c>
      <c r="M116" s="2"/>
      <c r="N116" s="7">
        <f t="shared" si="69"/>
        <v>0</v>
      </c>
      <c r="O116" s="11"/>
      <c r="P116" s="6">
        <v>1613.4</v>
      </c>
      <c r="Q116" s="2"/>
      <c r="R116" s="7">
        <f t="shared" si="70"/>
        <v>3.7534820734938493E-3</v>
      </c>
      <c r="S116" s="2"/>
      <c r="T116" s="6"/>
      <c r="U116" s="2"/>
      <c r="V116" s="7">
        <f t="shared" si="71"/>
        <v>0</v>
      </c>
      <c r="W116" s="2"/>
      <c r="X116" s="6">
        <f t="shared" si="72"/>
        <v>1613.4</v>
      </c>
      <c r="Y116" s="2"/>
      <c r="Z116" s="7">
        <f t="shared" si="73"/>
        <v>0</v>
      </c>
    </row>
    <row r="117" spans="1:26" s="25" customFormat="1" outlineLevel="1" collapsed="1" x14ac:dyDescent="0.25">
      <c r="A117" s="26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SUM(OSRRefD22_19x_0)</f>
        <v>0</v>
      </c>
      <c r="E117" s="1"/>
      <c r="F117" s="5">
        <f t="shared" si="66"/>
        <v>0</v>
      </c>
      <c r="G117" s="1"/>
      <c r="H117" s="1">
        <f>SUM(OSRRefH22_19x_0)</f>
        <v>76.790000000000006</v>
      </c>
      <c r="I117" s="1"/>
      <c r="J117" s="5">
        <f t="shared" si="67"/>
        <v>2.0339238042718492E-3</v>
      </c>
      <c r="K117" s="1"/>
      <c r="L117" s="1">
        <f t="shared" si="68"/>
        <v>-76.790000000000006</v>
      </c>
      <c r="M117" s="1"/>
      <c r="N117" s="5">
        <f t="shared" si="69"/>
        <v>-1</v>
      </c>
      <c r="O117" s="13"/>
      <c r="P117" s="1">
        <f>SUM(OSRRefP22_19x_0)</f>
        <v>712.14</v>
      </c>
      <c r="Q117" s="1"/>
      <c r="R117" s="5">
        <f t="shared" si="70"/>
        <v>1.656752648951227E-3</v>
      </c>
      <c r="S117" s="1"/>
      <c r="T117" s="1">
        <f>SUM(OSRRefT22_19x_0)</f>
        <v>470.05</v>
      </c>
      <c r="U117" s="1"/>
      <c r="V117" s="5">
        <f t="shared" si="71"/>
        <v>1.1623235749586565E-3</v>
      </c>
      <c r="W117" s="1"/>
      <c r="X117" s="1">
        <f t="shared" si="72"/>
        <v>242.08999999999997</v>
      </c>
      <c r="Y117" s="1"/>
      <c r="Z117" s="5">
        <f t="shared" si="73"/>
        <v>0.51503031592383786</v>
      </c>
    </row>
    <row r="118" spans="1:26" s="24" customFormat="1" hidden="1" outlineLevel="2" x14ac:dyDescent="0.25">
      <c r="A118" s="27"/>
      <c r="B118" s="11" t="str">
        <f>CONCATENATE("          ", "6294", " - ", "TRAVEL OPERATIONAL")</f>
        <v xml:space="preserve">          6294 - TRAVEL OPERATIONAL</v>
      </c>
      <c r="C118" s="11"/>
      <c r="D118" s="6"/>
      <c r="E118" s="2"/>
      <c r="F118" s="7">
        <f t="shared" si="66"/>
        <v>0</v>
      </c>
      <c r="G118" s="2"/>
      <c r="H118" s="6">
        <v>76.790000000000006</v>
      </c>
      <c r="I118" s="2"/>
      <c r="J118" s="7">
        <f t="shared" si="67"/>
        <v>2.0339238042718492E-3</v>
      </c>
      <c r="K118" s="2"/>
      <c r="L118" s="6">
        <f t="shared" si="68"/>
        <v>-76.790000000000006</v>
      </c>
      <c r="M118" s="2"/>
      <c r="N118" s="7">
        <f t="shared" si="69"/>
        <v>-1</v>
      </c>
      <c r="O118" s="11"/>
      <c r="P118" s="6">
        <v>712.14</v>
      </c>
      <c r="Q118" s="2"/>
      <c r="R118" s="7">
        <f t="shared" si="70"/>
        <v>1.656752648951227E-3</v>
      </c>
      <c r="S118" s="2"/>
      <c r="T118" s="6">
        <v>470.05</v>
      </c>
      <c r="U118" s="2"/>
      <c r="V118" s="7">
        <f t="shared" si="71"/>
        <v>1.1623235749586565E-3</v>
      </c>
      <c r="W118" s="2"/>
      <c r="X118" s="6">
        <f t="shared" si="72"/>
        <v>242.08999999999997</v>
      </c>
      <c r="Y118" s="2"/>
      <c r="Z118" s="7">
        <f t="shared" si="73"/>
        <v>0.51503031592383786</v>
      </c>
    </row>
    <row r="119" spans="1:26" s="25" customFormat="1" outlineLevel="1" collapsed="1" x14ac:dyDescent="0.25">
      <c r="A119" s="26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SUM(OSRRefD22_20x_0)</f>
        <v>67.05</v>
      </c>
      <c r="E119" s="1"/>
      <c r="F119" s="5">
        <f t="shared" si="66"/>
        <v>0</v>
      </c>
      <c r="G119" s="1"/>
      <c r="H119" s="1">
        <f>SUM(OSRRefH22_20x_0)</f>
        <v>16.190000000000001</v>
      </c>
      <c r="I119" s="1"/>
      <c r="J119" s="5">
        <f t="shared" si="67"/>
        <v>4.2882180480741295E-4</v>
      </c>
      <c r="K119" s="1"/>
      <c r="L119" s="1">
        <f t="shared" si="68"/>
        <v>50.86</v>
      </c>
      <c r="M119" s="1"/>
      <c r="N119" s="5">
        <f t="shared" si="69"/>
        <v>3.1414453366275477</v>
      </c>
      <c r="O119" s="13"/>
      <c r="P119" s="1">
        <f>SUM(OSRRefP22_20x_0)</f>
        <v>2933.35</v>
      </c>
      <c r="Q119" s="1"/>
      <c r="R119" s="5">
        <f t="shared" si="70"/>
        <v>6.8242696419258597E-3</v>
      </c>
      <c r="S119" s="1"/>
      <c r="T119" s="1">
        <f>SUM(OSRRefT22_20x_0)</f>
        <v>3494.13</v>
      </c>
      <c r="U119" s="1"/>
      <c r="V119" s="5">
        <f t="shared" si="71"/>
        <v>8.6401652440597602E-3</v>
      </c>
      <c r="W119" s="1"/>
      <c r="X119" s="1">
        <f t="shared" si="72"/>
        <v>-560.7800000000002</v>
      </c>
      <c r="Y119" s="1"/>
      <c r="Z119" s="5">
        <f t="shared" si="73"/>
        <v>-0.16049202519654396</v>
      </c>
    </row>
    <row r="120" spans="1:26" s="24" customFormat="1" hidden="1" outlineLevel="2" x14ac:dyDescent="0.25">
      <c r="A120" s="27"/>
      <c r="B120" s="11" t="str">
        <f>CONCATENATE("          ", "6274", " - ", "UTILITIES")</f>
        <v xml:space="preserve">          6274 - UTILITIES</v>
      </c>
      <c r="C120" s="11"/>
      <c r="D120" s="6">
        <v>67.05</v>
      </c>
      <c r="E120" s="2"/>
      <c r="F120" s="7">
        <f t="shared" si="66"/>
        <v>0</v>
      </c>
      <c r="G120" s="2"/>
      <c r="H120" s="6">
        <v>16.190000000000001</v>
      </c>
      <c r="I120" s="2"/>
      <c r="J120" s="7">
        <f t="shared" si="67"/>
        <v>4.2882180480741295E-4</v>
      </c>
      <c r="K120" s="2"/>
      <c r="L120" s="6">
        <f t="shared" si="68"/>
        <v>50.86</v>
      </c>
      <c r="M120" s="2"/>
      <c r="N120" s="7">
        <f t="shared" si="69"/>
        <v>3.1414453366275477</v>
      </c>
      <c r="O120" s="11"/>
      <c r="P120" s="6">
        <v>2933.35</v>
      </c>
      <c r="Q120" s="2"/>
      <c r="R120" s="7">
        <f t="shared" si="70"/>
        <v>6.8242696419258597E-3</v>
      </c>
      <c r="S120" s="2"/>
      <c r="T120" s="6">
        <v>3494.13</v>
      </c>
      <c r="U120" s="2"/>
      <c r="V120" s="7">
        <f t="shared" si="71"/>
        <v>8.6401652440597602E-3</v>
      </c>
      <c r="W120" s="2"/>
      <c r="X120" s="6">
        <f t="shared" si="72"/>
        <v>-560.7800000000002</v>
      </c>
      <c r="Y120" s="2"/>
      <c r="Z120" s="7">
        <f t="shared" si="73"/>
        <v>-0.16049202519654396</v>
      </c>
    </row>
    <row r="121" spans="1:26" s="53" customFormat="1" x14ac:dyDescent="0.25">
      <c r="A121" s="37"/>
      <c r="B121" s="37"/>
      <c r="C121" s="37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7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x14ac:dyDescent="0.25">
      <c r="A122" s="10"/>
      <c r="B122" s="29" t="s">
        <v>0</v>
      </c>
      <c r="C122" s="10"/>
      <c r="D122" s="4">
        <f>SUM(0)</f>
        <v>0</v>
      </c>
      <c r="E122" s="4"/>
      <c r="F122" s="12">
        <f>IF(D$12=0,0,D122/D$12)</f>
        <v>0</v>
      </c>
      <c r="G122" s="4"/>
      <c r="H122" s="4">
        <f>SUM(0)</f>
        <v>0</v>
      </c>
      <c r="I122" s="4"/>
      <c r="J122" s="12">
        <f>IF(H$12=0,0,H122/H$12)</f>
        <v>0</v>
      </c>
      <c r="K122" s="4"/>
      <c r="L122" s="4">
        <f>+D122-H122</f>
        <v>0</v>
      </c>
      <c r="M122" s="4"/>
      <c r="N122" s="12">
        <f>IF(H122=0,0,L122/H122)</f>
        <v>0</v>
      </c>
      <c r="O122" s="10"/>
      <c r="P122" s="4">
        <f>SUM(0)</f>
        <v>0</v>
      </c>
      <c r="Q122" s="4"/>
      <c r="R122" s="12">
        <f>IF(P$12=0,0,P122/P$12)</f>
        <v>0</v>
      </c>
      <c r="S122" s="4"/>
      <c r="T122" s="4">
        <f>SUM(0)</f>
        <v>0</v>
      </c>
      <c r="U122" s="4"/>
      <c r="V122" s="12">
        <f>IF(T$12=0,0,T122/T$12)</f>
        <v>0</v>
      </c>
      <c r="W122" s="4"/>
      <c r="X122" s="4">
        <f>+P122-T122</f>
        <v>0</v>
      </c>
      <c r="Y122" s="4"/>
      <c r="Z122" s="12">
        <f>IF(T122=0,0,X122/T122)</f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8" t="s">
        <v>3</v>
      </c>
      <c r="C124" s="28"/>
      <c r="D124" s="21">
        <f>+D58-D60+D122</f>
        <v>-17168.09</v>
      </c>
      <c r="E124" s="14"/>
      <c r="F124" s="20">
        <f>IF(D$12=0,0,D124/D$12)</f>
        <v>0</v>
      </c>
      <c r="G124" s="14"/>
      <c r="H124" s="21">
        <f>+H58-H60+H122</f>
        <v>2345.2700000000041</v>
      </c>
      <c r="I124" s="14"/>
      <c r="J124" s="20">
        <f>IF(H$12=0,0,H124/H$12)</f>
        <v>6.2118771720857509E-2</v>
      </c>
      <c r="K124" s="15"/>
      <c r="L124" s="21">
        <f>+D124-H124</f>
        <v>-19513.360000000004</v>
      </c>
      <c r="M124" s="15"/>
      <c r="N124" s="20">
        <f>IF(H124=0,0,L124/H124)</f>
        <v>-8.3203042720027849</v>
      </c>
      <c r="O124" s="29"/>
      <c r="P124" s="21">
        <f>+P58-P60+P122</f>
        <v>-54198.820000000007</v>
      </c>
      <c r="Q124" s="14"/>
      <c r="R124" s="20">
        <f>IF(P$12=0,0,P124/P$12)</f>
        <v>-0.12609042969785542</v>
      </c>
      <c r="S124" s="14"/>
      <c r="T124" s="21">
        <f>+T58-T60+T122</f>
        <v>-17192.689999999944</v>
      </c>
      <c r="U124" s="14"/>
      <c r="V124" s="20">
        <f>IF(T$12=0,0,T124/T$12)</f>
        <v>-4.2513496232221844E-2</v>
      </c>
      <c r="W124" s="15"/>
      <c r="X124" s="21">
        <f>+P124-T124</f>
        <v>-37006.130000000063</v>
      </c>
      <c r="Y124" s="15"/>
      <c r="Z124" s="20">
        <f>IF(T124=0,0,X124/T124)</f>
        <v>2.1524339704839779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1"/>
      <c r="B126" s="10" t="s">
        <v>13</v>
      </c>
      <c r="C126" s="10"/>
      <c r="D126" s="4">
        <v>2746.86</v>
      </c>
      <c r="E126" s="4"/>
      <c r="F126" s="12">
        <f>IF(D$12=0,0,D126/D$12)</f>
        <v>0</v>
      </c>
      <c r="G126" s="4"/>
      <c r="H126" s="4">
        <v>4286.4799999999996</v>
      </c>
      <c r="I126" s="4"/>
      <c r="J126" s="12">
        <f>IF(H$12=0,0,H126/H$12)</f>
        <v>0.11353527423538474</v>
      </c>
      <c r="K126" s="4"/>
      <c r="L126" s="4">
        <f>+D126-H126</f>
        <v>-1539.6199999999994</v>
      </c>
      <c r="M126" s="4"/>
      <c r="N126" s="12">
        <f>IF(H126=0,0,L126/H126)</f>
        <v>-0.35918049308523536</v>
      </c>
      <c r="O126" s="10"/>
      <c r="P126" s="4">
        <v>48805.35</v>
      </c>
      <c r="Q126" s="4"/>
      <c r="R126" s="12">
        <f>IF(P$12=0,0,P126/P$12)</f>
        <v>0.11354283272318894</v>
      </c>
      <c r="S126" s="4"/>
      <c r="T126" s="4">
        <v>42041.409999999996</v>
      </c>
      <c r="U126" s="4"/>
      <c r="V126" s="12">
        <f>IF(T$12=0,0,T126/T$12)</f>
        <v>0.10395856178598575</v>
      </c>
      <c r="W126" s="4"/>
      <c r="X126" s="4">
        <f>+P126-T126</f>
        <v>6763.9400000000023</v>
      </c>
      <c r="Y126" s="4"/>
      <c r="Z126" s="12">
        <f>IF(T126=0,0,X126/T126)</f>
        <v>0.1608875630003847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4</v>
      </c>
      <c r="C128" s="28"/>
      <c r="D128" s="30">
        <f>+D124-D126</f>
        <v>-19914.95</v>
      </c>
      <c r="E128" s="14"/>
      <c r="F128" s="36">
        <f>IF(D$12=0,0,D128/D$12)</f>
        <v>0</v>
      </c>
      <c r="G128" s="14"/>
      <c r="H128" s="30">
        <f>+H124-H126</f>
        <v>-1941.2099999999955</v>
      </c>
      <c r="I128" s="14"/>
      <c r="J128" s="36">
        <f>IF(H$12=0,0,H128/H$12)</f>
        <v>-5.1416502514527243E-2</v>
      </c>
      <c r="K128" s="15"/>
      <c r="L128" s="30">
        <f>D128-H128</f>
        <v>-17973.740000000005</v>
      </c>
      <c r="M128" s="15"/>
      <c r="N128" s="36">
        <f>IF(H128=0,0,L128/H128)</f>
        <v>9.2590394650759311</v>
      </c>
      <c r="O128" s="29"/>
      <c r="P128" s="30">
        <f>+P124-P126</f>
        <v>-103004.17000000001</v>
      </c>
      <c r="Q128" s="14"/>
      <c r="R128" s="36">
        <f>IF(P$12=0,0,P128/P$12)</f>
        <v>-0.23963326242104435</v>
      </c>
      <c r="S128" s="14"/>
      <c r="T128" s="30">
        <f>+T124-T126</f>
        <v>-59234.09999999994</v>
      </c>
      <c r="U128" s="14"/>
      <c r="V128" s="36">
        <f>IF(T$12=0,0,T128/T$12)</f>
        <v>-0.14647205801820759</v>
      </c>
      <c r="W128" s="15"/>
      <c r="X128" s="30">
        <f>P128-T128</f>
        <v>-43770.070000000072</v>
      </c>
      <c r="Y128" s="15"/>
      <c r="Z128" s="36">
        <f>IF(T128=0,0,X128/T128)</f>
        <v>0.73893365476980521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5</v>
      </c>
      <c r="C131" s="28"/>
      <c r="D131" s="31">
        <f>SUM(D128:D130)</f>
        <v>-19914.95</v>
      </c>
      <c r="E131" s="14"/>
      <c r="F131" s="32">
        <f>IF(D$12=0,0,D131/D$12)</f>
        <v>0</v>
      </c>
      <c r="G131" s="14"/>
      <c r="H131" s="31">
        <f>SUM(H128:H130)</f>
        <v>-1941.2099999999955</v>
      </c>
      <c r="I131" s="14"/>
      <c r="J131" s="32">
        <f>IF(H$12=0,0,H131/H$12)</f>
        <v>-5.1416502514527243E-2</v>
      </c>
      <c r="K131" s="15"/>
      <c r="L131" s="31">
        <f>+D131-H131</f>
        <v>-17973.740000000005</v>
      </c>
      <c r="M131" s="15"/>
      <c r="N131" s="32">
        <f>IF(H131=0,0,L131/H131)</f>
        <v>9.2590394650759311</v>
      </c>
      <c r="O131" s="29"/>
      <c r="P131" s="31">
        <f>SUM(P128:P130)</f>
        <v>-103004.17000000001</v>
      </c>
      <c r="Q131" s="14"/>
      <c r="R131" s="32">
        <f>IF(P$12=0,0,P131/P$12)</f>
        <v>-0.23963326242104435</v>
      </c>
      <c r="S131" s="14"/>
      <c r="T131" s="31">
        <f>SUM(T128:T130)</f>
        <v>-59234.09999999994</v>
      </c>
      <c r="U131" s="14"/>
      <c r="V131" s="32">
        <f>IF(T$12=0,0,T131/T$12)</f>
        <v>-0.14647205801820759</v>
      </c>
      <c r="W131" s="15"/>
      <c r="X131" s="31">
        <f>+P131-T131</f>
        <v>-43770.070000000072</v>
      </c>
      <c r="Y131" s="15"/>
      <c r="Z131" s="32">
        <f>IF(T131=0,0,X131/T131)</f>
        <v>0.73893365476980521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54">
        <v>43965.47117488426</v>
      </c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A134" s="9"/>
      <c r="B134" s="59" t="s">
        <v>313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61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","327", " - ", "C-Store Vending Machine(s)")</f>
        <v>Department 327 - C-Store Vending Machine(s)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1075.25</v>
      </c>
      <c r="I12" s="4"/>
      <c r="J12" s="12"/>
      <c r="K12" s="4"/>
      <c r="L12" s="4">
        <f t="shared" ref="L12:L13" si="0">+D12-H12</f>
        <v>-1075.25</v>
      </c>
      <c r="M12" s="4"/>
      <c r="N12" s="12">
        <f t="shared" ref="N12:N13" si="1">IF(H12=0,0,L12/H12)</f>
        <v>-1</v>
      </c>
      <c r="O12" s="10"/>
      <c r="P12" s="4">
        <f>SUM(OSRRefP13x_0)</f>
        <v>12812.5</v>
      </c>
      <c r="Q12" s="4"/>
      <c r="R12" s="12"/>
      <c r="S12" s="4"/>
      <c r="T12" s="4">
        <f>SUM(OSRRefT13x_0)</f>
        <v>12766.25</v>
      </c>
      <c r="U12" s="4"/>
      <c r="V12" s="12"/>
      <c r="W12" s="4"/>
      <c r="X12" s="4">
        <f t="shared" ref="X12:X13" si="2">+P12-T12</f>
        <v>46.25</v>
      </c>
      <c r="Y12" s="4"/>
      <c r="Z12" s="12">
        <f t="shared" ref="Z12:Z13" si="3">IF(T12=0,0,X12/T12)</f>
        <v>3.622833643395672E-3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0</f>
        <v>0</v>
      </c>
      <c r="E13" s="2"/>
      <c r="F13" s="19"/>
      <c r="G13" s="2"/>
      <c r="H13" s="2">
        <f>--1075.25</f>
        <v>1075.25</v>
      </c>
      <c r="I13" s="2"/>
      <c r="J13" s="19"/>
      <c r="K13" s="2"/>
      <c r="L13" s="2">
        <f t="shared" si="0"/>
        <v>-1075.25</v>
      </c>
      <c r="M13" s="2"/>
      <c r="N13" s="19">
        <f t="shared" si="1"/>
        <v>-1</v>
      </c>
      <c r="O13" s="11"/>
      <c r="P13" s="2">
        <f>--12812.5</f>
        <v>12812.5</v>
      </c>
      <c r="Q13" s="2"/>
      <c r="R13" s="19"/>
      <c r="S13" s="2"/>
      <c r="T13" s="2">
        <f>--12766.25</f>
        <v>12766.25</v>
      </c>
      <c r="U13" s="2"/>
      <c r="V13" s="19"/>
      <c r="W13" s="2"/>
      <c r="X13" s="2">
        <f t="shared" si="2"/>
        <v>46.25</v>
      </c>
      <c r="Y13" s="2"/>
      <c r="Z13" s="19">
        <f t="shared" si="3"/>
        <v>3.622833643395672E-3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1353</v>
      </c>
      <c r="I15" s="4"/>
      <c r="J15" s="12">
        <f t="shared" ref="J15:J16" si="5">IF(H$12=0,0,H15/H$12)</f>
        <v>1.2583120204603579</v>
      </c>
      <c r="K15" s="4"/>
      <c r="L15" s="4">
        <f t="shared" ref="L15:L16" si="6">+D15-H15</f>
        <v>-1353</v>
      </c>
      <c r="M15" s="4"/>
      <c r="N15" s="12">
        <f t="shared" ref="N15:N16" si="7">IF(H15=0,0,L15/H15)</f>
        <v>-1</v>
      </c>
      <c r="O15" s="10"/>
      <c r="P15" s="4">
        <f>SUM(OSRRefP16x_0)</f>
        <v>3256.12</v>
      </c>
      <c r="Q15" s="4"/>
      <c r="R15" s="12">
        <f t="shared" ref="R15:R16" si="8">IF(P$12=0,0,P15/P$12)</f>
        <v>0.25413619512195124</v>
      </c>
      <c r="S15" s="4"/>
      <c r="T15" s="4">
        <f>SUM(OSRRefT16x_0)</f>
        <v>2892.41</v>
      </c>
      <c r="U15" s="4"/>
      <c r="V15" s="12">
        <f t="shared" ref="V15:V16" si="9">IF(T$12=0,0,T15/T$12)</f>
        <v>0.22656692450798002</v>
      </c>
      <c r="W15" s="4"/>
      <c r="X15" s="4">
        <f t="shared" ref="X15:X16" si="10">+P15-T15</f>
        <v>363.71000000000004</v>
      </c>
      <c r="Y15" s="4"/>
      <c r="Z15" s="12">
        <f t="shared" ref="Z15:Z16" si="11">IF(T15=0,0,X15/T15)</f>
        <v>0.12574634992964345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/>
      <c r="E16" s="2"/>
      <c r="F16" s="19">
        <f t="shared" si="4"/>
        <v>0</v>
      </c>
      <c r="G16" s="2"/>
      <c r="H16" s="2">
        <v>1353</v>
      </c>
      <c r="I16" s="2"/>
      <c r="J16" s="19">
        <f t="shared" si="5"/>
        <v>1.2583120204603579</v>
      </c>
      <c r="K16" s="2"/>
      <c r="L16" s="2">
        <f t="shared" si="6"/>
        <v>-1353</v>
      </c>
      <c r="M16" s="2"/>
      <c r="N16" s="19">
        <f t="shared" si="7"/>
        <v>-1</v>
      </c>
      <c r="O16" s="11"/>
      <c r="P16" s="2">
        <v>3256.12</v>
      </c>
      <c r="Q16" s="2"/>
      <c r="R16" s="19">
        <f t="shared" si="8"/>
        <v>0.25413619512195124</v>
      </c>
      <c r="S16" s="2"/>
      <c r="T16" s="2">
        <v>2892.41</v>
      </c>
      <c r="U16" s="2"/>
      <c r="V16" s="19">
        <f t="shared" si="9"/>
        <v>0.22656692450798002</v>
      </c>
      <c r="W16" s="2"/>
      <c r="X16" s="2">
        <f t="shared" si="10"/>
        <v>363.71000000000004</v>
      </c>
      <c r="Y16" s="2"/>
      <c r="Z16" s="19">
        <f t="shared" si="11"/>
        <v>0.12574634992964345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>
        <f>D12-D15</f>
        <v>0</v>
      </c>
      <c r="E18" s="14"/>
      <c r="F18" s="20">
        <f>IF(D$12=0,0,D18/D$12)</f>
        <v>0</v>
      </c>
      <c r="G18" s="14"/>
      <c r="H18" s="21">
        <f>H12-H15</f>
        <v>-277.75</v>
      </c>
      <c r="I18" s="14"/>
      <c r="J18" s="20">
        <f>IF(H$12=0,0,H18/H$12)</f>
        <v>-0.25831202046035806</v>
      </c>
      <c r="K18" s="15"/>
      <c r="L18" s="21">
        <f>+D18-H18</f>
        <v>277.75</v>
      </c>
      <c r="M18" s="15"/>
      <c r="N18" s="20">
        <f>IF(H18=0,0,L18/H18)</f>
        <v>-1</v>
      </c>
      <c r="O18" s="29"/>
      <c r="P18" s="21">
        <f>P12-P15</f>
        <v>9556.380000000001</v>
      </c>
      <c r="Q18" s="14"/>
      <c r="R18" s="20">
        <f>IF(P$12=0,0,P18/P$12)</f>
        <v>0.74586380487804882</v>
      </c>
      <c r="S18" s="14"/>
      <c r="T18" s="21">
        <f>T12-T15</f>
        <v>9873.84</v>
      </c>
      <c r="U18" s="14"/>
      <c r="V18" s="20">
        <f>IF(T$12=0,0,T18/T$12)</f>
        <v>0.77343307549202001</v>
      </c>
      <c r="W18" s="15"/>
      <c r="X18" s="21">
        <f>+P18-T18</f>
        <v>-317.45999999999913</v>
      </c>
      <c r="Y18" s="15"/>
      <c r="Z18" s="20">
        <f>IF(T18=0,0,X18/T18)</f>
        <v>-3.2151624899734971E-2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>
        <f>SUM(OSRRefD22x_0)</f>
        <v>0</v>
      </c>
      <c r="E20" s="22"/>
      <c r="F20" s="35">
        <f t="shared" ref="F20:F26" si="12">IF(D$12=0,0,D20/D$12)</f>
        <v>0</v>
      </c>
      <c r="G20" s="22"/>
      <c r="H20" s="22">
        <f>SUM(OSRRefH22x_0)</f>
        <v>108.41</v>
      </c>
      <c r="I20" s="22"/>
      <c r="J20" s="35">
        <f t="shared" ref="J20:J26" si="13">IF(H$12=0,0,H20/H$12)</f>
        <v>0.10082306440362707</v>
      </c>
      <c r="K20" s="4"/>
      <c r="L20" s="22">
        <f t="shared" ref="L20:L26" si="14">+D20-H20</f>
        <v>-108.41</v>
      </c>
      <c r="M20" s="4"/>
      <c r="N20" s="35">
        <f t="shared" ref="N20:N26" si="15">IF(H20=0,0,L20/H20)</f>
        <v>-1</v>
      </c>
      <c r="O20" s="10"/>
      <c r="P20" s="22">
        <f>SUM(OSRRefP22x_0)</f>
        <v>1569.51</v>
      </c>
      <c r="Q20" s="22"/>
      <c r="R20" s="35">
        <f t="shared" ref="R20:R26" si="16">IF(P$12=0,0,P20/P$12)</f>
        <v>0.12249834146341464</v>
      </c>
      <c r="S20" s="22"/>
      <c r="T20" s="22">
        <f>SUM(OSRRefT22x_0)</f>
        <v>7227.79</v>
      </c>
      <c r="U20" s="22"/>
      <c r="V20" s="35">
        <f t="shared" ref="V20:V26" si="17">IF(T$12=0,0,T20/T$12)</f>
        <v>0.56616390874375799</v>
      </c>
      <c r="W20" s="4"/>
      <c r="X20" s="22">
        <f t="shared" ref="X20:X26" si="18">+P20-T20</f>
        <v>-5658.28</v>
      </c>
      <c r="Y20" s="4"/>
      <c r="Z20" s="35">
        <f t="shared" ref="Z20:Z26" si="19">IF(T20=0,0,X20/T20)</f>
        <v>-0.78285063622490414</v>
      </c>
    </row>
    <row r="21" spans="1:26" s="25" customFormat="1" outlineLevel="1" collapsed="1" x14ac:dyDescent="0.25">
      <c r="A21" s="26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108.41</v>
      </c>
      <c r="I21" s="1"/>
      <c r="J21" s="5">
        <f t="shared" si="13"/>
        <v>0.10082306440362707</v>
      </c>
      <c r="K21" s="1"/>
      <c r="L21" s="1">
        <f t="shared" si="14"/>
        <v>-108.41</v>
      </c>
      <c r="M21" s="1"/>
      <c r="N21" s="5">
        <f t="shared" si="15"/>
        <v>-1</v>
      </c>
      <c r="O21" s="13"/>
      <c r="P21" s="1">
        <f>SUM(OSRRefP22_0x_0)</f>
        <v>1249.06</v>
      </c>
      <c r="Q21" s="1"/>
      <c r="R21" s="5">
        <f t="shared" si="16"/>
        <v>9.7487609756097562E-2</v>
      </c>
      <c r="S21" s="1"/>
      <c r="T21" s="1">
        <f>SUM(OSRRefT22_0x_0)</f>
        <v>1088.57</v>
      </c>
      <c r="U21" s="1"/>
      <c r="V21" s="5">
        <f t="shared" si="17"/>
        <v>8.5269362577107599E-2</v>
      </c>
      <c r="W21" s="1"/>
      <c r="X21" s="1">
        <f t="shared" si="18"/>
        <v>160.49</v>
      </c>
      <c r="Y21" s="1"/>
      <c r="Z21" s="5">
        <f t="shared" si="19"/>
        <v>0.14743195201043571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6"/>
      <c r="E22" s="2"/>
      <c r="F22" s="7">
        <f t="shared" si="12"/>
        <v>0</v>
      </c>
      <c r="G22" s="2"/>
      <c r="H22" s="6">
        <v>108.41</v>
      </c>
      <c r="I22" s="2"/>
      <c r="J22" s="7">
        <f t="shared" si="13"/>
        <v>0.10082306440362707</v>
      </c>
      <c r="K22" s="2"/>
      <c r="L22" s="6">
        <f t="shared" si="14"/>
        <v>-108.41</v>
      </c>
      <c r="M22" s="2"/>
      <c r="N22" s="7">
        <f t="shared" si="15"/>
        <v>-1</v>
      </c>
      <c r="O22" s="11"/>
      <c r="P22" s="6">
        <v>1249.06</v>
      </c>
      <c r="Q22" s="2"/>
      <c r="R22" s="7">
        <f t="shared" si="16"/>
        <v>9.7487609756097562E-2</v>
      </c>
      <c r="S22" s="2"/>
      <c r="T22" s="6">
        <v>1088.57</v>
      </c>
      <c r="U22" s="2"/>
      <c r="V22" s="7">
        <f t="shared" si="17"/>
        <v>8.5269362577107599E-2</v>
      </c>
      <c r="W22" s="2"/>
      <c r="X22" s="6">
        <f t="shared" si="18"/>
        <v>160.49</v>
      </c>
      <c r="Y22" s="2"/>
      <c r="Z22" s="7">
        <f t="shared" si="19"/>
        <v>0.14743195201043571</v>
      </c>
    </row>
    <row r="23" spans="1:26" s="25" customFormat="1" outlineLevel="1" collapsed="1" x14ac:dyDescent="0.25">
      <c r="A23" s="26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23.45</v>
      </c>
      <c r="Q23" s="1"/>
      <c r="R23" s="5">
        <f t="shared" si="16"/>
        <v>1.8302439024390244E-3</v>
      </c>
      <c r="S23" s="1"/>
      <c r="T23" s="1">
        <f>SUM(OSRRefT22_1x_0)</f>
        <v>0</v>
      </c>
      <c r="U23" s="1"/>
      <c r="V23" s="5">
        <f t="shared" si="17"/>
        <v>0</v>
      </c>
      <c r="W23" s="1"/>
      <c r="X23" s="1">
        <f t="shared" si="18"/>
        <v>23.45</v>
      </c>
      <c r="Y23" s="1"/>
      <c r="Z23" s="5">
        <f t="shared" si="19"/>
        <v>0</v>
      </c>
    </row>
    <row r="24" spans="1:26" s="24" customFormat="1" hidden="1" outlineLevel="2" x14ac:dyDescent="0.25">
      <c r="A24" s="27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>
        <v>23.45</v>
      </c>
      <c r="Q24" s="2"/>
      <c r="R24" s="7">
        <f t="shared" si="16"/>
        <v>1.8302439024390244E-3</v>
      </c>
      <c r="S24" s="2"/>
      <c r="T24" s="6"/>
      <c r="U24" s="2"/>
      <c r="V24" s="7">
        <f t="shared" si="17"/>
        <v>0</v>
      </c>
      <c r="W24" s="2"/>
      <c r="X24" s="6">
        <f t="shared" si="18"/>
        <v>23.45</v>
      </c>
      <c r="Y24" s="2"/>
      <c r="Z24" s="7">
        <f t="shared" si="19"/>
        <v>0</v>
      </c>
    </row>
    <row r="25" spans="1:26" s="25" customFormat="1" outlineLevel="1" collapsed="1" x14ac:dyDescent="0.25">
      <c r="A25" s="26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297</v>
      </c>
      <c r="Q25" s="1"/>
      <c r="R25" s="5">
        <f t="shared" si="16"/>
        <v>2.3180487804878049E-2</v>
      </c>
      <c r="S25" s="1"/>
      <c r="T25" s="1">
        <f>SUM(OSRRefT22_2x_0)</f>
        <v>6139.22</v>
      </c>
      <c r="U25" s="1"/>
      <c r="V25" s="5">
        <f t="shared" si="17"/>
        <v>0.48089454616665039</v>
      </c>
      <c r="W25" s="1"/>
      <c r="X25" s="1">
        <f t="shared" si="18"/>
        <v>-5842.22</v>
      </c>
      <c r="Y25" s="1"/>
      <c r="Z25" s="5">
        <f t="shared" si="19"/>
        <v>-0.95162251882160931</v>
      </c>
    </row>
    <row r="26" spans="1:26" s="24" customFormat="1" hidden="1" outlineLevel="2" x14ac:dyDescent="0.25">
      <c r="A26" s="27"/>
      <c r="B26" s="11" t="str">
        <f>CONCATENATE("          ", "6247", " - ", "STORE SUPPLIES")</f>
        <v xml:space="preserve">          6247 - STORE SUPPLIES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297</v>
      </c>
      <c r="Q26" s="2"/>
      <c r="R26" s="7">
        <f t="shared" si="16"/>
        <v>2.3180487804878049E-2</v>
      </c>
      <c r="S26" s="2"/>
      <c r="T26" s="6">
        <v>6139.22</v>
      </c>
      <c r="U26" s="2"/>
      <c r="V26" s="7">
        <f t="shared" si="17"/>
        <v>0.48089454616665039</v>
      </c>
      <c r="W26" s="2"/>
      <c r="X26" s="6">
        <f t="shared" si="18"/>
        <v>-5842.22</v>
      </c>
      <c r="Y26" s="2"/>
      <c r="Z26" s="7">
        <f t="shared" si="19"/>
        <v>-0.95162251882160931</v>
      </c>
    </row>
    <row r="27" spans="1:26" s="53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3</v>
      </c>
      <c r="C30" s="28"/>
      <c r="D30" s="21">
        <f>+D18-D20+D28</f>
        <v>0</v>
      </c>
      <c r="E30" s="14"/>
      <c r="F30" s="20">
        <f>IF(D$12=0,0,D30/D$12)</f>
        <v>0</v>
      </c>
      <c r="G30" s="14"/>
      <c r="H30" s="21">
        <f>+H18-H20+H28</f>
        <v>-386.15999999999997</v>
      </c>
      <c r="I30" s="14"/>
      <c r="J30" s="20">
        <f>IF(H$12=0,0,H30/H$12)</f>
        <v>-0.3591350848639851</v>
      </c>
      <c r="K30" s="15"/>
      <c r="L30" s="21">
        <f>+D30-H30</f>
        <v>386.15999999999997</v>
      </c>
      <c r="M30" s="15"/>
      <c r="N30" s="20">
        <f>IF(H30=0,0,L30/H30)</f>
        <v>-1</v>
      </c>
      <c r="O30" s="29"/>
      <c r="P30" s="21">
        <f>+P18-P20+P28</f>
        <v>7986.8700000000008</v>
      </c>
      <c r="Q30" s="14"/>
      <c r="R30" s="20">
        <f>IF(P$12=0,0,P30/P$12)</f>
        <v>0.62336546341463417</v>
      </c>
      <c r="S30" s="14"/>
      <c r="T30" s="21">
        <f>+T18-T20+T28</f>
        <v>2646.05</v>
      </c>
      <c r="U30" s="14"/>
      <c r="V30" s="20">
        <f>IF(T$12=0,0,T30/T$12)</f>
        <v>0.20726916674826204</v>
      </c>
      <c r="W30" s="15"/>
      <c r="X30" s="21">
        <f>+P30-T30</f>
        <v>5340.8200000000006</v>
      </c>
      <c r="Y30" s="15"/>
      <c r="Z30" s="20">
        <f>IF(T30=0,0,X30/T30)</f>
        <v>2.0184123504846849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81.88</v>
      </c>
      <c r="E32" s="4"/>
      <c r="F32" s="12">
        <f>IF(D$12=0,0,D32/D$12)</f>
        <v>0</v>
      </c>
      <c r="G32" s="4"/>
      <c r="H32" s="4">
        <v>123.31</v>
      </c>
      <c r="I32" s="4"/>
      <c r="J32" s="12">
        <f>IF(H$12=0,0,H32/H$12)</f>
        <v>0.11468030690537084</v>
      </c>
      <c r="K32" s="4"/>
      <c r="L32" s="4">
        <f>+D32-H32</f>
        <v>-41.430000000000007</v>
      </c>
      <c r="M32" s="4"/>
      <c r="N32" s="12">
        <f>IF(H32=0,0,L32/H32)</f>
        <v>-0.33598248317249213</v>
      </c>
      <c r="O32" s="10"/>
      <c r="P32" s="4">
        <v>1454.77</v>
      </c>
      <c r="Q32" s="4"/>
      <c r="R32" s="12">
        <f>IF(P$12=0,0,P32/P$12)</f>
        <v>0.1135430243902439</v>
      </c>
      <c r="S32" s="4"/>
      <c r="T32" s="4">
        <v>1327.16</v>
      </c>
      <c r="U32" s="4"/>
      <c r="V32" s="12">
        <f>IF(T$12=0,0,T32/T$12)</f>
        <v>0.10395848428473514</v>
      </c>
      <c r="W32" s="4"/>
      <c r="X32" s="4">
        <f>+P32-T32</f>
        <v>127.6099999999999</v>
      </c>
      <c r="Y32" s="4"/>
      <c r="Z32" s="12">
        <f>IF(T32=0,0,X32/T32)</f>
        <v>9.6152686940534596E-2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4</v>
      </c>
      <c r="C34" s="28"/>
      <c r="D34" s="30">
        <f>+D30-D32</f>
        <v>-81.88</v>
      </c>
      <c r="E34" s="14"/>
      <c r="F34" s="36">
        <f>IF(D$12=0,0,D34/D$12)</f>
        <v>0</v>
      </c>
      <c r="G34" s="14"/>
      <c r="H34" s="30">
        <f>+H30-H32</f>
        <v>-509.46999999999997</v>
      </c>
      <c r="I34" s="14"/>
      <c r="J34" s="36">
        <f>IF(H$12=0,0,H34/H$12)</f>
        <v>-0.47381539176935594</v>
      </c>
      <c r="K34" s="15"/>
      <c r="L34" s="30">
        <f>D34-H34</f>
        <v>427.59</v>
      </c>
      <c r="M34" s="15"/>
      <c r="N34" s="36">
        <f>IF(H34=0,0,L34/H34)</f>
        <v>-0.83928396176418629</v>
      </c>
      <c r="O34" s="29"/>
      <c r="P34" s="30">
        <f>+P30-P32</f>
        <v>6532.1</v>
      </c>
      <c r="Q34" s="14"/>
      <c r="R34" s="36">
        <f>IF(P$12=0,0,P34/P$12)</f>
        <v>0.50982243902439028</v>
      </c>
      <c r="S34" s="14"/>
      <c r="T34" s="30">
        <f>+T30-T32</f>
        <v>1318.89</v>
      </c>
      <c r="U34" s="14"/>
      <c r="V34" s="36">
        <f>IF(T$12=0,0,T34/T$12)</f>
        <v>0.10331068246352688</v>
      </c>
      <c r="W34" s="15"/>
      <c r="X34" s="30">
        <f>P34-T34</f>
        <v>5213.21</v>
      </c>
      <c r="Y34" s="15"/>
      <c r="Z34" s="36">
        <f>IF(T34=0,0,X34/T34)</f>
        <v>3.9527253978724533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5</v>
      </c>
      <c r="C37" s="28"/>
      <c r="D37" s="31">
        <f>SUM(D34:D36)</f>
        <v>-81.88</v>
      </c>
      <c r="E37" s="14"/>
      <c r="F37" s="32">
        <f>IF(D$12=0,0,D37/D$12)</f>
        <v>0</v>
      </c>
      <c r="G37" s="14"/>
      <c r="H37" s="31">
        <f>SUM(H34:H36)</f>
        <v>-509.46999999999997</v>
      </c>
      <c r="I37" s="14"/>
      <c r="J37" s="32">
        <f>IF(H$12=0,0,H37/H$12)</f>
        <v>-0.47381539176935594</v>
      </c>
      <c r="K37" s="15"/>
      <c r="L37" s="31">
        <f>+D37-H37</f>
        <v>427.59</v>
      </c>
      <c r="M37" s="15"/>
      <c r="N37" s="32">
        <f>IF(H37=0,0,L37/H37)</f>
        <v>-0.83928396176418629</v>
      </c>
      <c r="O37" s="29"/>
      <c r="P37" s="31">
        <f>SUM(P34:P36)</f>
        <v>6532.1</v>
      </c>
      <c r="Q37" s="14"/>
      <c r="R37" s="32">
        <f>IF(P$12=0,0,P37/P$12)</f>
        <v>0.50982243902439028</v>
      </c>
      <c r="S37" s="14"/>
      <c r="T37" s="31">
        <f>SUM(T34:T36)</f>
        <v>1318.89</v>
      </c>
      <c r="U37" s="14"/>
      <c r="V37" s="32">
        <f>IF(T$12=0,0,T37/T$12)</f>
        <v>0.10331068246352688</v>
      </c>
      <c r="W37" s="15"/>
      <c r="X37" s="31">
        <f>+P37-T37</f>
        <v>5213.21</v>
      </c>
      <c r="Y37" s="15"/>
      <c r="Z37" s="32">
        <f>IF(T37=0,0,X37/T37)</f>
        <v>3.9527253978724533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>
        <v>43965.471189965276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9" t="s">
        <v>313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61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4348.7</v>
      </c>
      <c r="E12" s="4"/>
      <c r="F12" s="12"/>
      <c r="G12" s="4"/>
      <c r="H12" s="4">
        <f>SUM(OSRRefH13x_0)</f>
        <v>2114703.27</v>
      </c>
      <c r="I12" s="4"/>
      <c r="J12" s="12"/>
      <c r="K12" s="4"/>
      <c r="L12" s="4">
        <f t="shared" ref="L12:L25" si="0">+D12-H12</f>
        <v>-2110354.5699999998</v>
      </c>
      <c r="M12" s="4"/>
      <c r="N12" s="12">
        <f t="shared" ref="N12:N25" si="1">IF(H12=0,0,L12/H12)</f>
        <v>-0.99794358855840792</v>
      </c>
      <c r="O12" s="10"/>
      <c r="P12" s="4">
        <f>SUM(OSRRefP13x_0)</f>
        <v>13669134.98</v>
      </c>
      <c r="Q12" s="4"/>
      <c r="R12" s="12"/>
      <c r="S12" s="4"/>
      <c r="T12" s="4">
        <f>SUM(OSRRefT13x_0)</f>
        <v>16289811.160000002</v>
      </c>
      <c r="U12" s="4"/>
      <c r="V12" s="12"/>
      <c r="W12" s="4"/>
      <c r="X12" s="4">
        <f t="shared" ref="X12:X25" si="2">+P12-T12</f>
        <v>-2620676.1800000016</v>
      </c>
      <c r="Y12" s="4"/>
      <c r="Z12" s="12">
        <f t="shared" ref="Z12:Z25" si="3">IF(T12=0,0,X12/T12)</f>
        <v>-0.16087824188135041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--74612.36</f>
        <v>74612.36</v>
      </c>
      <c r="I13" s="2"/>
      <c r="J13" s="19"/>
      <c r="K13" s="2"/>
      <c r="L13" s="2">
        <f t="shared" si="0"/>
        <v>-74612.36</v>
      </c>
      <c r="M13" s="2"/>
      <c r="N13" s="19">
        <f t="shared" si="1"/>
        <v>-1</v>
      </c>
      <c r="O13" s="11"/>
      <c r="P13" s="2">
        <f>--454738.68</f>
        <v>454738.68</v>
      </c>
      <c r="Q13" s="2"/>
      <c r="R13" s="19"/>
      <c r="S13" s="2"/>
      <c r="T13" s="2">
        <f>--597879.62</f>
        <v>597879.62</v>
      </c>
      <c r="U13" s="2"/>
      <c r="V13" s="19"/>
      <c r="W13" s="2"/>
      <c r="X13" s="2">
        <f t="shared" si="2"/>
        <v>-143140.94</v>
      </c>
      <c r="Y13" s="2"/>
      <c r="Z13" s="19">
        <f t="shared" si="3"/>
        <v>-0.23941431554398862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>
        <f>--249445.54</f>
        <v>249445.54</v>
      </c>
      <c r="I14" s="2"/>
      <c r="J14" s="19"/>
      <c r="K14" s="2"/>
      <c r="L14" s="2">
        <f t="shared" si="0"/>
        <v>-249445.54</v>
      </c>
      <c r="M14" s="2"/>
      <c r="N14" s="19">
        <f t="shared" si="1"/>
        <v>-1</v>
      </c>
      <c r="O14" s="11"/>
      <c r="P14" s="2">
        <f>--836487.29</f>
        <v>836487.29</v>
      </c>
      <c r="Q14" s="2"/>
      <c r="R14" s="19"/>
      <c r="S14" s="2"/>
      <c r="T14" s="2">
        <f>--1357340.2</f>
        <v>1357340.2</v>
      </c>
      <c r="U14" s="2"/>
      <c r="V14" s="19"/>
      <c r="W14" s="2"/>
      <c r="X14" s="2">
        <f t="shared" si="2"/>
        <v>-520852.90999999992</v>
      </c>
      <c r="Y14" s="2"/>
      <c r="Z14" s="19">
        <f t="shared" si="3"/>
        <v>-0.38373055627469072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--46.54</f>
        <v>46.54</v>
      </c>
      <c r="E15" s="2"/>
      <c r="F15" s="19"/>
      <c r="G15" s="2"/>
      <c r="H15" s="2">
        <f>--77515.62</f>
        <v>77515.62</v>
      </c>
      <c r="I15" s="2"/>
      <c r="J15" s="19"/>
      <c r="K15" s="2"/>
      <c r="L15" s="2">
        <f t="shared" si="0"/>
        <v>-77469.08</v>
      </c>
      <c r="M15" s="2"/>
      <c r="N15" s="19">
        <f t="shared" si="1"/>
        <v>-0.99939960487963597</v>
      </c>
      <c r="O15" s="11"/>
      <c r="P15" s="2">
        <f>--279926.67</f>
        <v>279926.67</v>
      </c>
      <c r="Q15" s="2"/>
      <c r="R15" s="19"/>
      <c r="S15" s="2"/>
      <c r="T15" s="2">
        <f>--307988.7</f>
        <v>307988.7</v>
      </c>
      <c r="U15" s="2"/>
      <c r="V15" s="19"/>
      <c r="W15" s="2"/>
      <c r="X15" s="2">
        <f t="shared" si="2"/>
        <v>-28062.030000000028</v>
      </c>
      <c r="Y15" s="2"/>
      <c r="Z15" s="19">
        <f t="shared" si="3"/>
        <v>-9.1113829825574852E-2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ref="D16:D18" si="5">0</f>
        <v>0</v>
      </c>
      <c r="E16" s="2"/>
      <c r="F16" s="19"/>
      <c r="G16" s="2"/>
      <c r="H16" s="2">
        <f>--77931.51</f>
        <v>77931.509999999995</v>
      </c>
      <c r="I16" s="2"/>
      <c r="J16" s="19"/>
      <c r="K16" s="2"/>
      <c r="L16" s="2">
        <f t="shared" si="0"/>
        <v>-77931.509999999995</v>
      </c>
      <c r="M16" s="2"/>
      <c r="N16" s="19">
        <f t="shared" si="1"/>
        <v>-1</v>
      </c>
      <c r="O16" s="11"/>
      <c r="P16" s="2">
        <f>--382379.53</f>
        <v>382379.53</v>
      </c>
      <c r="Q16" s="2"/>
      <c r="R16" s="19"/>
      <c r="S16" s="2"/>
      <c r="T16" s="2">
        <f>--566933.66</f>
        <v>566933.66</v>
      </c>
      <c r="U16" s="2"/>
      <c r="V16" s="19"/>
      <c r="W16" s="2"/>
      <c r="X16" s="2">
        <f t="shared" si="2"/>
        <v>-184554.13</v>
      </c>
      <c r="Y16" s="2"/>
      <c r="Z16" s="19">
        <f t="shared" si="3"/>
        <v>-0.32553038039759358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 t="shared" si="5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5"/>
        <v>0</v>
      </c>
      <c r="E18" s="2"/>
      <c r="F18" s="19"/>
      <c r="G18" s="2"/>
      <c r="H18" s="2">
        <f>--25564.27</f>
        <v>25564.27</v>
      </c>
      <c r="I18" s="2"/>
      <c r="J18" s="19"/>
      <c r="K18" s="2"/>
      <c r="L18" s="2">
        <f t="shared" si="0"/>
        <v>-25564.27</v>
      </c>
      <c r="M18" s="2"/>
      <c r="N18" s="19">
        <f t="shared" si="1"/>
        <v>-1</v>
      </c>
      <c r="O18" s="11"/>
      <c r="P18" s="2">
        <f>--117077.57</f>
        <v>117077.57</v>
      </c>
      <c r="Q18" s="2"/>
      <c r="R18" s="19"/>
      <c r="S18" s="2"/>
      <c r="T18" s="2">
        <f>--194463.42</f>
        <v>194463.42</v>
      </c>
      <c r="U18" s="2"/>
      <c r="V18" s="19"/>
      <c r="W18" s="2"/>
      <c r="X18" s="2">
        <f t="shared" si="2"/>
        <v>-77385.850000000006</v>
      </c>
      <c r="Y18" s="2"/>
      <c r="Z18" s="19">
        <f t="shared" si="3"/>
        <v>-0.3979455364921588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--1200</f>
        <v>1200</v>
      </c>
      <c r="E19" s="2"/>
      <c r="F19" s="19"/>
      <c r="G19" s="2"/>
      <c r="H19" s="2">
        <f>--1394835.93</f>
        <v>1394835.93</v>
      </c>
      <c r="I19" s="2"/>
      <c r="J19" s="19"/>
      <c r="K19" s="2"/>
      <c r="L19" s="2">
        <f t="shared" si="0"/>
        <v>-1393635.93</v>
      </c>
      <c r="M19" s="2"/>
      <c r="N19" s="19">
        <f t="shared" si="1"/>
        <v>-0.99913968376194606</v>
      </c>
      <c r="O19" s="11"/>
      <c r="P19" s="2">
        <f>--10077512.49</f>
        <v>10077512.49</v>
      </c>
      <c r="Q19" s="2"/>
      <c r="R19" s="19"/>
      <c r="S19" s="2"/>
      <c r="T19" s="2">
        <f>--11471208.87</f>
        <v>11471208.869999999</v>
      </c>
      <c r="U19" s="2"/>
      <c r="V19" s="19"/>
      <c r="W19" s="2"/>
      <c r="X19" s="2">
        <f t="shared" si="2"/>
        <v>-1393696.379999999</v>
      </c>
      <c r="Y19" s="2"/>
      <c r="Z19" s="19">
        <f t="shared" si="3"/>
        <v>-0.12149516200030616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0</f>
        <v>0</v>
      </c>
      <c r="E20" s="2"/>
      <c r="F20" s="19"/>
      <c r="G20" s="2"/>
      <c r="H20" s="2">
        <f>--8154.41</f>
        <v>8154.41</v>
      </c>
      <c r="I20" s="2"/>
      <c r="J20" s="19"/>
      <c r="K20" s="2"/>
      <c r="L20" s="2">
        <f t="shared" si="0"/>
        <v>-8154.41</v>
      </c>
      <c r="M20" s="2"/>
      <c r="N20" s="19">
        <f t="shared" si="1"/>
        <v>-1</v>
      </c>
      <c r="O20" s="11"/>
      <c r="P20" s="2">
        <f>--51415.27</f>
        <v>51415.27</v>
      </c>
      <c r="Q20" s="2"/>
      <c r="R20" s="19"/>
      <c r="S20" s="2"/>
      <c r="T20" s="2">
        <f>--70563.55</f>
        <v>70563.55</v>
      </c>
      <c r="U20" s="2"/>
      <c r="V20" s="19"/>
      <c r="W20" s="2"/>
      <c r="X20" s="2">
        <f t="shared" si="2"/>
        <v>-19148.280000000006</v>
      </c>
      <c r="Y20" s="2"/>
      <c r="Z20" s="19">
        <f t="shared" si="3"/>
        <v>-0.27136219762186009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--3102.16</f>
        <v>3102.16</v>
      </c>
      <c r="E21" s="2"/>
      <c r="F21" s="19"/>
      <c r="G21" s="2"/>
      <c r="H21" s="2">
        <f>--18637.32</f>
        <v>18637.32</v>
      </c>
      <c r="I21" s="2"/>
      <c r="J21" s="19"/>
      <c r="K21" s="2"/>
      <c r="L21" s="2">
        <f t="shared" si="0"/>
        <v>-15535.16</v>
      </c>
      <c r="M21" s="2"/>
      <c r="N21" s="19">
        <f t="shared" si="1"/>
        <v>-0.83355117581283145</v>
      </c>
      <c r="O21" s="11"/>
      <c r="P21" s="2">
        <f>--303620.18</f>
        <v>303620.18</v>
      </c>
      <c r="Q21" s="2"/>
      <c r="R21" s="19"/>
      <c r="S21" s="2"/>
      <c r="T21" s="2">
        <f>--306609.55</f>
        <v>306609.55</v>
      </c>
      <c r="U21" s="2"/>
      <c r="V21" s="19"/>
      <c r="W21" s="2"/>
      <c r="X21" s="2">
        <f t="shared" si="2"/>
        <v>-2989.3699999999953</v>
      </c>
      <c r="Y21" s="2"/>
      <c r="Z21" s="19">
        <f t="shared" si="3"/>
        <v>-9.749761545261703E-3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 t="shared" ref="D22:D25" si="6">0</f>
        <v>0</v>
      </c>
      <c r="E22" s="2"/>
      <c r="F22" s="19"/>
      <c r="G22" s="2"/>
      <c r="H22" s="2">
        <f>--113137.81</f>
        <v>113137.81</v>
      </c>
      <c r="I22" s="2"/>
      <c r="J22" s="19"/>
      <c r="K22" s="2"/>
      <c r="L22" s="2">
        <f t="shared" si="0"/>
        <v>-113137.81</v>
      </c>
      <c r="M22" s="2"/>
      <c r="N22" s="19">
        <f t="shared" si="1"/>
        <v>-1</v>
      </c>
      <c r="O22" s="11"/>
      <c r="P22" s="2">
        <f>--691123.63</f>
        <v>691123.63</v>
      </c>
      <c r="Q22" s="2"/>
      <c r="R22" s="19"/>
      <c r="S22" s="2"/>
      <c r="T22" s="2">
        <f>--834207.3</f>
        <v>834207.3</v>
      </c>
      <c r="U22" s="2"/>
      <c r="V22" s="19"/>
      <c r="W22" s="2"/>
      <c r="X22" s="2">
        <f t="shared" si="2"/>
        <v>-143083.67000000004</v>
      </c>
      <c r="Y22" s="2"/>
      <c r="Z22" s="19">
        <f t="shared" si="3"/>
        <v>-0.17152052013929875</v>
      </c>
    </row>
    <row r="23" spans="1:26" s="24" customFormat="1" hidden="1" outlineLevel="1" x14ac:dyDescent="0.25">
      <c r="A23" s="44"/>
      <c r="B23" s="11" t="str">
        <f>CONCATENATE("          ", "4157", " - ", "NON-TAXABLE SALES-FOOD")</f>
        <v xml:space="preserve">          4157 - NON-TAXABLE SALES-FOOD</v>
      </c>
      <c r="C23" s="11"/>
      <c r="D23" s="2">
        <f t="shared" si="6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--208</f>
        <v>208</v>
      </c>
      <c r="U23" s="2"/>
      <c r="V23" s="19"/>
      <c r="W23" s="2"/>
      <c r="X23" s="2">
        <f t="shared" si="2"/>
        <v>-208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6"/>
        <v>0</v>
      </c>
      <c r="E24" s="2"/>
      <c r="F24" s="19"/>
      <c r="G24" s="2"/>
      <c r="H24" s="2">
        <f>--74868.5</f>
        <v>74868.5</v>
      </c>
      <c r="I24" s="2"/>
      <c r="J24" s="19"/>
      <c r="K24" s="2"/>
      <c r="L24" s="2">
        <f t="shared" si="0"/>
        <v>-74868.5</v>
      </c>
      <c r="M24" s="2"/>
      <c r="N24" s="19">
        <f t="shared" si="1"/>
        <v>-1</v>
      </c>
      <c r="O24" s="11"/>
      <c r="P24" s="2">
        <f>--474853.67</f>
        <v>474853.67</v>
      </c>
      <c r="Q24" s="2"/>
      <c r="R24" s="19"/>
      <c r="S24" s="2"/>
      <c r="T24" s="2">
        <f>--569847.31</f>
        <v>569847.31000000006</v>
      </c>
      <c r="U24" s="2"/>
      <c r="V24" s="19"/>
      <c r="W24" s="2"/>
      <c r="X24" s="2">
        <f t="shared" si="2"/>
        <v>-94993.640000000072</v>
      </c>
      <c r="Y24" s="2"/>
      <c r="Z24" s="19">
        <f t="shared" si="3"/>
        <v>-0.16670016394391696</v>
      </c>
    </row>
    <row r="25" spans="1:26" s="24" customFormat="1" hidden="1" outlineLevel="1" x14ac:dyDescent="0.25">
      <c r="A25" s="44"/>
      <c r="B25" s="11" t="str">
        <f>CONCATENATE("          ", "4159", " - ", "NON-TAXABLE SALES-FOOD")</f>
        <v xml:space="preserve">          4159 - NON-TAXABLE SALES-FOOD</v>
      </c>
      <c r="C25" s="11"/>
      <c r="D25" s="2">
        <f t="shared" si="6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0</f>
        <v>0</v>
      </c>
      <c r="Q25" s="2"/>
      <c r="R25" s="19"/>
      <c r="S25" s="2"/>
      <c r="T25" s="2">
        <f>--1054.9</f>
        <v>1054.9000000000001</v>
      </c>
      <c r="U25" s="2"/>
      <c r="V25" s="19"/>
      <c r="W25" s="2"/>
      <c r="X25" s="2">
        <f t="shared" si="2"/>
        <v>-1054.9000000000001</v>
      </c>
      <c r="Y25" s="2"/>
      <c r="Z25" s="19">
        <f t="shared" si="3"/>
        <v>-1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9" t="s">
        <v>8</v>
      </c>
      <c r="C27" s="10"/>
      <c r="D27" s="4">
        <f>SUM(OSRRefD16x_0)</f>
        <v>89619.4</v>
      </c>
      <c r="E27" s="4"/>
      <c r="F27" s="12">
        <f t="shared" ref="F27:F29" si="7">IF(D$12=0,0,D27/D$12)</f>
        <v>20.608319727734724</v>
      </c>
      <c r="G27" s="4"/>
      <c r="H27" s="4">
        <f>SUM(OSRRefH16x_0)</f>
        <v>585928.49999999988</v>
      </c>
      <c r="I27" s="4"/>
      <c r="J27" s="12">
        <f t="shared" ref="J27:J29" si="8">IF(H$12=0,0,H27/H$12)</f>
        <v>0.27707362461306445</v>
      </c>
      <c r="K27" s="4"/>
      <c r="L27" s="4">
        <f t="shared" ref="L27:L29" si="9">+D27-H27</f>
        <v>-496309.09999999986</v>
      </c>
      <c r="M27" s="4"/>
      <c r="N27" s="12">
        <f t="shared" ref="N27:N29" si="10">IF(H27=0,0,L27/H27)</f>
        <v>-0.84704720797844779</v>
      </c>
      <c r="O27" s="10"/>
      <c r="P27" s="4">
        <f>SUM(OSRRefP16x_0)</f>
        <v>3796179.25</v>
      </c>
      <c r="Q27" s="4"/>
      <c r="R27" s="12">
        <f t="shared" ref="R27:R29" si="11">IF(P$12=0,0,P27/P$12)</f>
        <v>0.27771905505025601</v>
      </c>
      <c r="S27" s="4"/>
      <c r="T27" s="4">
        <f>SUM(OSRRefT16x_0)</f>
        <v>4424788.8599999994</v>
      </c>
      <c r="U27" s="4"/>
      <c r="V27" s="12">
        <f t="shared" ref="V27:V29" si="12">IF(T$12=0,0,T27/T$12)</f>
        <v>0.27162922986272353</v>
      </c>
      <c r="W27" s="4"/>
      <c r="X27" s="4">
        <f t="shared" ref="X27:X29" si="13">+P27-T27</f>
        <v>-628609.6099999994</v>
      </c>
      <c r="Y27" s="4"/>
      <c r="Z27" s="12">
        <f t="shared" ref="Z27:Z29" si="14">IF(T27=0,0,X27/T27)</f>
        <v>-0.14206544761550485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26047.4</v>
      </c>
      <c r="E28" s="2"/>
      <c r="F28" s="19">
        <f t="shared" si="7"/>
        <v>5.9896980706877923</v>
      </c>
      <c r="G28" s="2"/>
      <c r="H28" s="2">
        <v>591183.04999999993</v>
      </c>
      <c r="I28" s="2"/>
      <c r="J28" s="19">
        <f t="shared" si="8"/>
        <v>0.27955839402470867</v>
      </c>
      <c r="K28" s="2"/>
      <c r="L28" s="2">
        <f t="shared" si="9"/>
        <v>-565135.64999999991</v>
      </c>
      <c r="M28" s="2"/>
      <c r="N28" s="19">
        <f t="shared" si="10"/>
        <v>-0.95594021174998167</v>
      </c>
      <c r="O28" s="11"/>
      <c r="P28" s="2">
        <v>3755372.52</v>
      </c>
      <c r="Q28" s="2"/>
      <c r="R28" s="19">
        <f t="shared" si="11"/>
        <v>0.27473373593096234</v>
      </c>
      <c r="S28" s="2"/>
      <c r="T28" s="2">
        <v>4493803.2699999996</v>
      </c>
      <c r="U28" s="2"/>
      <c r="V28" s="19">
        <f t="shared" si="12"/>
        <v>0.27586589100766462</v>
      </c>
      <c r="W28" s="2"/>
      <c r="X28" s="2">
        <f t="shared" si="13"/>
        <v>-738430.74999999953</v>
      </c>
      <c r="Y28" s="2"/>
      <c r="Z28" s="19">
        <f t="shared" si="14"/>
        <v>-0.16432200201768057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63572</v>
      </c>
      <c r="E29" s="2"/>
      <c r="F29" s="19">
        <f t="shared" si="7"/>
        <v>14.618621657046933</v>
      </c>
      <c r="G29" s="2"/>
      <c r="H29" s="2">
        <v>-5254.55</v>
      </c>
      <c r="I29" s="2"/>
      <c r="J29" s="19">
        <f t="shared" si="8"/>
        <v>-2.4847694116442161E-3</v>
      </c>
      <c r="K29" s="2"/>
      <c r="L29" s="2">
        <f t="shared" si="9"/>
        <v>68826.55</v>
      </c>
      <c r="M29" s="2"/>
      <c r="N29" s="19">
        <f t="shared" si="10"/>
        <v>-13.098467042848579</v>
      </c>
      <c r="O29" s="11"/>
      <c r="P29" s="2">
        <v>40806.729999999996</v>
      </c>
      <c r="Q29" s="2"/>
      <c r="R29" s="19">
        <f t="shared" si="11"/>
        <v>2.9853191192936771E-3</v>
      </c>
      <c r="S29" s="2"/>
      <c r="T29" s="2">
        <v>-69014.41</v>
      </c>
      <c r="U29" s="2"/>
      <c r="V29" s="19">
        <f t="shared" si="12"/>
        <v>-4.2366611449411052E-3</v>
      </c>
      <c r="W29" s="2"/>
      <c r="X29" s="2">
        <f t="shared" si="13"/>
        <v>109821.14</v>
      </c>
      <c r="Y29" s="2"/>
      <c r="Z29" s="19">
        <f t="shared" si="14"/>
        <v>-1.5912784011339081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6</v>
      </c>
      <c r="C31" s="28"/>
      <c r="D31" s="21">
        <f>D12-D27</f>
        <v>-85270.7</v>
      </c>
      <c r="E31" s="14"/>
      <c r="F31" s="20">
        <f>IF(D$12=0,0,D31/D$12)</f>
        <v>-19.608319727734724</v>
      </c>
      <c r="G31" s="14"/>
      <c r="H31" s="21">
        <f>H12-H27</f>
        <v>1528774.77</v>
      </c>
      <c r="I31" s="14"/>
      <c r="J31" s="20">
        <f>IF(H$12=0,0,H31/H$12)</f>
        <v>0.72292637538693549</v>
      </c>
      <c r="K31" s="15"/>
      <c r="L31" s="21">
        <f>+D31-H31</f>
        <v>-1614045.47</v>
      </c>
      <c r="M31" s="15"/>
      <c r="N31" s="20">
        <f>IF(H31=0,0,L31/H31)</f>
        <v>-1.0557771502207614</v>
      </c>
      <c r="O31" s="29"/>
      <c r="P31" s="21">
        <f>P12-P27</f>
        <v>9872955.7300000004</v>
      </c>
      <c r="Q31" s="14"/>
      <c r="R31" s="20">
        <f>IF(P$12=0,0,P31/P$12)</f>
        <v>0.72228094494974404</v>
      </c>
      <c r="S31" s="14"/>
      <c r="T31" s="21">
        <f>T12-T27</f>
        <v>11865022.300000003</v>
      </c>
      <c r="U31" s="14"/>
      <c r="V31" s="20">
        <f>IF(T$12=0,0,T31/T$12)</f>
        <v>0.72837077013727647</v>
      </c>
      <c r="W31" s="15"/>
      <c r="X31" s="21">
        <f>+P31-T31</f>
        <v>-1992066.5700000022</v>
      </c>
      <c r="Y31" s="15"/>
      <c r="Z31" s="20">
        <f>IF(T31=0,0,X31/T31)</f>
        <v>-0.16789404348612152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9" t="s">
        <v>9</v>
      </c>
      <c r="C33" s="10"/>
      <c r="D33" s="22">
        <f>SUM(OSRRefD22x_0)</f>
        <v>196907</v>
      </c>
      <c r="E33" s="22"/>
      <c r="F33" s="35">
        <f t="shared" ref="F33:F43" si="15">IF(D$12=0,0,D33/D$12)</f>
        <v>45.279508818727436</v>
      </c>
      <c r="G33" s="22"/>
      <c r="H33" s="22">
        <f>SUM(OSRRefH22x_0)</f>
        <v>961575.73999999976</v>
      </c>
      <c r="I33" s="22"/>
      <c r="J33" s="35">
        <f t="shared" ref="J33:J43" si="16">IF(H$12=0,0,H33/H$12)</f>
        <v>0.45470953473297449</v>
      </c>
      <c r="K33" s="4"/>
      <c r="L33" s="22">
        <f t="shared" ref="L33:L43" si="17">+D33-H33</f>
        <v>-764668.73999999976</v>
      </c>
      <c r="M33" s="4"/>
      <c r="N33" s="35">
        <f t="shared" ref="N33:N43" si="18">IF(H33=0,0,L33/H33)</f>
        <v>-0.79522465905805817</v>
      </c>
      <c r="O33" s="10"/>
      <c r="P33" s="22">
        <f>SUM(OSRRefP22x_0)</f>
        <v>9195819.1000000015</v>
      </c>
      <c r="Q33" s="22"/>
      <c r="R33" s="35">
        <f t="shared" ref="R33:R43" si="19">IF(P$12=0,0,P33/P$12)</f>
        <v>0.67274330917463809</v>
      </c>
      <c r="S33" s="22"/>
      <c r="T33" s="22">
        <f>SUM(OSRRefT22x_0)</f>
        <v>9196169.0800000001</v>
      </c>
      <c r="U33" s="22"/>
      <c r="V33" s="35">
        <f t="shared" ref="V33:V43" si="20">IF(T$12=0,0,T33/T$12)</f>
        <v>0.56453503295246299</v>
      </c>
      <c r="W33" s="4"/>
      <c r="X33" s="22">
        <f t="shared" ref="X33:X43" si="21">+P33-T33</f>
        <v>-349.97999999858439</v>
      </c>
      <c r="Y33" s="4"/>
      <c r="Z33" s="35">
        <f t="shared" ref="Z33:Z43" si="22">IF(T33=0,0,X33/T33)</f>
        <v>-3.8057151511027281E-5</v>
      </c>
    </row>
    <row r="34" spans="1:26" s="25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-28995.460000000006</v>
      </c>
      <c r="E34" s="1"/>
      <c r="F34" s="5">
        <f t="shared" si="15"/>
        <v>-6.6676156092625396</v>
      </c>
      <c r="G34" s="1"/>
      <c r="H34" s="1">
        <f>SUM(OSRRefH22_0x_0)</f>
        <v>144656.58000000002</v>
      </c>
      <c r="I34" s="1"/>
      <c r="J34" s="5">
        <f t="shared" si="16"/>
        <v>6.8405143195338233E-2</v>
      </c>
      <c r="K34" s="1"/>
      <c r="L34" s="1">
        <f t="shared" si="17"/>
        <v>-173652.04000000004</v>
      </c>
      <c r="M34" s="1"/>
      <c r="N34" s="5">
        <f t="shared" si="18"/>
        <v>-1.2004434226220475</v>
      </c>
      <c r="O34" s="13"/>
      <c r="P34" s="1">
        <f>SUM(OSRRefP22_0x_0)</f>
        <v>1464400.95</v>
      </c>
      <c r="Q34" s="1"/>
      <c r="R34" s="5">
        <f t="shared" si="19"/>
        <v>0.10713194010759559</v>
      </c>
      <c r="S34" s="1"/>
      <c r="T34" s="1">
        <f>SUM(OSRRefT22_0x_0)</f>
        <v>1487030.6099999999</v>
      </c>
      <c r="U34" s="1"/>
      <c r="V34" s="5">
        <f t="shared" si="20"/>
        <v>9.1285932991748669E-2</v>
      </c>
      <c r="W34" s="1"/>
      <c r="X34" s="1">
        <f t="shared" si="21"/>
        <v>-22629.659999999916</v>
      </c>
      <c r="Y34" s="1"/>
      <c r="Z34" s="5">
        <f t="shared" si="22"/>
        <v>-1.5218018948513722E-2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6">
        <v>15558.58</v>
      </c>
      <c r="E35" s="2"/>
      <c r="F35" s="7">
        <f t="shared" si="15"/>
        <v>3.5777542713914503</v>
      </c>
      <c r="G35" s="2"/>
      <c r="H35" s="6">
        <v>21452.06</v>
      </c>
      <c r="I35" s="2"/>
      <c r="J35" s="7">
        <f t="shared" si="16"/>
        <v>1.0144241182357466E-2</v>
      </c>
      <c r="K35" s="2"/>
      <c r="L35" s="6">
        <f t="shared" si="17"/>
        <v>-5893.4800000000014</v>
      </c>
      <c r="M35" s="2"/>
      <c r="N35" s="7">
        <f t="shared" si="18"/>
        <v>-0.27472792822693953</v>
      </c>
      <c r="O35" s="11"/>
      <c r="P35" s="6">
        <v>268462.48</v>
      </c>
      <c r="Q35" s="2"/>
      <c r="R35" s="7">
        <f t="shared" si="19"/>
        <v>1.9640048941853377E-2</v>
      </c>
      <c r="S35" s="2"/>
      <c r="T35" s="6">
        <v>232854.74</v>
      </c>
      <c r="U35" s="2"/>
      <c r="V35" s="7">
        <f t="shared" si="20"/>
        <v>1.4294502110115312E-2</v>
      </c>
      <c r="W35" s="2"/>
      <c r="X35" s="6">
        <f t="shared" si="21"/>
        <v>35607.739999999991</v>
      </c>
      <c r="Y35" s="2"/>
      <c r="Z35" s="7">
        <f t="shared" si="22"/>
        <v>0.15291825281289095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4603.6899999999996</v>
      </c>
      <c r="E36" s="2"/>
      <c r="F36" s="7">
        <f t="shared" si="15"/>
        <v>1.0586359141812496</v>
      </c>
      <c r="G36" s="2"/>
      <c r="H36" s="6">
        <v>15167.52</v>
      </c>
      <c r="I36" s="2"/>
      <c r="J36" s="7">
        <f t="shared" si="16"/>
        <v>7.1724105292559556E-3</v>
      </c>
      <c r="K36" s="2"/>
      <c r="L36" s="6">
        <f t="shared" si="17"/>
        <v>-10563.830000000002</v>
      </c>
      <c r="M36" s="2"/>
      <c r="N36" s="7">
        <f t="shared" si="18"/>
        <v>-0.69647707733367104</v>
      </c>
      <c r="O36" s="11"/>
      <c r="P36" s="6">
        <v>155912.58000000002</v>
      </c>
      <c r="Q36" s="2"/>
      <c r="R36" s="7">
        <f t="shared" si="19"/>
        <v>1.140617751072936E-2</v>
      </c>
      <c r="S36" s="2"/>
      <c r="T36" s="6">
        <v>141308.74000000002</v>
      </c>
      <c r="U36" s="2"/>
      <c r="V36" s="7">
        <f t="shared" si="20"/>
        <v>8.6746702347898792E-3</v>
      </c>
      <c r="W36" s="2"/>
      <c r="X36" s="6">
        <f t="shared" si="21"/>
        <v>14603.839999999997</v>
      </c>
      <c r="Y36" s="2"/>
      <c r="Z36" s="7">
        <f t="shared" si="22"/>
        <v>0.1033470399636993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6">
        <v>55309.58</v>
      </c>
      <c r="E37" s="2"/>
      <c r="F37" s="7">
        <f t="shared" si="15"/>
        <v>12.718646951962656</v>
      </c>
      <c r="G37" s="2"/>
      <c r="H37" s="6">
        <v>67719.66</v>
      </c>
      <c r="I37" s="2"/>
      <c r="J37" s="7">
        <f t="shared" si="16"/>
        <v>3.2023244566127713E-2</v>
      </c>
      <c r="K37" s="2"/>
      <c r="L37" s="6">
        <f t="shared" si="17"/>
        <v>-12410.080000000002</v>
      </c>
      <c r="M37" s="2"/>
      <c r="N37" s="7">
        <f t="shared" si="18"/>
        <v>-0.18325667907960555</v>
      </c>
      <c r="O37" s="11"/>
      <c r="P37" s="6">
        <v>696652.36</v>
      </c>
      <c r="Q37" s="2"/>
      <c r="R37" s="7">
        <f t="shared" si="19"/>
        <v>5.0965358160505923E-2</v>
      </c>
      <c r="S37" s="2"/>
      <c r="T37" s="6">
        <v>665507.15999999992</v>
      </c>
      <c r="U37" s="2"/>
      <c r="V37" s="7">
        <f t="shared" si="20"/>
        <v>4.0854197354611925E-2</v>
      </c>
      <c r="W37" s="2"/>
      <c r="X37" s="6">
        <f t="shared" si="21"/>
        <v>31145.20000000007</v>
      </c>
      <c r="Y37" s="2"/>
      <c r="Z37" s="7">
        <f t="shared" si="22"/>
        <v>4.6799195969582166E-2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353.1</v>
      </c>
      <c r="E38" s="2"/>
      <c r="F38" s="7">
        <f t="shared" si="15"/>
        <v>8.1196679467427049E-2</v>
      </c>
      <c r="G38" s="2"/>
      <c r="H38" s="6">
        <v>1137.1400000000001</v>
      </c>
      <c r="I38" s="2"/>
      <c r="J38" s="7">
        <f t="shared" si="16"/>
        <v>5.3773028875110217E-4</v>
      </c>
      <c r="K38" s="2"/>
      <c r="L38" s="6">
        <f t="shared" si="17"/>
        <v>-784.04000000000008</v>
      </c>
      <c r="M38" s="2"/>
      <c r="N38" s="7">
        <f t="shared" si="18"/>
        <v>-0.6894841444325237</v>
      </c>
      <c r="O38" s="11"/>
      <c r="P38" s="6">
        <v>12780.45</v>
      </c>
      <c r="Q38" s="2"/>
      <c r="R38" s="7">
        <f t="shared" si="19"/>
        <v>9.3498601182150304E-4</v>
      </c>
      <c r="S38" s="2"/>
      <c r="T38" s="6">
        <v>12079.81</v>
      </c>
      <c r="U38" s="2"/>
      <c r="V38" s="7">
        <f t="shared" si="20"/>
        <v>7.4155617160635021E-4</v>
      </c>
      <c r="W38" s="2"/>
      <c r="X38" s="6">
        <f t="shared" si="21"/>
        <v>700.64000000000124</v>
      </c>
      <c r="Y38" s="2"/>
      <c r="Z38" s="7">
        <f t="shared" si="22"/>
        <v>5.800091226600429E-2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6">
        <v>10235.530000000001</v>
      </c>
      <c r="E39" s="2"/>
      <c r="F39" s="7">
        <f t="shared" si="15"/>
        <v>2.3536988065398856</v>
      </c>
      <c r="G39" s="2"/>
      <c r="H39" s="6">
        <v>9693.64</v>
      </c>
      <c r="I39" s="2"/>
      <c r="J39" s="7">
        <f t="shared" si="16"/>
        <v>4.5839244387227904E-3</v>
      </c>
      <c r="K39" s="2"/>
      <c r="L39" s="6">
        <f t="shared" si="17"/>
        <v>541.89000000000124</v>
      </c>
      <c r="M39" s="2"/>
      <c r="N39" s="7">
        <f t="shared" si="18"/>
        <v>5.5901601462402285E-2</v>
      </c>
      <c r="O39" s="11"/>
      <c r="P39" s="6">
        <v>117991.51</v>
      </c>
      <c r="Q39" s="2"/>
      <c r="R39" s="7">
        <f t="shared" si="19"/>
        <v>8.6319661172882794E-3</v>
      </c>
      <c r="S39" s="2"/>
      <c r="T39" s="6">
        <v>110295.90000000001</v>
      </c>
      <c r="U39" s="2"/>
      <c r="V39" s="7">
        <f t="shared" si="20"/>
        <v>6.7708519710059055E-3</v>
      </c>
      <c r="W39" s="2"/>
      <c r="X39" s="6">
        <f t="shared" si="21"/>
        <v>7695.609999999986</v>
      </c>
      <c r="Y39" s="2"/>
      <c r="Z39" s="7">
        <f t="shared" si="22"/>
        <v>6.977240314463172E-2</v>
      </c>
    </row>
    <row r="40" spans="1:26" s="24" customFormat="1" hidden="1" outlineLevel="2" x14ac:dyDescent="0.25">
      <c r="A40" s="27"/>
      <c r="B40" s="11" t="str">
        <f>CONCATENATE("          ", "6117", " - ", "RETIREMENT STAFF HOURLY")</f>
        <v xml:space="preserve">          6117 - RETIREMENT STAFF HOURLY</v>
      </c>
      <c r="C40" s="11"/>
      <c r="D40" s="6">
        <v>3948.67</v>
      </c>
      <c r="E40" s="2"/>
      <c r="F40" s="7">
        <f t="shared" si="15"/>
        <v>0.90801158967047624</v>
      </c>
      <c r="G40" s="2"/>
      <c r="H40" s="6">
        <v>2224.3200000000002</v>
      </c>
      <c r="I40" s="2"/>
      <c r="J40" s="7">
        <f t="shared" si="16"/>
        <v>1.0518355135470143E-3</v>
      </c>
      <c r="K40" s="2"/>
      <c r="L40" s="6">
        <f t="shared" si="17"/>
        <v>1724.35</v>
      </c>
      <c r="M40" s="2"/>
      <c r="N40" s="7">
        <f t="shared" si="18"/>
        <v>0.77522568695151772</v>
      </c>
      <c r="O40" s="11"/>
      <c r="P40" s="6">
        <v>19327.510000000002</v>
      </c>
      <c r="Q40" s="2"/>
      <c r="R40" s="7">
        <f t="shared" si="19"/>
        <v>1.413952677201524E-3</v>
      </c>
      <c r="S40" s="2"/>
      <c r="T40" s="6">
        <v>16236.18</v>
      </c>
      <c r="U40" s="2"/>
      <c r="V40" s="7">
        <f t="shared" si="20"/>
        <v>9.9670768681888139E-4</v>
      </c>
      <c r="W40" s="2"/>
      <c r="X40" s="6">
        <f t="shared" si="21"/>
        <v>3091.3300000000017</v>
      </c>
      <c r="Y40" s="2"/>
      <c r="Z40" s="7">
        <f t="shared" si="22"/>
        <v>0.19039761815895129</v>
      </c>
    </row>
    <row r="41" spans="1:26" s="24" customFormat="1" hidden="1" outlineLevel="2" x14ac:dyDescent="0.25">
      <c r="A41" s="27"/>
      <c r="B41" s="11" t="str">
        <f>CONCATENATE("          ", "6118", " - ", "VACATION")</f>
        <v xml:space="preserve">          6118 - VACATION</v>
      </c>
      <c r="C41" s="11"/>
      <c r="D41" s="6">
        <v>12813.15</v>
      </c>
      <c r="E41" s="2"/>
      <c r="F41" s="7">
        <f t="shared" si="15"/>
        <v>2.9464322671143099</v>
      </c>
      <c r="G41" s="2"/>
      <c r="H41" s="6">
        <v>12788.4</v>
      </c>
      <c r="I41" s="2"/>
      <c r="J41" s="7">
        <f t="shared" si="16"/>
        <v>6.0473732562961423E-3</v>
      </c>
      <c r="K41" s="2"/>
      <c r="L41" s="6">
        <f t="shared" si="17"/>
        <v>24.75</v>
      </c>
      <c r="M41" s="2"/>
      <c r="N41" s="7">
        <f t="shared" si="18"/>
        <v>1.9353476588158018E-3</v>
      </c>
      <c r="O41" s="11"/>
      <c r="P41" s="6">
        <v>159722.68</v>
      </c>
      <c r="Q41" s="2"/>
      <c r="R41" s="7">
        <f t="shared" si="19"/>
        <v>1.1684914973310184E-2</v>
      </c>
      <c r="S41" s="2"/>
      <c r="T41" s="6">
        <v>140195.19</v>
      </c>
      <c r="U41" s="2"/>
      <c r="V41" s="7">
        <f t="shared" si="20"/>
        <v>8.6063115540745156E-3</v>
      </c>
      <c r="W41" s="2"/>
      <c r="X41" s="6">
        <f t="shared" si="21"/>
        <v>19527.489999999991</v>
      </c>
      <c r="Y41" s="2"/>
      <c r="Z41" s="7">
        <f t="shared" si="22"/>
        <v>0.13928787428441725</v>
      </c>
    </row>
    <row r="42" spans="1:26" s="24" customFormat="1" hidden="1" outlineLevel="2" x14ac:dyDescent="0.25">
      <c r="A42" s="27"/>
      <c r="B42" s="11" t="str">
        <f>CONCATENATE("          ", "6119", " - ", "SICK LEAVE")</f>
        <v xml:space="preserve">          6119 - SICK LEAVE</v>
      </c>
      <c r="C42" s="11"/>
      <c r="D42" s="6">
        <v>-134212.26</v>
      </c>
      <c r="E42" s="2"/>
      <c r="F42" s="7">
        <f t="shared" si="15"/>
        <v>-30.862616414100771</v>
      </c>
      <c r="G42" s="2"/>
      <c r="H42" s="6">
        <v>8824.24</v>
      </c>
      <c r="I42" s="2"/>
      <c r="J42" s="7">
        <f t="shared" si="16"/>
        <v>4.1728029294625336E-3</v>
      </c>
      <c r="K42" s="2"/>
      <c r="L42" s="6">
        <f t="shared" si="17"/>
        <v>-143036.5</v>
      </c>
      <c r="M42" s="2"/>
      <c r="N42" s="7">
        <f t="shared" si="18"/>
        <v>-16.209497928433496</v>
      </c>
      <c r="O42" s="11"/>
      <c r="P42" s="6">
        <v>-28384.98</v>
      </c>
      <c r="Q42" s="2"/>
      <c r="R42" s="7">
        <f t="shared" si="19"/>
        <v>-2.0765747094846523E-3</v>
      </c>
      <c r="S42" s="2"/>
      <c r="T42" s="6">
        <v>107176.79000000001</v>
      </c>
      <c r="U42" s="2"/>
      <c r="V42" s="7">
        <f t="shared" si="20"/>
        <v>6.5793758409658561E-3</v>
      </c>
      <c r="W42" s="2"/>
      <c r="X42" s="6">
        <f t="shared" si="21"/>
        <v>-135561.77000000002</v>
      </c>
      <c r="Y42" s="2"/>
      <c r="Z42" s="7">
        <f t="shared" si="22"/>
        <v>-1.2648426025821449</v>
      </c>
    </row>
    <row r="43" spans="1:26" s="24" customFormat="1" hidden="1" outlineLevel="2" x14ac:dyDescent="0.25">
      <c r="A43" s="27"/>
      <c r="B43" s="11" t="str">
        <f>CONCATENATE("          ", "6156", " - ", "EMPLOYEE MEALS")</f>
        <v xml:space="preserve">          6156 - EMPLOYEE MEALS</v>
      </c>
      <c r="C43" s="11"/>
      <c r="D43" s="6">
        <v>2394.5</v>
      </c>
      <c r="E43" s="2"/>
      <c r="F43" s="7">
        <f t="shared" si="15"/>
        <v>0.55062432451077337</v>
      </c>
      <c r="G43" s="2"/>
      <c r="H43" s="6">
        <v>5649.6</v>
      </c>
      <c r="I43" s="2"/>
      <c r="J43" s="7">
        <f t="shared" si="16"/>
        <v>2.6715804908175132E-3</v>
      </c>
      <c r="K43" s="2"/>
      <c r="L43" s="6">
        <f t="shared" si="17"/>
        <v>-3255.1000000000004</v>
      </c>
      <c r="M43" s="2"/>
      <c r="N43" s="7">
        <f t="shared" si="18"/>
        <v>-0.57616468422543188</v>
      </c>
      <c r="O43" s="11"/>
      <c r="P43" s="6">
        <v>61936.359999999993</v>
      </c>
      <c r="Q43" s="2"/>
      <c r="R43" s="7">
        <f t="shared" si="19"/>
        <v>4.5311104243701012E-3</v>
      </c>
      <c r="S43" s="2"/>
      <c r="T43" s="6">
        <v>61376.1</v>
      </c>
      <c r="U43" s="2"/>
      <c r="V43" s="7">
        <f t="shared" si="20"/>
        <v>3.7677600677600482E-3</v>
      </c>
      <c r="W43" s="2"/>
      <c r="X43" s="6">
        <f t="shared" si="21"/>
        <v>560.25999999999476</v>
      </c>
      <c r="Y43" s="2"/>
      <c r="Z43" s="7">
        <f t="shared" si="22"/>
        <v>9.128308901999227E-3</v>
      </c>
    </row>
    <row r="44" spans="1:26" s="25" customFormat="1" outlineLevel="1" collapsed="1" x14ac:dyDescent="0.25">
      <c r="A44" s="26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115955.66999999998</v>
      </c>
      <c r="E44" s="1"/>
      <c r="F44" s="5">
        <f t="shared" ref="F44:F51" si="23">IF(D$12=0,0,D44/D$12)</f>
        <v>26.66444454664612</v>
      </c>
      <c r="G44" s="1"/>
      <c r="H44" s="1">
        <f>SUM(OSRRefH22_1x_0)</f>
        <v>440424.68000000005</v>
      </c>
      <c r="I44" s="1"/>
      <c r="J44" s="5">
        <f t="shared" ref="J44:J51" si="24">IF(H$12=0,0,H44/H$12)</f>
        <v>0.20826783892002024</v>
      </c>
      <c r="K44" s="1"/>
      <c r="L44" s="1">
        <f t="shared" ref="L44:L51" si="25">+D44-H44</f>
        <v>-324469.01000000007</v>
      </c>
      <c r="M44" s="1"/>
      <c r="N44" s="5">
        <f t="shared" ref="N44:N51" si="26">IF(H44=0,0,L44/H44)</f>
        <v>-0.73671850087965107</v>
      </c>
      <c r="O44" s="13"/>
      <c r="P44" s="1">
        <f>SUM(OSRRefP22_1x_0)</f>
        <v>4573166.6300000008</v>
      </c>
      <c r="Q44" s="1"/>
      <c r="R44" s="5">
        <f t="shared" ref="R44:R51" si="27">IF(P$12=0,0,P44/P$12)</f>
        <v>0.33456152395094724</v>
      </c>
      <c r="S44" s="1"/>
      <c r="T44" s="1">
        <f>SUM(OSRRefT22_1x_0)</f>
        <v>4381176.8</v>
      </c>
      <c r="U44" s="1"/>
      <c r="V44" s="5">
        <f t="shared" ref="V44:V51" si="28">IF(T$12=0,0,T44/T$12)</f>
        <v>0.26895196985205561</v>
      </c>
      <c r="W44" s="1"/>
      <c r="X44" s="1">
        <f t="shared" ref="X44:X51" si="29">+P44-T44</f>
        <v>191989.83000000101</v>
      </c>
      <c r="Y44" s="1"/>
      <c r="Z44" s="5">
        <f t="shared" ref="Z44:Z51" si="30">IF(T44=0,0,X44/T44)</f>
        <v>4.3821520738446577E-2</v>
      </c>
    </row>
    <row r="45" spans="1:26" s="24" customFormat="1" hidden="1" outlineLevel="2" x14ac:dyDescent="0.25">
      <c r="A45" s="27"/>
      <c r="B45" s="11" t="str">
        <f>CONCATENATE("          ", "6001", " - ", "ADMINISTRATIVE SALARIES")</f>
        <v xml:space="preserve">          6001 - ADMINISTRATIVE SALARIES</v>
      </c>
      <c r="C45" s="11"/>
      <c r="D45" s="6">
        <v>27803.230000000003</v>
      </c>
      <c r="E45" s="2"/>
      <c r="F45" s="7">
        <f t="shared" si="23"/>
        <v>6.3934578149791905</v>
      </c>
      <c r="G45" s="2"/>
      <c r="H45" s="6">
        <v>19405.41</v>
      </c>
      <c r="I45" s="2"/>
      <c r="J45" s="7">
        <f t="shared" si="24"/>
        <v>9.1764221842812015E-3</v>
      </c>
      <c r="K45" s="2"/>
      <c r="L45" s="6">
        <f t="shared" si="25"/>
        <v>8397.8200000000033</v>
      </c>
      <c r="M45" s="2"/>
      <c r="N45" s="7">
        <f t="shared" si="26"/>
        <v>0.43275663848380441</v>
      </c>
      <c r="O45" s="11"/>
      <c r="P45" s="6">
        <v>252147.56</v>
      </c>
      <c r="Q45" s="2"/>
      <c r="R45" s="7">
        <f t="shared" si="27"/>
        <v>1.8446489874372429E-2</v>
      </c>
      <c r="S45" s="2"/>
      <c r="T45" s="6">
        <v>242358.12999999998</v>
      </c>
      <c r="U45" s="2"/>
      <c r="V45" s="7">
        <f t="shared" si="28"/>
        <v>1.4877896841131947E-2</v>
      </c>
      <c r="W45" s="2"/>
      <c r="X45" s="6">
        <f t="shared" si="29"/>
        <v>9789.4300000000221</v>
      </c>
      <c r="Y45" s="2"/>
      <c r="Z45" s="7">
        <f t="shared" si="30"/>
        <v>4.0392414316779979E-2</v>
      </c>
    </row>
    <row r="46" spans="1:26" s="24" customFormat="1" hidden="1" outlineLevel="2" x14ac:dyDescent="0.25">
      <c r="A46" s="27"/>
      <c r="B46" s="11" t="str">
        <f>CONCATENATE("          ", "6002", " - ", "STAFF SALARIES")</f>
        <v xml:space="preserve">          6002 - STAFF SALARIES</v>
      </c>
      <c r="C46" s="11"/>
      <c r="D46" s="6">
        <v>36442.67</v>
      </c>
      <c r="E46" s="2"/>
      <c r="F46" s="7">
        <f t="shared" si="23"/>
        <v>8.3801296939315204</v>
      </c>
      <c r="G46" s="2"/>
      <c r="H46" s="6">
        <v>88582.85</v>
      </c>
      <c r="I46" s="2"/>
      <c r="J46" s="7">
        <f t="shared" si="24"/>
        <v>4.1889021148579397E-2</v>
      </c>
      <c r="K46" s="2"/>
      <c r="L46" s="6">
        <f t="shared" si="25"/>
        <v>-52140.180000000008</v>
      </c>
      <c r="M46" s="2"/>
      <c r="N46" s="7">
        <f t="shared" si="26"/>
        <v>-0.58860355023573985</v>
      </c>
      <c r="O46" s="11"/>
      <c r="P46" s="6">
        <v>980482.97000000009</v>
      </c>
      <c r="Q46" s="2"/>
      <c r="R46" s="7">
        <f t="shared" si="27"/>
        <v>7.1729701362565665E-2</v>
      </c>
      <c r="S46" s="2"/>
      <c r="T46" s="6">
        <v>951788.66999999993</v>
      </c>
      <c r="U46" s="2"/>
      <c r="V46" s="7">
        <f t="shared" si="28"/>
        <v>5.8428465539068893E-2</v>
      </c>
      <c r="W46" s="2"/>
      <c r="X46" s="6">
        <f t="shared" si="29"/>
        <v>28694.300000000163</v>
      </c>
      <c r="Y46" s="2"/>
      <c r="Z46" s="7">
        <f t="shared" si="30"/>
        <v>3.0147763788783245E-2</v>
      </c>
    </row>
    <row r="47" spans="1:26" s="24" customFormat="1" hidden="1" outlineLevel="2" x14ac:dyDescent="0.25">
      <c r="A47" s="27"/>
      <c r="B47" s="11" t="str">
        <f>CONCATENATE("          ", "6004", " - ", "STAFF HOURLY")</f>
        <v xml:space="preserve">          6004 - STAFF HOURLY</v>
      </c>
      <c r="C47" s="11"/>
      <c r="D47" s="6">
        <v>66963.929999999993</v>
      </c>
      <c r="E47" s="2"/>
      <c r="F47" s="7">
        <f t="shared" si="23"/>
        <v>15.398608779635293</v>
      </c>
      <c r="G47" s="2"/>
      <c r="H47" s="6">
        <v>63085.299999999996</v>
      </c>
      <c r="I47" s="2"/>
      <c r="J47" s="7">
        <f t="shared" si="24"/>
        <v>2.9831750342921633E-2</v>
      </c>
      <c r="K47" s="2"/>
      <c r="L47" s="6">
        <f t="shared" si="25"/>
        <v>3878.6299999999974</v>
      </c>
      <c r="M47" s="2"/>
      <c r="N47" s="7">
        <f t="shared" si="26"/>
        <v>6.1482310459013395E-2</v>
      </c>
      <c r="O47" s="11"/>
      <c r="P47" s="6">
        <v>843936.03</v>
      </c>
      <c r="Q47" s="2"/>
      <c r="R47" s="7">
        <f t="shared" si="27"/>
        <v>6.1740266025231687E-2</v>
      </c>
      <c r="S47" s="2"/>
      <c r="T47" s="6">
        <v>690412.12</v>
      </c>
      <c r="U47" s="2"/>
      <c r="V47" s="7">
        <f t="shared" si="28"/>
        <v>4.2383064678817299E-2</v>
      </c>
      <c r="W47" s="2"/>
      <c r="X47" s="6">
        <f t="shared" si="29"/>
        <v>153523.91000000003</v>
      </c>
      <c r="Y47" s="2"/>
      <c r="Z47" s="7">
        <f t="shared" si="30"/>
        <v>0.22236560679149148</v>
      </c>
    </row>
    <row r="48" spans="1:26" s="24" customFormat="1" hidden="1" outlineLevel="2" x14ac:dyDescent="0.25">
      <c r="A48" s="27"/>
      <c r="B48" s="11" t="str">
        <f>CONCATENATE("          ", "6005", " - ", "TEMPORARY WAGES-HOURLY")</f>
        <v xml:space="preserve">          6005 - TEMPORARY WAGES-HOURLY</v>
      </c>
      <c r="C48" s="11"/>
      <c r="D48" s="6">
        <v>104.84</v>
      </c>
      <c r="E48" s="2"/>
      <c r="F48" s="7">
        <f t="shared" si="23"/>
        <v>2.4108354220801622E-2</v>
      </c>
      <c r="G48" s="2"/>
      <c r="H48" s="6">
        <v>80912.070000000007</v>
      </c>
      <c r="I48" s="2"/>
      <c r="J48" s="7">
        <f t="shared" si="24"/>
        <v>3.8261665902658774E-2</v>
      </c>
      <c r="K48" s="2"/>
      <c r="L48" s="6">
        <f t="shared" si="25"/>
        <v>-80807.23000000001</v>
      </c>
      <c r="M48" s="2"/>
      <c r="N48" s="7">
        <f t="shared" si="26"/>
        <v>-0.99870427242808157</v>
      </c>
      <c r="O48" s="11"/>
      <c r="P48" s="6">
        <v>831285.8</v>
      </c>
      <c r="Q48" s="2"/>
      <c r="R48" s="7">
        <f t="shared" si="27"/>
        <v>6.0814806585515191E-2</v>
      </c>
      <c r="S48" s="2"/>
      <c r="T48" s="6">
        <v>763459.93</v>
      </c>
      <c r="U48" s="2"/>
      <c r="V48" s="7">
        <f t="shared" si="28"/>
        <v>4.6867328448514683E-2</v>
      </c>
      <c r="W48" s="2"/>
      <c r="X48" s="6">
        <f t="shared" si="29"/>
        <v>67825.87</v>
      </c>
      <c r="Y48" s="2"/>
      <c r="Z48" s="7">
        <f t="shared" si="30"/>
        <v>8.884011764703878E-2</v>
      </c>
    </row>
    <row r="49" spans="1:26" s="24" customFormat="1" hidden="1" outlineLevel="2" x14ac:dyDescent="0.25">
      <c r="A49" s="27"/>
      <c r="B49" s="11" t="str">
        <f>CONCATENATE("          ", "6006", " - ", "TEMPORARY PART TIME")</f>
        <v xml:space="preserve">          6006 - TEMPORARY PART TIME</v>
      </c>
      <c r="C49" s="11"/>
      <c r="D49" s="6"/>
      <c r="E49" s="2"/>
      <c r="F49" s="7">
        <f t="shared" si="23"/>
        <v>0</v>
      </c>
      <c r="G49" s="2"/>
      <c r="H49" s="6">
        <v>7612.87</v>
      </c>
      <c r="I49" s="2"/>
      <c r="J49" s="7">
        <f t="shared" si="24"/>
        <v>3.5999707892824129E-3</v>
      </c>
      <c r="K49" s="2"/>
      <c r="L49" s="6">
        <f t="shared" si="25"/>
        <v>-7612.87</v>
      </c>
      <c r="M49" s="2"/>
      <c r="N49" s="7">
        <f t="shared" si="26"/>
        <v>-1</v>
      </c>
      <c r="O49" s="11"/>
      <c r="P49" s="6">
        <v>45957.26</v>
      </c>
      <c r="Q49" s="2"/>
      <c r="R49" s="7">
        <f t="shared" si="27"/>
        <v>3.3621191148702815E-3</v>
      </c>
      <c r="S49" s="2"/>
      <c r="T49" s="6">
        <v>37977.57</v>
      </c>
      <c r="U49" s="2"/>
      <c r="V49" s="7">
        <f t="shared" si="28"/>
        <v>2.3313695675769882E-3</v>
      </c>
      <c r="W49" s="2"/>
      <c r="X49" s="6">
        <f t="shared" si="29"/>
        <v>7979.6900000000023</v>
      </c>
      <c r="Y49" s="2"/>
      <c r="Z49" s="7">
        <f t="shared" si="30"/>
        <v>0.21011586575971034</v>
      </c>
    </row>
    <row r="50" spans="1:26" s="24" customFormat="1" hidden="1" outlineLevel="2" x14ac:dyDescent="0.25">
      <c r="A50" s="27"/>
      <c r="B50" s="11" t="str">
        <f>CONCATENATE("          ", "6007", " - ", "STUDENT HOURLY")</f>
        <v xml:space="preserve">          6007 - STUDENT HOURLY</v>
      </c>
      <c r="C50" s="11"/>
      <c r="D50" s="6">
        <v>-15359</v>
      </c>
      <c r="E50" s="2"/>
      <c r="F50" s="7">
        <f t="shared" si="23"/>
        <v>-3.5318600961206799</v>
      </c>
      <c r="G50" s="2"/>
      <c r="H50" s="6">
        <v>156225.15</v>
      </c>
      <c r="I50" s="2"/>
      <c r="J50" s="7">
        <f t="shared" si="24"/>
        <v>7.387568375018401E-2</v>
      </c>
      <c r="K50" s="2"/>
      <c r="L50" s="6">
        <f t="shared" si="25"/>
        <v>-171584.15</v>
      </c>
      <c r="M50" s="2"/>
      <c r="N50" s="7">
        <f t="shared" si="26"/>
        <v>-1.0983132357370116</v>
      </c>
      <c r="O50" s="11"/>
      <c r="P50" s="6">
        <v>1410448.02</v>
      </c>
      <c r="Q50" s="2"/>
      <c r="R50" s="7">
        <f t="shared" si="27"/>
        <v>0.10318487761396003</v>
      </c>
      <c r="S50" s="2"/>
      <c r="T50" s="6">
        <v>1445312.83</v>
      </c>
      <c r="U50" s="2"/>
      <c r="V50" s="7">
        <f t="shared" si="28"/>
        <v>8.8724959166438855E-2</v>
      </c>
      <c r="W50" s="2"/>
      <c r="X50" s="6">
        <f t="shared" si="29"/>
        <v>-34864.810000000056</v>
      </c>
      <c r="Y50" s="2"/>
      <c r="Z50" s="7">
        <f t="shared" si="30"/>
        <v>-2.4122673843558182E-2</v>
      </c>
    </row>
    <row r="51" spans="1:26" s="24" customFormat="1" hidden="1" outlineLevel="2" x14ac:dyDescent="0.25">
      <c r="A51" s="27"/>
      <c r="B51" s="11" t="str">
        <f>CONCATENATE("          ", "6008", " - ", "STUDENT HOURLY-FICA EXEMPT")</f>
        <v xml:space="preserve">          6008 - STUDENT HOURLY-FICA EXEMPT</v>
      </c>
      <c r="C51" s="11"/>
      <c r="D51" s="6"/>
      <c r="E51" s="2"/>
      <c r="F51" s="7">
        <f t="shared" si="23"/>
        <v>0</v>
      </c>
      <c r="G51" s="2"/>
      <c r="H51" s="6">
        <v>24601.030000000002</v>
      </c>
      <c r="I51" s="2"/>
      <c r="J51" s="7">
        <f t="shared" si="24"/>
        <v>1.1633324802112781E-2</v>
      </c>
      <c r="K51" s="2"/>
      <c r="L51" s="6">
        <f t="shared" si="25"/>
        <v>-24601.030000000002</v>
      </c>
      <c r="M51" s="2"/>
      <c r="N51" s="7">
        <f t="shared" si="26"/>
        <v>-1</v>
      </c>
      <c r="O51" s="11"/>
      <c r="P51" s="6">
        <v>208908.99000000002</v>
      </c>
      <c r="Q51" s="2"/>
      <c r="R51" s="7">
        <f t="shared" si="27"/>
        <v>1.5283263374431907E-2</v>
      </c>
      <c r="S51" s="2"/>
      <c r="T51" s="6">
        <v>249867.55000000002</v>
      </c>
      <c r="U51" s="2"/>
      <c r="V51" s="7">
        <f t="shared" si="28"/>
        <v>1.5338885610506978E-2</v>
      </c>
      <c r="W51" s="2"/>
      <c r="X51" s="6">
        <f t="shared" si="29"/>
        <v>-40958.559999999998</v>
      </c>
      <c r="Y51" s="2"/>
      <c r="Z51" s="7">
        <f t="shared" si="30"/>
        <v>-0.16392108539104014</v>
      </c>
    </row>
    <row r="52" spans="1:26" s="25" customFormat="1" outlineLevel="1" collapsed="1" x14ac:dyDescent="0.25">
      <c r="A52" s="26"/>
      <c r="B52" s="13" t="str">
        <f>CONCATENATE("     ","Advertising/Promo                                 ")</f>
        <v xml:space="preserve">     Advertising/Promo                                 </v>
      </c>
      <c r="C52" s="13"/>
      <c r="D52" s="1">
        <f>SUM(OSRRefD22_2x_0)</f>
        <v>256.07</v>
      </c>
      <c r="E52" s="1"/>
      <c r="F52" s="5">
        <f t="shared" ref="F52:F61" si="31">IF(D$12=0,0,D52/D$12)</f>
        <v>5.8884264262883158E-2</v>
      </c>
      <c r="G52" s="1"/>
      <c r="H52" s="1">
        <f>SUM(OSRRefH22_2x_0)</f>
        <v>3905.65</v>
      </c>
      <c r="I52" s="1"/>
      <c r="J52" s="5">
        <f t="shared" ref="J52:J61" si="32">IF(H$12=0,0,H52/H$12)</f>
        <v>1.8469021424457343E-3</v>
      </c>
      <c r="K52" s="1"/>
      <c r="L52" s="1">
        <f t="shared" ref="L52:L61" si="33">+D52-H52</f>
        <v>-3649.58</v>
      </c>
      <c r="M52" s="1"/>
      <c r="N52" s="5">
        <f t="shared" ref="N52:N61" si="34">IF(H52=0,0,L52/H52)</f>
        <v>-0.93443600937103932</v>
      </c>
      <c r="O52" s="13"/>
      <c r="P52" s="1">
        <f>SUM(OSRRefP22_2x_0)</f>
        <v>36871.68</v>
      </c>
      <c r="Q52" s="1"/>
      <c r="R52" s="5">
        <f t="shared" ref="R52:R61" si="35">IF(P$12=0,0,P52/P$12)</f>
        <v>2.6974406247322023E-3</v>
      </c>
      <c r="S52" s="1"/>
      <c r="T52" s="1">
        <f>SUM(OSRRefT22_2x_0)</f>
        <v>44294.140000000007</v>
      </c>
      <c r="U52" s="1"/>
      <c r="V52" s="5">
        <f t="shared" ref="V52:V61" si="36">IF(T$12=0,0,T52/T$12)</f>
        <v>2.719131582615596E-3</v>
      </c>
      <c r="W52" s="1"/>
      <c r="X52" s="1">
        <f t="shared" ref="X52:X61" si="37">+P52-T52</f>
        <v>-7422.4600000000064</v>
      </c>
      <c r="Y52" s="1"/>
      <c r="Z52" s="5">
        <f t="shared" ref="Z52:Z61" si="38">IF(T52=0,0,X52/T52)</f>
        <v>-0.1675720535492958</v>
      </c>
    </row>
    <row r="53" spans="1:26" s="24" customFormat="1" hidden="1" outlineLevel="2" x14ac:dyDescent="0.25">
      <c r="A53" s="27"/>
      <c r="B53" s="11" t="str">
        <f>CONCATENATE("          ", "6362", " - ", "ADVERTISING EXPENSE")</f>
        <v xml:space="preserve">          6362 - ADVERTISING EXPENSE</v>
      </c>
      <c r="C53" s="11"/>
      <c r="D53" s="6">
        <v>256.07</v>
      </c>
      <c r="E53" s="2"/>
      <c r="F53" s="7">
        <f t="shared" si="31"/>
        <v>5.8884264262883158E-2</v>
      </c>
      <c r="G53" s="2"/>
      <c r="H53" s="6">
        <v>3905.65</v>
      </c>
      <c r="I53" s="2"/>
      <c r="J53" s="7">
        <f t="shared" si="32"/>
        <v>1.8469021424457343E-3</v>
      </c>
      <c r="K53" s="2"/>
      <c r="L53" s="6">
        <f t="shared" si="33"/>
        <v>-3649.58</v>
      </c>
      <c r="M53" s="2"/>
      <c r="N53" s="7">
        <f t="shared" si="34"/>
        <v>-0.93443600937103932</v>
      </c>
      <c r="O53" s="11"/>
      <c r="P53" s="6">
        <v>36871.68</v>
      </c>
      <c r="Q53" s="2"/>
      <c r="R53" s="7">
        <f t="shared" si="35"/>
        <v>2.6974406247322023E-3</v>
      </c>
      <c r="S53" s="2"/>
      <c r="T53" s="6">
        <v>44294.140000000007</v>
      </c>
      <c r="U53" s="2"/>
      <c r="V53" s="7">
        <f t="shared" si="36"/>
        <v>2.719131582615596E-3</v>
      </c>
      <c r="W53" s="2"/>
      <c r="X53" s="6">
        <f t="shared" si="37"/>
        <v>-7422.4600000000064</v>
      </c>
      <c r="Y53" s="2"/>
      <c r="Z53" s="7">
        <f t="shared" si="38"/>
        <v>-0.1675720535492958</v>
      </c>
    </row>
    <row r="54" spans="1:26" s="25" customFormat="1" outlineLevel="1" collapsed="1" x14ac:dyDescent="0.25">
      <c r="A54" s="26"/>
      <c r="B54" s="13" t="str">
        <f>CONCATENATE("     ","Bad Debts/Over/Short                              ")</f>
        <v xml:space="preserve">     Bad Debts/Over/Short                              </v>
      </c>
      <c r="C54" s="13"/>
      <c r="D54" s="1">
        <f>SUM(OSRRefD22_3x_0)</f>
        <v>0</v>
      </c>
      <c r="E54" s="1"/>
      <c r="F54" s="5">
        <f t="shared" si="31"/>
        <v>0</v>
      </c>
      <c r="G54" s="1"/>
      <c r="H54" s="1">
        <f>SUM(OSRRefH22_3x_0)</f>
        <v>-155.5</v>
      </c>
      <c r="I54" s="1"/>
      <c r="J54" s="5">
        <f t="shared" si="32"/>
        <v>-7.3532775120738333E-5</v>
      </c>
      <c r="K54" s="1"/>
      <c r="L54" s="1">
        <f t="shared" si="33"/>
        <v>155.5</v>
      </c>
      <c r="M54" s="1"/>
      <c r="N54" s="5">
        <f t="shared" si="34"/>
        <v>-1</v>
      </c>
      <c r="O54" s="13"/>
      <c r="P54" s="1">
        <f>SUM(OSRRefP22_3x_0)</f>
        <v>-197.1</v>
      </c>
      <c r="Q54" s="1"/>
      <c r="R54" s="5">
        <f t="shared" si="35"/>
        <v>-1.4419346965875085E-5</v>
      </c>
      <c r="S54" s="1"/>
      <c r="T54" s="1">
        <f>SUM(OSRRefT22_3x_0)</f>
        <v>1327.48</v>
      </c>
      <c r="U54" s="1"/>
      <c r="V54" s="5">
        <f t="shared" si="36"/>
        <v>8.1491429640366669E-5</v>
      </c>
      <c r="W54" s="1"/>
      <c r="X54" s="1">
        <f t="shared" si="37"/>
        <v>-1524.58</v>
      </c>
      <c r="Y54" s="1"/>
      <c r="Z54" s="5">
        <f t="shared" si="38"/>
        <v>-1.1484768132099918</v>
      </c>
    </row>
    <row r="55" spans="1:26" s="24" customFormat="1" hidden="1" outlineLevel="2" x14ac:dyDescent="0.25">
      <c r="A55" s="27"/>
      <c r="B55" s="11" t="str">
        <f>CONCATENATE("          ", "6272", " - ", "CASH (OVER/SHORT)")</f>
        <v xml:space="preserve">          6272 - CASH (OVER/SHORT)</v>
      </c>
      <c r="C55" s="11"/>
      <c r="D55" s="6"/>
      <c r="E55" s="2"/>
      <c r="F55" s="7">
        <f t="shared" si="31"/>
        <v>0</v>
      </c>
      <c r="G55" s="2"/>
      <c r="H55" s="6">
        <v>-155.5</v>
      </c>
      <c r="I55" s="2"/>
      <c r="J55" s="7">
        <f t="shared" si="32"/>
        <v>-7.3532775120738333E-5</v>
      </c>
      <c r="K55" s="2"/>
      <c r="L55" s="6">
        <f t="shared" si="33"/>
        <v>155.5</v>
      </c>
      <c r="M55" s="2"/>
      <c r="N55" s="7">
        <f t="shared" si="34"/>
        <v>-1</v>
      </c>
      <c r="O55" s="11"/>
      <c r="P55" s="6">
        <v>-197.1</v>
      </c>
      <c r="Q55" s="2"/>
      <c r="R55" s="7">
        <f t="shared" si="35"/>
        <v>-1.4419346965875085E-5</v>
      </c>
      <c r="S55" s="2"/>
      <c r="T55" s="6">
        <v>1327.48</v>
      </c>
      <c r="U55" s="2"/>
      <c r="V55" s="7">
        <f t="shared" si="36"/>
        <v>8.1491429640366669E-5</v>
      </c>
      <c r="W55" s="2"/>
      <c r="X55" s="6">
        <f t="shared" si="37"/>
        <v>-1524.58</v>
      </c>
      <c r="Y55" s="2"/>
      <c r="Z55" s="7">
        <f t="shared" si="38"/>
        <v>-1.1484768132099918</v>
      </c>
    </row>
    <row r="56" spans="1:26" s="25" customFormat="1" outlineLevel="1" collapsed="1" x14ac:dyDescent="0.25">
      <c r="A56" s="26"/>
      <c r="B56" s="13" t="str">
        <f>CONCATENATE("     ","Bank/card Fees                                    ")</f>
        <v xml:space="preserve">     Bank/card Fees                                    </v>
      </c>
      <c r="C56" s="13"/>
      <c r="D56" s="1">
        <f>SUM(OSRRefD22_4x_0)</f>
        <v>2778.44</v>
      </c>
      <c r="E56" s="1"/>
      <c r="F56" s="5">
        <f t="shared" si="31"/>
        <v>0.63891277853151518</v>
      </c>
      <c r="G56" s="1"/>
      <c r="H56" s="1">
        <f>SUM(OSRRefH22_4x_0)</f>
        <v>22376.550000000003</v>
      </c>
      <c r="I56" s="1"/>
      <c r="J56" s="5">
        <f t="shared" si="32"/>
        <v>1.0581413627832525E-2</v>
      </c>
      <c r="K56" s="1"/>
      <c r="L56" s="1">
        <f t="shared" si="33"/>
        <v>-19598.110000000004</v>
      </c>
      <c r="M56" s="1"/>
      <c r="N56" s="5">
        <f t="shared" si="34"/>
        <v>-0.87583251216116875</v>
      </c>
      <c r="O56" s="13"/>
      <c r="P56" s="1">
        <f>SUM(OSRRefP22_4x_0)</f>
        <v>152244.37</v>
      </c>
      <c r="Q56" s="1"/>
      <c r="R56" s="5">
        <f t="shared" si="35"/>
        <v>1.1137820368498547E-2</v>
      </c>
      <c r="S56" s="1"/>
      <c r="T56" s="1">
        <f>SUM(OSRRefT22_4x_0)</f>
        <v>193716.51</v>
      </c>
      <c r="U56" s="1"/>
      <c r="V56" s="5">
        <f t="shared" si="36"/>
        <v>1.1891881870041272E-2</v>
      </c>
      <c r="W56" s="1"/>
      <c r="X56" s="1">
        <f t="shared" si="37"/>
        <v>-41472.140000000014</v>
      </c>
      <c r="Y56" s="1"/>
      <c r="Z56" s="5">
        <f t="shared" si="38"/>
        <v>-0.21408676008049088</v>
      </c>
    </row>
    <row r="57" spans="1:26" s="24" customFormat="1" hidden="1" outlineLevel="2" x14ac:dyDescent="0.25">
      <c r="A57" s="27"/>
      <c r="B57" s="11" t="str">
        <f>CONCATENATE("          ", "6381", " - ", "BANK/CREDIT CARD FEES")</f>
        <v xml:space="preserve">          6381 - BANK/CREDIT CARD FEES</v>
      </c>
      <c r="C57" s="11"/>
      <c r="D57" s="6">
        <v>2778.44</v>
      </c>
      <c r="E57" s="2"/>
      <c r="F57" s="7">
        <f t="shared" si="31"/>
        <v>0.63891277853151518</v>
      </c>
      <c r="G57" s="2"/>
      <c r="H57" s="6">
        <v>22376.550000000003</v>
      </c>
      <c r="I57" s="2"/>
      <c r="J57" s="7">
        <f t="shared" si="32"/>
        <v>1.0581413627832525E-2</v>
      </c>
      <c r="K57" s="2"/>
      <c r="L57" s="6">
        <f t="shared" si="33"/>
        <v>-19598.110000000004</v>
      </c>
      <c r="M57" s="2"/>
      <c r="N57" s="7">
        <f t="shared" si="34"/>
        <v>-0.87583251216116875</v>
      </c>
      <c r="O57" s="11"/>
      <c r="P57" s="6">
        <v>152244.37</v>
      </c>
      <c r="Q57" s="2"/>
      <c r="R57" s="7">
        <f t="shared" si="35"/>
        <v>1.1137820368498547E-2</v>
      </c>
      <c r="S57" s="2"/>
      <c r="T57" s="6">
        <v>193716.51</v>
      </c>
      <c r="U57" s="2"/>
      <c r="V57" s="7">
        <f t="shared" si="36"/>
        <v>1.1891881870041272E-2</v>
      </c>
      <c r="W57" s="2"/>
      <c r="X57" s="6">
        <f t="shared" si="37"/>
        <v>-41472.140000000014</v>
      </c>
      <c r="Y57" s="2"/>
      <c r="Z57" s="7">
        <f t="shared" si="38"/>
        <v>-0.21408676008049088</v>
      </c>
    </row>
    <row r="58" spans="1:26" s="25" customFormat="1" outlineLevel="1" collapsed="1" x14ac:dyDescent="0.25">
      <c r="A58" s="26"/>
      <c r="B58" s="13" t="str">
        <f>CONCATENATE("     ","Depreciation                                      ")</f>
        <v xml:space="preserve">     Depreciation                                      </v>
      </c>
      <c r="C58" s="13"/>
      <c r="D58" s="1">
        <f>SUM(OSRRefD22_5x_0)</f>
        <v>38354.51</v>
      </c>
      <c r="E58" s="1"/>
      <c r="F58" s="5">
        <f t="shared" si="31"/>
        <v>8.8197645273300083</v>
      </c>
      <c r="G58" s="1"/>
      <c r="H58" s="1">
        <f>SUM(OSRRefH22_5x_0)</f>
        <v>41842.239999999998</v>
      </c>
      <c r="I58" s="1"/>
      <c r="J58" s="5">
        <f t="shared" si="32"/>
        <v>1.97863409933631E-2</v>
      </c>
      <c r="K58" s="1"/>
      <c r="L58" s="1">
        <f t="shared" si="33"/>
        <v>-3487.7299999999959</v>
      </c>
      <c r="M58" s="1"/>
      <c r="N58" s="5">
        <f t="shared" si="34"/>
        <v>-8.3354285047836735E-2</v>
      </c>
      <c r="O58" s="13"/>
      <c r="P58" s="1">
        <f>SUM(OSRRefP22_5x_0)</f>
        <v>402319.14999999997</v>
      </c>
      <c r="Q58" s="1"/>
      <c r="R58" s="5">
        <f t="shared" si="35"/>
        <v>2.9432670800943393E-2</v>
      </c>
      <c r="S58" s="1"/>
      <c r="T58" s="1">
        <f>SUM(OSRRefT22_5x_0)</f>
        <v>391281.28</v>
      </c>
      <c r="U58" s="1"/>
      <c r="V58" s="5">
        <f t="shared" si="36"/>
        <v>2.4020000978329327E-2</v>
      </c>
      <c r="W58" s="1"/>
      <c r="X58" s="1">
        <f t="shared" si="37"/>
        <v>11037.869999999937</v>
      </c>
      <c r="Y58" s="1"/>
      <c r="Z58" s="5">
        <f t="shared" si="38"/>
        <v>2.8209552984492219E-2</v>
      </c>
    </row>
    <row r="59" spans="1:26" s="24" customFormat="1" hidden="1" outlineLevel="2" x14ac:dyDescent="0.25">
      <c r="A59" s="27"/>
      <c r="B59" s="11" t="str">
        <f>CONCATENATE("          ", "6321", " - ", "BUILDING DEPRECIATION")</f>
        <v xml:space="preserve">          6321 - BUILDING DEPRECIATION</v>
      </c>
      <c r="C59" s="11"/>
      <c r="D59" s="6">
        <v>24042.959999999999</v>
      </c>
      <c r="E59" s="2"/>
      <c r="F59" s="7">
        <f t="shared" si="31"/>
        <v>5.5287695173270173</v>
      </c>
      <c r="G59" s="2"/>
      <c r="H59" s="6">
        <v>26899.8</v>
      </c>
      <c r="I59" s="2"/>
      <c r="J59" s="7">
        <f t="shared" si="32"/>
        <v>1.2720366200597022E-2</v>
      </c>
      <c r="K59" s="2"/>
      <c r="L59" s="6">
        <f t="shared" si="33"/>
        <v>-2856.84</v>
      </c>
      <c r="M59" s="2"/>
      <c r="N59" s="7">
        <f t="shared" si="34"/>
        <v>-0.1062030200968037</v>
      </c>
      <c r="O59" s="11"/>
      <c r="P59" s="6">
        <v>240429.59999999998</v>
      </c>
      <c r="Q59" s="2"/>
      <c r="R59" s="7">
        <f t="shared" si="35"/>
        <v>1.7589232994756773E-2</v>
      </c>
      <c r="S59" s="2"/>
      <c r="T59" s="6">
        <v>249899.30000000002</v>
      </c>
      <c r="U59" s="2"/>
      <c r="V59" s="7">
        <f t="shared" si="36"/>
        <v>1.5340834681597377E-2</v>
      </c>
      <c r="W59" s="2"/>
      <c r="X59" s="6">
        <f t="shared" si="37"/>
        <v>-9469.7000000000407</v>
      </c>
      <c r="Y59" s="2"/>
      <c r="Z59" s="7">
        <f t="shared" si="38"/>
        <v>-3.789406372887015E-2</v>
      </c>
    </row>
    <row r="60" spans="1:26" s="24" customFormat="1" hidden="1" outlineLevel="2" x14ac:dyDescent="0.25">
      <c r="A60" s="27"/>
      <c r="B60" s="11" t="str">
        <f>CONCATENATE("          ", "6322", " - ", "EQUIPMENT DEPRECIATION EXPENSE")</f>
        <v xml:space="preserve">          6322 - EQUIPMENT DEPRECIATION EXPENSE</v>
      </c>
      <c r="C60" s="11"/>
      <c r="D60" s="6">
        <v>13887.32</v>
      </c>
      <c r="E60" s="2"/>
      <c r="F60" s="7">
        <f t="shared" si="31"/>
        <v>3.1934417182146388</v>
      </c>
      <c r="G60" s="2"/>
      <c r="H60" s="6">
        <v>14518.19</v>
      </c>
      <c r="I60" s="2"/>
      <c r="J60" s="7">
        <f t="shared" si="32"/>
        <v>6.8653556297758982E-3</v>
      </c>
      <c r="K60" s="2"/>
      <c r="L60" s="6">
        <f t="shared" si="33"/>
        <v>-630.8700000000008</v>
      </c>
      <c r="M60" s="2"/>
      <c r="N60" s="7">
        <f t="shared" si="34"/>
        <v>-4.3453763864503822E-2</v>
      </c>
      <c r="O60" s="11"/>
      <c r="P60" s="6">
        <v>157647.07</v>
      </c>
      <c r="Q60" s="2"/>
      <c r="R60" s="7">
        <f t="shared" si="35"/>
        <v>1.1533068495604247E-2</v>
      </c>
      <c r="S60" s="2"/>
      <c r="T60" s="6">
        <v>137139.48000000001</v>
      </c>
      <c r="U60" s="2"/>
      <c r="V60" s="7">
        <f t="shared" si="36"/>
        <v>8.4187274274086787E-3</v>
      </c>
      <c r="W60" s="2"/>
      <c r="X60" s="6">
        <f t="shared" si="37"/>
        <v>20507.589999999997</v>
      </c>
      <c r="Y60" s="2"/>
      <c r="Z60" s="7">
        <f t="shared" si="38"/>
        <v>0.14953819279466421</v>
      </c>
    </row>
    <row r="61" spans="1:26" s="24" customFormat="1" hidden="1" outlineLevel="2" x14ac:dyDescent="0.25">
      <c r="A61" s="27"/>
      <c r="B61" s="11" t="str">
        <f>CONCATENATE("          ", "6326", " - ", "VEHICLES DEPRECIATION EXPENSE")</f>
        <v xml:space="preserve">          6326 - VEHICLES DEPRECIATION EXPENSE</v>
      </c>
      <c r="C61" s="11"/>
      <c r="D61" s="6">
        <v>424.23</v>
      </c>
      <c r="E61" s="2"/>
      <c r="F61" s="7">
        <f t="shared" si="31"/>
        <v>9.7553291788350552E-2</v>
      </c>
      <c r="G61" s="2"/>
      <c r="H61" s="6">
        <v>424.25</v>
      </c>
      <c r="I61" s="2"/>
      <c r="J61" s="7">
        <f t="shared" si="32"/>
        <v>2.006191629901816E-4</v>
      </c>
      <c r="K61" s="2"/>
      <c r="L61" s="6">
        <f t="shared" si="33"/>
        <v>-1.999999999998181E-2</v>
      </c>
      <c r="M61" s="2"/>
      <c r="N61" s="7">
        <f t="shared" si="34"/>
        <v>-4.7142015321112106E-5</v>
      </c>
      <c r="O61" s="11"/>
      <c r="P61" s="6">
        <v>4242.4799999999996</v>
      </c>
      <c r="Q61" s="2"/>
      <c r="R61" s="7">
        <f t="shared" si="35"/>
        <v>3.1036931058237303E-4</v>
      </c>
      <c r="S61" s="2"/>
      <c r="T61" s="6">
        <v>4242.5</v>
      </c>
      <c r="U61" s="2"/>
      <c r="V61" s="7">
        <f t="shared" si="36"/>
        <v>2.6043886932327086E-4</v>
      </c>
      <c r="W61" s="2"/>
      <c r="X61" s="6">
        <f t="shared" si="37"/>
        <v>-2.0000000000436557E-2</v>
      </c>
      <c r="Y61" s="2"/>
      <c r="Z61" s="7">
        <f t="shared" si="38"/>
        <v>-4.7142015322183987E-6</v>
      </c>
    </row>
    <row r="62" spans="1:26" s="25" customFormat="1" outlineLevel="1" collapsed="1" x14ac:dyDescent="0.25">
      <c r="A62" s="26"/>
      <c r="B62" s="13" t="str">
        <f>CONCATENATE("     ","Discounts and Markdowns                           ")</f>
        <v xml:space="preserve">     Discounts and Markdowns                           </v>
      </c>
      <c r="C62" s="13"/>
      <c r="D62" s="1">
        <f>SUM(OSRRefD22_6x_0)</f>
        <v>0</v>
      </c>
      <c r="E62" s="1"/>
      <c r="F62" s="5">
        <f t="shared" ref="F62:F74" si="39">IF(D$12=0,0,D62/D$12)</f>
        <v>0</v>
      </c>
      <c r="G62" s="1"/>
      <c r="H62" s="1">
        <f>SUM(OSRRefH22_6x_0)</f>
        <v>0</v>
      </c>
      <c r="I62" s="1"/>
      <c r="J62" s="5">
        <f t="shared" ref="J62:J74" si="40">IF(H$12=0,0,H62/H$12)</f>
        <v>0</v>
      </c>
      <c r="K62" s="1"/>
      <c r="L62" s="1">
        <f t="shared" ref="L62:L74" si="41">+D62-H62</f>
        <v>0</v>
      </c>
      <c r="M62" s="1"/>
      <c r="N62" s="5">
        <f t="shared" ref="N62:N74" si="42">IF(H62=0,0,L62/H62)</f>
        <v>0</v>
      </c>
      <c r="O62" s="13"/>
      <c r="P62" s="1">
        <f>SUM(OSRRefP22_6x_0)</f>
        <v>0.09</v>
      </c>
      <c r="Q62" s="1"/>
      <c r="R62" s="5">
        <f t="shared" ref="R62:R74" si="43">IF(P$12=0,0,P62/P$12)</f>
        <v>6.584176696746614E-9</v>
      </c>
      <c r="S62" s="1"/>
      <c r="T62" s="1">
        <f>SUM(OSRRefT22_6x_0)</f>
        <v>0</v>
      </c>
      <c r="U62" s="1"/>
      <c r="V62" s="5">
        <f t="shared" ref="V62:V74" si="44">IF(T$12=0,0,T62/T$12)</f>
        <v>0</v>
      </c>
      <c r="W62" s="1"/>
      <c r="X62" s="1">
        <f t="shared" ref="X62:X74" si="45">+P62-T62</f>
        <v>0.09</v>
      </c>
      <c r="Y62" s="1"/>
      <c r="Z62" s="5">
        <f t="shared" ref="Z62:Z74" si="46">IF(T62=0,0,X62/T62)</f>
        <v>0</v>
      </c>
    </row>
    <row r="63" spans="1:26" s="24" customFormat="1" hidden="1" outlineLevel="2" x14ac:dyDescent="0.25">
      <c r="A63" s="27"/>
      <c r="B63" s="11" t="str">
        <f>CONCATENATE("          ", "6382", " - ", "DISCOUNTS/MARK DOWNS")</f>
        <v xml:space="preserve">          6382 - DISCOUNTS/MARK DOWNS</v>
      </c>
      <c r="C63" s="11"/>
      <c r="D63" s="6"/>
      <c r="E63" s="2"/>
      <c r="F63" s="7">
        <f t="shared" si="39"/>
        <v>0</v>
      </c>
      <c r="G63" s="2"/>
      <c r="H63" s="6"/>
      <c r="I63" s="2"/>
      <c r="J63" s="7">
        <f t="shared" si="40"/>
        <v>0</v>
      </c>
      <c r="K63" s="2"/>
      <c r="L63" s="6">
        <f t="shared" si="41"/>
        <v>0</v>
      </c>
      <c r="M63" s="2"/>
      <c r="N63" s="7">
        <f t="shared" si="42"/>
        <v>0</v>
      </c>
      <c r="O63" s="11"/>
      <c r="P63" s="6">
        <v>0.09</v>
      </c>
      <c r="Q63" s="2"/>
      <c r="R63" s="7">
        <f t="shared" si="43"/>
        <v>6.584176696746614E-9</v>
      </c>
      <c r="S63" s="2"/>
      <c r="T63" s="6"/>
      <c r="U63" s="2"/>
      <c r="V63" s="7">
        <f t="shared" si="44"/>
        <v>0</v>
      </c>
      <c r="W63" s="2"/>
      <c r="X63" s="6">
        <f t="shared" si="45"/>
        <v>0.09</v>
      </c>
      <c r="Y63" s="2"/>
      <c r="Z63" s="7">
        <f t="shared" si="46"/>
        <v>0</v>
      </c>
    </row>
    <row r="64" spans="1:26" s="25" customFormat="1" outlineLevel="1" collapsed="1" x14ac:dyDescent="0.25">
      <c r="A64" s="26"/>
      <c r="B64" s="13" t="str">
        <f>CONCATENATE("     ","Donations                                         ")</f>
        <v xml:space="preserve">     Donations                                         </v>
      </c>
      <c r="C64" s="13"/>
      <c r="D64" s="1">
        <f>SUM(OSRRefD22_7x_0)</f>
        <v>0</v>
      </c>
      <c r="E64" s="1"/>
      <c r="F64" s="5">
        <f t="shared" si="39"/>
        <v>0</v>
      </c>
      <c r="G64" s="1"/>
      <c r="H64" s="1">
        <f>SUM(OSRRefH22_7x_0)</f>
        <v>16536.649999999998</v>
      </c>
      <c r="I64" s="1"/>
      <c r="J64" s="5">
        <f t="shared" si="40"/>
        <v>7.8198441524138743E-3</v>
      </c>
      <c r="K64" s="1"/>
      <c r="L64" s="1">
        <f t="shared" si="41"/>
        <v>-16536.649999999998</v>
      </c>
      <c r="M64" s="1"/>
      <c r="N64" s="5">
        <f t="shared" si="42"/>
        <v>-1</v>
      </c>
      <c r="O64" s="13"/>
      <c r="P64" s="1">
        <f>SUM(OSRRefP22_7x_0)</f>
        <v>120380.53</v>
      </c>
      <c r="Q64" s="1"/>
      <c r="R64" s="5">
        <f t="shared" si="43"/>
        <v>8.8067408929778518E-3</v>
      </c>
      <c r="S64" s="1"/>
      <c r="T64" s="1">
        <f>SUM(OSRRefT22_7x_0)</f>
        <v>125800.16</v>
      </c>
      <c r="U64" s="1"/>
      <c r="V64" s="5">
        <f t="shared" si="44"/>
        <v>7.7226285046756793E-3</v>
      </c>
      <c r="W64" s="1"/>
      <c r="X64" s="1">
        <f t="shared" si="45"/>
        <v>-5419.6300000000047</v>
      </c>
      <c r="Y64" s="1"/>
      <c r="Z64" s="5">
        <f t="shared" si="46"/>
        <v>-4.308126476150749E-2</v>
      </c>
    </row>
    <row r="65" spans="1:26" s="24" customFormat="1" hidden="1" outlineLevel="2" x14ac:dyDescent="0.25">
      <c r="A65" s="27"/>
      <c r="B65" s="11" t="str">
        <f>CONCATENATE("          ", "6399", " - ", "DONATION-ON CAMPUS")</f>
        <v xml:space="preserve">          6399 - DONATION-ON CAMPUS</v>
      </c>
      <c r="C65" s="11"/>
      <c r="D65" s="6"/>
      <c r="E65" s="2"/>
      <c r="F65" s="7">
        <f t="shared" si="39"/>
        <v>0</v>
      </c>
      <c r="G65" s="2"/>
      <c r="H65" s="6">
        <v>16536.649999999998</v>
      </c>
      <c r="I65" s="2"/>
      <c r="J65" s="7">
        <f t="shared" si="40"/>
        <v>7.8198441524138743E-3</v>
      </c>
      <c r="K65" s="2"/>
      <c r="L65" s="6">
        <f t="shared" si="41"/>
        <v>-16536.649999999998</v>
      </c>
      <c r="M65" s="2"/>
      <c r="N65" s="7">
        <f t="shared" si="42"/>
        <v>-1</v>
      </c>
      <c r="O65" s="11"/>
      <c r="P65" s="6">
        <v>120380.53</v>
      </c>
      <c r="Q65" s="2"/>
      <c r="R65" s="7">
        <f t="shared" si="43"/>
        <v>8.8067408929778518E-3</v>
      </c>
      <c r="S65" s="2"/>
      <c r="T65" s="6">
        <v>125800.16</v>
      </c>
      <c r="U65" s="2"/>
      <c r="V65" s="7">
        <f t="shared" si="44"/>
        <v>7.7226285046756793E-3</v>
      </c>
      <c r="W65" s="2"/>
      <c r="X65" s="6">
        <f t="shared" si="45"/>
        <v>-5419.6300000000047</v>
      </c>
      <c r="Y65" s="2"/>
      <c r="Z65" s="7">
        <f t="shared" si="46"/>
        <v>-4.308126476150749E-2</v>
      </c>
    </row>
    <row r="66" spans="1:26" s="25" customFormat="1" outlineLevel="1" collapsed="1" x14ac:dyDescent="0.25">
      <c r="A66" s="26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SUM(OSRRefD22_8x_0)</f>
        <v>0</v>
      </c>
      <c r="E66" s="1"/>
      <c r="F66" s="5">
        <f t="shared" si="39"/>
        <v>0</v>
      </c>
      <c r="G66" s="1"/>
      <c r="H66" s="1">
        <f>SUM(OSRRefH22_8x_0)</f>
        <v>1154.24</v>
      </c>
      <c r="I66" s="1"/>
      <c r="J66" s="5">
        <f t="shared" si="40"/>
        <v>5.4581652961646957E-4</v>
      </c>
      <c r="K66" s="1"/>
      <c r="L66" s="1">
        <f t="shared" si="41"/>
        <v>-1154.24</v>
      </c>
      <c r="M66" s="1"/>
      <c r="N66" s="5">
        <f t="shared" si="42"/>
        <v>-1</v>
      </c>
      <c r="O66" s="13"/>
      <c r="P66" s="1">
        <f>SUM(OSRRefP22_8x_0)</f>
        <v>3471.24</v>
      </c>
      <c r="Q66" s="1"/>
      <c r="R66" s="5">
        <f t="shared" si="43"/>
        <v>2.5394730574238575E-4</v>
      </c>
      <c r="S66" s="1"/>
      <c r="T66" s="1">
        <f>SUM(OSRRefT22_8x_0)</f>
        <v>5297.24</v>
      </c>
      <c r="U66" s="1"/>
      <c r="V66" s="5">
        <f t="shared" si="44"/>
        <v>3.2518731788662425E-4</v>
      </c>
      <c r="W66" s="1"/>
      <c r="X66" s="1">
        <f t="shared" si="45"/>
        <v>-1826</v>
      </c>
      <c r="Y66" s="1"/>
      <c r="Z66" s="5">
        <f t="shared" si="46"/>
        <v>-0.34470781010488483</v>
      </c>
    </row>
    <row r="67" spans="1:26" s="24" customFormat="1" hidden="1" outlineLevel="2" x14ac:dyDescent="0.25">
      <c r="A67" s="27"/>
      <c r="B67" s="11" t="str">
        <f>CONCATENATE("          ", "6277", " - ", "EMPLOYEE APPRECIATION")</f>
        <v xml:space="preserve">          6277 - EMPLOYEE APPRECIATION</v>
      </c>
      <c r="C67" s="11"/>
      <c r="D67" s="6"/>
      <c r="E67" s="2"/>
      <c r="F67" s="7">
        <f t="shared" si="39"/>
        <v>0</v>
      </c>
      <c r="G67" s="2"/>
      <c r="H67" s="6">
        <v>1154.24</v>
      </c>
      <c r="I67" s="2"/>
      <c r="J67" s="7">
        <f t="shared" si="40"/>
        <v>5.4581652961646957E-4</v>
      </c>
      <c r="K67" s="2"/>
      <c r="L67" s="6">
        <f t="shared" si="41"/>
        <v>-1154.24</v>
      </c>
      <c r="M67" s="2"/>
      <c r="N67" s="7">
        <f t="shared" si="42"/>
        <v>-1</v>
      </c>
      <c r="O67" s="11"/>
      <c r="P67" s="6">
        <v>3471.24</v>
      </c>
      <c r="Q67" s="2"/>
      <c r="R67" s="7">
        <f t="shared" si="43"/>
        <v>2.5394730574238575E-4</v>
      </c>
      <c r="S67" s="2"/>
      <c r="T67" s="6">
        <v>5297.24</v>
      </c>
      <c r="U67" s="2"/>
      <c r="V67" s="7">
        <f t="shared" si="44"/>
        <v>3.2518731788662425E-4</v>
      </c>
      <c r="W67" s="2"/>
      <c r="X67" s="6">
        <f t="shared" si="45"/>
        <v>-1826</v>
      </c>
      <c r="Y67" s="2"/>
      <c r="Z67" s="7">
        <f t="shared" si="46"/>
        <v>-0.34470781010488483</v>
      </c>
    </row>
    <row r="68" spans="1:26" s="25" customFormat="1" outlineLevel="1" collapsed="1" x14ac:dyDescent="0.25">
      <c r="A68" s="26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SUM(OSRRefD22_9x_0)</f>
        <v>1347.79</v>
      </c>
      <c r="E68" s="1"/>
      <c r="F68" s="5">
        <f t="shared" si="39"/>
        <v>0.30992940418975784</v>
      </c>
      <c r="G68" s="1"/>
      <c r="H68" s="1">
        <f>SUM(OSRRefH22_9x_0)</f>
        <v>2404.12</v>
      </c>
      <c r="I68" s="1"/>
      <c r="J68" s="5">
        <f t="shared" si="40"/>
        <v>1.1368592625290639E-3</v>
      </c>
      <c r="K68" s="1"/>
      <c r="L68" s="1">
        <f t="shared" si="41"/>
        <v>-1056.33</v>
      </c>
      <c r="M68" s="1"/>
      <c r="N68" s="5">
        <f t="shared" si="42"/>
        <v>-0.43938322546295527</v>
      </c>
      <c r="O68" s="13"/>
      <c r="P68" s="1">
        <f>SUM(OSRRefP22_9x_0)</f>
        <v>29955.32</v>
      </c>
      <c r="Q68" s="1"/>
      <c r="R68" s="5">
        <f t="shared" si="43"/>
        <v>2.1914568876398644E-3</v>
      </c>
      <c r="S68" s="1"/>
      <c r="T68" s="1">
        <f>SUM(OSRRefT22_9x_0)</f>
        <v>21578.89</v>
      </c>
      <c r="U68" s="1"/>
      <c r="V68" s="5">
        <f t="shared" si="44"/>
        <v>1.324686320059219E-3</v>
      </c>
      <c r="W68" s="1"/>
      <c r="X68" s="1">
        <f t="shared" si="45"/>
        <v>8376.43</v>
      </c>
      <c r="Y68" s="1"/>
      <c r="Z68" s="5">
        <f t="shared" si="46"/>
        <v>0.38817705637314992</v>
      </c>
    </row>
    <row r="69" spans="1:26" s="24" customFormat="1" hidden="1" outlineLevel="2" x14ac:dyDescent="0.25">
      <c r="A69" s="27"/>
      <c r="B69" s="11" t="str">
        <f>CONCATENATE("          ", "6351", " - ", "EQUIPMENT RENTAL")</f>
        <v xml:space="preserve">          6351 - EQUIPMENT RENTAL</v>
      </c>
      <c r="C69" s="11"/>
      <c r="D69" s="6">
        <v>1347.79</v>
      </c>
      <c r="E69" s="2"/>
      <c r="F69" s="7">
        <f t="shared" si="39"/>
        <v>0.30992940418975784</v>
      </c>
      <c r="G69" s="2"/>
      <c r="H69" s="6">
        <v>2404.12</v>
      </c>
      <c r="I69" s="2"/>
      <c r="J69" s="7">
        <f t="shared" si="40"/>
        <v>1.1368592625290639E-3</v>
      </c>
      <c r="K69" s="2"/>
      <c r="L69" s="6">
        <f t="shared" si="41"/>
        <v>-1056.33</v>
      </c>
      <c r="M69" s="2"/>
      <c r="N69" s="7">
        <f t="shared" si="42"/>
        <v>-0.43938322546295527</v>
      </c>
      <c r="O69" s="11"/>
      <c r="P69" s="6">
        <v>29955.32</v>
      </c>
      <c r="Q69" s="2"/>
      <c r="R69" s="7">
        <f t="shared" si="43"/>
        <v>2.1914568876398644E-3</v>
      </c>
      <c r="S69" s="2"/>
      <c r="T69" s="6">
        <v>21578.89</v>
      </c>
      <c r="U69" s="2"/>
      <c r="V69" s="7">
        <f t="shared" si="44"/>
        <v>1.324686320059219E-3</v>
      </c>
      <c r="W69" s="2"/>
      <c r="X69" s="6">
        <f t="shared" si="45"/>
        <v>8376.43</v>
      </c>
      <c r="Y69" s="2"/>
      <c r="Z69" s="7">
        <f t="shared" si="46"/>
        <v>0.38817705637314992</v>
      </c>
    </row>
    <row r="70" spans="1:26" s="25" customFormat="1" outlineLevel="1" collapsed="1" x14ac:dyDescent="0.25">
      <c r="A70" s="26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SUM(OSRRefD22_10x_0)</f>
        <v>0</v>
      </c>
      <c r="E70" s="1"/>
      <c r="F70" s="5">
        <f t="shared" si="39"/>
        <v>0</v>
      </c>
      <c r="G70" s="1"/>
      <c r="H70" s="1">
        <f>SUM(OSRRefH22_10x_0)</f>
        <v>0</v>
      </c>
      <c r="I70" s="1"/>
      <c r="J70" s="5">
        <f t="shared" si="40"/>
        <v>0</v>
      </c>
      <c r="K70" s="1"/>
      <c r="L70" s="1">
        <f t="shared" si="41"/>
        <v>0</v>
      </c>
      <c r="M70" s="1"/>
      <c r="N70" s="5">
        <f t="shared" si="42"/>
        <v>0</v>
      </c>
      <c r="O70" s="13"/>
      <c r="P70" s="1">
        <f>SUM(OSRRefP22_10x_0)</f>
        <v>0</v>
      </c>
      <c r="Q70" s="1"/>
      <c r="R70" s="5">
        <f t="shared" si="43"/>
        <v>0</v>
      </c>
      <c r="S70" s="1"/>
      <c r="T70" s="1">
        <f>SUM(OSRRefT22_10x_0)</f>
        <v>16.41</v>
      </c>
      <c r="U70" s="1"/>
      <c r="V70" s="5">
        <f t="shared" si="44"/>
        <v>1.0073781604230701E-6</v>
      </c>
      <c r="W70" s="1"/>
      <c r="X70" s="1">
        <f t="shared" si="45"/>
        <v>-16.41</v>
      </c>
      <c r="Y70" s="1"/>
      <c r="Z70" s="5">
        <f t="shared" si="46"/>
        <v>-1</v>
      </c>
    </row>
    <row r="71" spans="1:26" s="24" customFormat="1" hidden="1" outlineLevel="2" x14ac:dyDescent="0.25">
      <c r="A71" s="27"/>
      <c r="B71" s="11" t="str">
        <f>CONCATENATE("          ", "6307", " - ", "POSTAGE")</f>
        <v xml:space="preserve">          6307 - POSTAGE</v>
      </c>
      <c r="C71" s="11"/>
      <c r="D71" s="6"/>
      <c r="E71" s="2"/>
      <c r="F71" s="7">
        <f t="shared" si="39"/>
        <v>0</v>
      </c>
      <c r="G71" s="2"/>
      <c r="H71" s="6"/>
      <c r="I71" s="2"/>
      <c r="J71" s="7">
        <f t="shared" si="40"/>
        <v>0</v>
      </c>
      <c r="K71" s="2"/>
      <c r="L71" s="6">
        <f t="shared" si="41"/>
        <v>0</v>
      </c>
      <c r="M71" s="2"/>
      <c r="N71" s="7">
        <f t="shared" si="42"/>
        <v>0</v>
      </c>
      <c r="O71" s="11"/>
      <c r="P71" s="6"/>
      <c r="Q71" s="2"/>
      <c r="R71" s="7">
        <f t="shared" si="43"/>
        <v>0</v>
      </c>
      <c r="S71" s="2"/>
      <c r="T71" s="6">
        <v>16.41</v>
      </c>
      <c r="U71" s="2"/>
      <c r="V71" s="7">
        <f t="shared" si="44"/>
        <v>1.0073781604230701E-6</v>
      </c>
      <c r="W71" s="2"/>
      <c r="X71" s="6">
        <f t="shared" si="45"/>
        <v>-16.41</v>
      </c>
      <c r="Y71" s="2"/>
      <c r="Z71" s="7">
        <f t="shared" si="46"/>
        <v>-1</v>
      </c>
    </row>
    <row r="72" spans="1:26" s="25" customFormat="1" outlineLevel="1" collapsed="1" x14ac:dyDescent="0.25">
      <c r="A72" s="26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SUM(OSRRefD22_11x_0)</f>
        <v>606.42999999999995</v>
      </c>
      <c r="E72" s="1"/>
      <c r="F72" s="5">
        <f t="shared" si="39"/>
        <v>0.1394508703750546</v>
      </c>
      <c r="G72" s="1"/>
      <c r="H72" s="1">
        <f>SUM(OSRRefH22_11x_0)</f>
        <v>7110.98</v>
      </c>
      <c r="I72" s="1"/>
      <c r="J72" s="5">
        <f t="shared" si="40"/>
        <v>3.3626372554859669E-3</v>
      </c>
      <c r="K72" s="1"/>
      <c r="L72" s="1">
        <f t="shared" si="41"/>
        <v>-6504.5499999999993</v>
      </c>
      <c r="M72" s="1"/>
      <c r="N72" s="5">
        <f t="shared" si="42"/>
        <v>-0.9147192088854138</v>
      </c>
      <c r="O72" s="13"/>
      <c r="P72" s="1">
        <f>SUM(OSRRefP22_11x_0)</f>
        <v>93801.459999999992</v>
      </c>
      <c r="Q72" s="1"/>
      <c r="R72" s="5">
        <f t="shared" si="43"/>
        <v>6.8622820783645509E-3</v>
      </c>
      <c r="S72" s="1"/>
      <c r="T72" s="1">
        <f>SUM(OSRRefT22_11x_0)</f>
        <v>67638.97</v>
      </c>
      <c r="U72" s="1"/>
      <c r="V72" s="5">
        <f t="shared" si="44"/>
        <v>4.1522255436630849E-3</v>
      </c>
      <c r="W72" s="1"/>
      <c r="X72" s="1">
        <f t="shared" si="45"/>
        <v>26162.489999999991</v>
      </c>
      <c r="Y72" s="1"/>
      <c r="Z72" s="5">
        <f t="shared" si="46"/>
        <v>0.38679610289748634</v>
      </c>
    </row>
    <row r="73" spans="1:26" s="24" customFormat="1" hidden="1" outlineLevel="2" x14ac:dyDescent="0.25">
      <c r="A73" s="27"/>
      <c r="B73" s="11" t="str">
        <f>CONCATENATE("          ", "6269", " - ", "ENTERTAINMENT")</f>
        <v xml:space="preserve">          6269 - ENTERTAINMENT</v>
      </c>
      <c r="C73" s="11"/>
      <c r="D73" s="6"/>
      <c r="E73" s="2"/>
      <c r="F73" s="7">
        <f t="shared" si="39"/>
        <v>0</v>
      </c>
      <c r="G73" s="2"/>
      <c r="H73" s="6">
        <v>1700</v>
      </c>
      <c r="I73" s="2"/>
      <c r="J73" s="7">
        <f t="shared" si="40"/>
        <v>8.0389529070903649E-4</v>
      </c>
      <c r="K73" s="2"/>
      <c r="L73" s="6">
        <f t="shared" si="41"/>
        <v>-1700</v>
      </c>
      <c r="M73" s="2"/>
      <c r="N73" s="7">
        <f t="shared" si="42"/>
        <v>-1</v>
      </c>
      <c r="O73" s="11"/>
      <c r="P73" s="6">
        <v>10050</v>
      </c>
      <c r="Q73" s="2"/>
      <c r="R73" s="7">
        <f t="shared" si="43"/>
        <v>7.3523306447003864E-4</v>
      </c>
      <c r="S73" s="2"/>
      <c r="T73" s="6">
        <v>10660</v>
      </c>
      <c r="U73" s="2"/>
      <c r="V73" s="7">
        <f t="shared" si="44"/>
        <v>6.5439678184704003E-4</v>
      </c>
      <c r="W73" s="2"/>
      <c r="X73" s="6">
        <f t="shared" si="45"/>
        <v>-610</v>
      </c>
      <c r="Y73" s="2"/>
      <c r="Z73" s="7">
        <f t="shared" si="46"/>
        <v>-5.7223264540337708E-2</v>
      </c>
    </row>
    <row r="74" spans="1:26" s="24" customFormat="1" hidden="1" outlineLevel="2" x14ac:dyDescent="0.25">
      <c r="A74" s="27"/>
      <c r="B74" s="11" t="str">
        <f>CONCATENATE("          ", "6279", " - ", "GENERAL EXPENSE")</f>
        <v xml:space="preserve">          6279 - GENERAL EXPENSE</v>
      </c>
      <c r="C74" s="11"/>
      <c r="D74" s="6">
        <v>606.42999999999995</v>
      </c>
      <c r="E74" s="2"/>
      <c r="F74" s="7">
        <f t="shared" si="39"/>
        <v>0.1394508703750546</v>
      </c>
      <c r="G74" s="2"/>
      <c r="H74" s="6">
        <v>5410.98</v>
      </c>
      <c r="I74" s="2"/>
      <c r="J74" s="7">
        <f t="shared" si="40"/>
        <v>2.5587419647769304E-3</v>
      </c>
      <c r="K74" s="2"/>
      <c r="L74" s="6">
        <f t="shared" si="41"/>
        <v>-4804.5499999999993</v>
      </c>
      <c r="M74" s="2"/>
      <c r="N74" s="7">
        <f t="shared" si="42"/>
        <v>-0.88792603188331864</v>
      </c>
      <c r="O74" s="11"/>
      <c r="P74" s="6">
        <v>83751.459999999992</v>
      </c>
      <c r="Q74" s="2"/>
      <c r="R74" s="7">
        <f t="shared" si="43"/>
        <v>6.127049013894513E-3</v>
      </c>
      <c r="S74" s="2"/>
      <c r="T74" s="6">
        <v>56978.97</v>
      </c>
      <c r="U74" s="2"/>
      <c r="V74" s="7">
        <f t="shared" si="44"/>
        <v>3.4978287618160453E-3</v>
      </c>
      <c r="W74" s="2"/>
      <c r="X74" s="6">
        <f t="shared" si="45"/>
        <v>26772.489999999991</v>
      </c>
      <c r="Y74" s="2"/>
      <c r="Z74" s="7">
        <f t="shared" si="46"/>
        <v>0.4698661629018564</v>
      </c>
    </row>
    <row r="75" spans="1:26" s="25" customFormat="1" outlineLevel="1" collapsed="1" x14ac:dyDescent="0.25">
      <c r="A75" s="26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SUM(OSRRefD22_12x_0)</f>
        <v>4246.03</v>
      </c>
      <c r="E75" s="1"/>
      <c r="F75" s="5">
        <f t="shared" ref="F75:F89" si="47">IF(D$12=0,0,D75/D$12)</f>
        <v>0.97639064548025845</v>
      </c>
      <c r="G75" s="1"/>
      <c r="H75" s="1">
        <f>SUM(OSRRefH22_12x_0)</f>
        <v>3998.11</v>
      </c>
      <c r="I75" s="1"/>
      <c r="J75" s="5">
        <f t="shared" ref="J75:J89" si="48">IF(H$12=0,0,H75/H$12)</f>
        <v>1.8906245886686505E-3</v>
      </c>
      <c r="K75" s="1"/>
      <c r="L75" s="1">
        <f t="shared" ref="L75:L89" si="49">+D75-H75</f>
        <v>247.91999999999962</v>
      </c>
      <c r="M75" s="1"/>
      <c r="N75" s="5">
        <f t="shared" ref="N75:N89" si="50">IF(H75=0,0,L75/H75)</f>
        <v>6.2009299393963553E-2</v>
      </c>
      <c r="O75" s="13"/>
      <c r="P75" s="1">
        <f>SUM(OSRRefP22_12x_0)</f>
        <v>48221.299999999996</v>
      </c>
      <c r="Q75" s="1"/>
      <c r="R75" s="5">
        <f t="shared" ref="R75:R89" si="51">IF(P$12=0,0,P75/P$12)</f>
        <v>3.5277506638536388E-3</v>
      </c>
      <c r="S75" s="1"/>
      <c r="T75" s="1">
        <f>SUM(OSRRefT22_12x_0)</f>
        <v>37465.79</v>
      </c>
      <c r="U75" s="1"/>
      <c r="V75" s="5">
        <f t="shared" ref="V75:V89" si="52">IF(T$12=0,0,T75/T$12)</f>
        <v>2.2999523832417461E-3</v>
      </c>
      <c r="W75" s="1"/>
      <c r="X75" s="1">
        <f t="shared" ref="X75:X89" si="53">+P75-T75</f>
        <v>10755.509999999995</v>
      </c>
      <c r="Y75" s="1"/>
      <c r="Z75" s="5">
        <f t="shared" ref="Z75:Z89" si="54">IF(T75=0,0,X75/T75)</f>
        <v>0.28707548939979632</v>
      </c>
    </row>
    <row r="76" spans="1:26" s="24" customFormat="1" hidden="1" outlineLevel="2" x14ac:dyDescent="0.25">
      <c r="A76" s="27"/>
      <c r="B76" s="11" t="str">
        <f>CONCATENATE("          ", "6314", " - ", "LIABILITY INSURANCE")</f>
        <v xml:space="preserve">          6314 - LIABILITY INSURANCE</v>
      </c>
      <c r="C76" s="11"/>
      <c r="D76" s="6">
        <v>4246.03</v>
      </c>
      <c r="E76" s="2"/>
      <c r="F76" s="7">
        <f t="shared" si="47"/>
        <v>0.97639064548025845</v>
      </c>
      <c r="G76" s="2"/>
      <c r="H76" s="6">
        <v>3998.11</v>
      </c>
      <c r="I76" s="2"/>
      <c r="J76" s="7">
        <f t="shared" si="48"/>
        <v>1.8906245886686505E-3</v>
      </c>
      <c r="K76" s="2"/>
      <c r="L76" s="6">
        <f t="shared" si="49"/>
        <v>247.91999999999962</v>
      </c>
      <c r="M76" s="2"/>
      <c r="N76" s="7">
        <f t="shared" si="50"/>
        <v>6.2009299393963553E-2</v>
      </c>
      <c r="O76" s="11"/>
      <c r="P76" s="6">
        <v>48221.299999999996</v>
      </c>
      <c r="Q76" s="2"/>
      <c r="R76" s="7">
        <f t="shared" si="51"/>
        <v>3.5277506638536388E-3</v>
      </c>
      <c r="S76" s="2"/>
      <c r="T76" s="6">
        <v>37465.79</v>
      </c>
      <c r="U76" s="2"/>
      <c r="V76" s="7">
        <f t="shared" si="52"/>
        <v>2.2999523832417461E-3</v>
      </c>
      <c r="W76" s="2"/>
      <c r="X76" s="6">
        <f t="shared" si="53"/>
        <v>10755.509999999995</v>
      </c>
      <c r="Y76" s="2"/>
      <c r="Z76" s="7">
        <f t="shared" si="54"/>
        <v>0.28707548939979632</v>
      </c>
    </row>
    <row r="77" spans="1:26" s="25" customFormat="1" outlineLevel="1" collapsed="1" x14ac:dyDescent="0.25">
      <c r="A77" s="26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SUM(OSRRefD22_13x_0)</f>
        <v>5803.23</v>
      </c>
      <c r="E77" s="1"/>
      <c r="F77" s="5">
        <f t="shared" si="47"/>
        <v>1.3344746705912112</v>
      </c>
      <c r="G77" s="1"/>
      <c r="H77" s="1">
        <f>SUM(OSRRefH22_13x_0)</f>
        <v>6779.5</v>
      </c>
      <c r="I77" s="1"/>
      <c r="J77" s="5">
        <f t="shared" si="48"/>
        <v>3.2058871313893605E-3</v>
      </c>
      <c r="K77" s="1"/>
      <c r="L77" s="1">
        <f t="shared" si="49"/>
        <v>-976.27000000000044</v>
      </c>
      <c r="M77" s="1"/>
      <c r="N77" s="5">
        <f t="shared" si="50"/>
        <v>-0.14400324507707066</v>
      </c>
      <c r="O77" s="13"/>
      <c r="P77" s="1">
        <f>SUM(OSRRefP22_13x_0)</f>
        <v>75196.280000000013</v>
      </c>
      <c r="Q77" s="1"/>
      <c r="R77" s="5">
        <f t="shared" si="51"/>
        <v>5.5011732717559284E-3</v>
      </c>
      <c r="S77" s="1"/>
      <c r="T77" s="1">
        <f>SUM(OSRRefT22_13x_0)</f>
        <v>77920.600000000006</v>
      </c>
      <c r="U77" s="1"/>
      <c r="V77" s="5">
        <f t="shared" si="52"/>
        <v>4.7833949230385057E-3</v>
      </c>
      <c r="W77" s="1"/>
      <c r="X77" s="1">
        <f t="shared" si="53"/>
        <v>-2724.3199999999924</v>
      </c>
      <c r="Y77" s="1"/>
      <c r="Z77" s="5">
        <f t="shared" si="54"/>
        <v>-3.4962769793866991E-2</v>
      </c>
    </row>
    <row r="78" spans="1:26" s="24" customFormat="1" hidden="1" outlineLevel="2" x14ac:dyDescent="0.25">
      <c r="A78" s="27"/>
      <c r="B78" s="11" t="str">
        <f>CONCATENATE("          ", "6401", " - ", "INTEREST EXPENSE")</f>
        <v xml:space="preserve">          6401 - INTEREST EXPENSE</v>
      </c>
      <c r="C78" s="11"/>
      <c r="D78" s="6">
        <v>5803.23</v>
      </c>
      <c r="E78" s="2"/>
      <c r="F78" s="7">
        <f t="shared" si="47"/>
        <v>1.3344746705912112</v>
      </c>
      <c r="G78" s="2"/>
      <c r="H78" s="6">
        <v>6779.5</v>
      </c>
      <c r="I78" s="2"/>
      <c r="J78" s="7">
        <f t="shared" si="48"/>
        <v>3.2058871313893605E-3</v>
      </c>
      <c r="K78" s="2"/>
      <c r="L78" s="6">
        <f t="shared" si="49"/>
        <v>-976.27000000000044</v>
      </c>
      <c r="M78" s="2"/>
      <c r="N78" s="7">
        <f t="shared" si="50"/>
        <v>-0.14400324507707066</v>
      </c>
      <c r="O78" s="11"/>
      <c r="P78" s="6">
        <v>75196.280000000013</v>
      </c>
      <c r="Q78" s="2"/>
      <c r="R78" s="7">
        <f t="shared" si="51"/>
        <v>5.5011732717559284E-3</v>
      </c>
      <c r="S78" s="2"/>
      <c r="T78" s="6">
        <v>77920.600000000006</v>
      </c>
      <c r="U78" s="2"/>
      <c r="V78" s="7">
        <f t="shared" si="52"/>
        <v>4.7833949230385057E-3</v>
      </c>
      <c r="W78" s="2"/>
      <c r="X78" s="6">
        <f t="shared" si="53"/>
        <v>-2724.3199999999924</v>
      </c>
      <c r="Y78" s="2"/>
      <c r="Z78" s="7">
        <f t="shared" si="54"/>
        <v>-3.4962769793866991E-2</v>
      </c>
    </row>
    <row r="79" spans="1:26" s="25" customFormat="1" outlineLevel="1" collapsed="1" x14ac:dyDescent="0.25">
      <c r="A79" s="26"/>
      <c r="B79" s="13" t="str">
        <f>CONCATENATE("     ","Professional Services                             ")</f>
        <v xml:space="preserve">     Professional Services                             </v>
      </c>
      <c r="C79" s="13"/>
      <c r="D79" s="1">
        <f>SUM(OSRRefD22_14x_0)</f>
        <v>0</v>
      </c>
      <c r="E79" s="1"/>
      <c r="F79" s="5">
        <f t="shared" si="47"/>
        <v>0</v>
      </c>
      <c r="G79" s="1"/>
      <c r="H79" s="1">
        <f>SUM(OSRRefH22_14x_0)</f>
        <v>0</v>
      </c>
      <c r="I79" s="1"/>
      <c r="J79" s="5">
        <f t="shared" si="48"/>
        <v>0</v>
      </c>
      <c r="K79" s="1"/>
      <c r="L79" s="1">
        <f t="shared" si="49"/>
        <v>0</v>
      </c>
      <c r="M79" s="1"/>
      <c r="N79" s="5">
        <f t="shared" si="50"/>
        <v>0</v>
      </c>
      <c r="O79" s="13"/>
      <c r="P79" s="1">
        <f>SUM(OSRRefP22_14x_0)</f>
        <v>125</v>
      </c>
      <c r="Q79" s="1"/>
      <c r="R79" s="5">
        <f t="shared" si="51"/>
        <v>9.1446898565925194E-6</v>
      </c>
      <c r="S79" s="1"/>
      <c r="T79" s="1">
        <f>SUM(OSRRefT22_14x_0)</f>
        <v>0</v>
      </c>
      <c r="U79" s="1"/>
      <c r="V79" s="5">
        <f t="shared" si="52"/>
        <v>0</v>
      </c>
      <c r="W79" s="1"/>
      <c r="X79" s="1">
        <f t="shared" si="53"/>
        <v>125</v>
      </c>
      <c r="Y79" s="1"/>
      <c r="Z79" s="5">
        <f t="shared" si="54"/>
        <v>0</v>
      </c>
    </row>
    <row r="80" spans="1:26" s="24" customFormat="1" hidden="1" outlineLevel="2" x14ac:dyDescent="0.25">
      <c r="A80" s="27"/>
      <c r="B80" s="11" t="str">
        <f>CONCATENATE("          ", "6336", " - ", "PROFESSIONAL SERVICES")</f>
        <v xml:space="preserve">          6336 - PROFESSIONAL SERVICES</v>
      </c>
      <c r="C80" s="11"/>
      <c r="D80" s="6"/>
      <c r="E80" s="2"/>
      <c r="F80" s="7">
        <f t="shared" si="47"/>
        <v>0</v>
      </c>
      <c r="G80" s="2"/>
      <c r="H80" s="6"/>
      <c r="I80" s="2"/>
      <c r="J80" s="7">
        <f t="shared" si="48"/>
        <v>0</v>
      </c>
      <c r="K80" s="2"/>
      <c r="L80" s="6">
        <f t="shared" si="49"/>
        <v>0</v>
      </c>
      <c r="M80" s="2"/>
      <c r="N80" s="7">
        <f t="shared" si="50"/>
        <v>0</v>
      </c>
      <c r="O80" s="11"/>
      <c r="P80" s="6">
        <v>125</v>
      </c>
      <c r="Q80" s="2"/>
      <c r="R80" s="7">
        <f t="shared" si="51"/>
        <v>9.1446898565925194E-6</v>
      </c>
      <c r="S80" s="2"/>
      <c r="T80" s="6"/>
      <c r="U80" s="2"/>
      <c r="V80" s="7">
        <f t="shared" si="52"/>
        <v>0</v>
      </c>
      <c r="W80" s="2"/>
      <c r="X80" s="6">
        <f t="shared" si="53"/>
        <v>125</v>
      </c>
      <c r="Y80" s="2"/>
      <c r="Z80" s="7">
        <f t="shared" si="54"/>
        <v>0</v>
      </c>
    </row>
    <row r="81" spans="1:26" s="25" customFormat="1" outlineLevel="1" collapsed="1" x14ac:dyDescent="0.25">
      <c r="A81" s="26"/>
      <c r="B81" s="13" t="str">
        <f>CONCATENATE("     ","R/H Commissions                                   ")</f>
        <v xml:space="preserve">     R/H Commissions                                   </v>
      </c>
      <c r="C81" s="13"/>
      <c r="D81" s="1">
        <f>SUM(OSRRefD22_15x_0)</f>
        <v>3314.86</v>
      </c>
      <c r="E81" s="1"/>
      <c r="F81" s="5">
        <f t="shared" si="47"/>
        <v>0.76226458481845161</v>
      </c>
      <c r="G81" s="1"/>
      <c r="H81" s="1">
        <f>SUM(OSRRefH22_15x_0)</f>
        <v>94771.23</v>
      </c>
      <c r="I81" s="1"/>
      <c r="J81" s="5">
        <f t="shared" si="48"/>
        <v>4.4815379701001738E-2</v>
      </c>
      <c r="K81" s="1"/>
      <c r="L81" s="1">
        <f t="shared" si="49"/>
        <v>-91456.37</v>
      </c>
      <c r="M81" s="1"/>
      <c r="N81" s="5">
        <f t="shared" si="50"/>
        <v>-0.9650225073579819</v>
      </c>
      <c r="O81" s="13"/>
      <c r="P81" s="1">
        <f>SUM(OSRRefP22_15x_0)</f>
        <v>705863.29</v>
      </c>
      <c r="Q81" s="1"/>
      <c r="R81" s="5">
        <f t="shared" si="51"/>
        <v>5.1639206945632198E-2</v>
      </c>
      <c r="S81" s="1"/>
      <c r="T81" s="1">
        <f>SUM(OSRRefT22_15x_0)</f>
        <v>788999.4</v>
      </c>
      <c r="U81" s="1"/>
      <c r="V81" s="5">
        <f t="shared" si="52"/>
        <v>4.843514711437575E-2</v>
      </c>
      <c r="W81" s="1"/>
      <c r="X81" s="1">
        <f t="shared" si="53"/>
        <v>-83136.109999999986</v>
      </c>
      <c r="Y81" s="1"/>
      <c r="Z81" s="5">
        <f t="shared" si="54"/>
        <v>-0.10536904083830734</v>
      </c>
    </row>
    <row r="82" spans="1:26" s="24" customFormat="1" hidden="1" outlineLevel="2" x14ac:dyDescent="0.25">
      <c r="A82" s="27"/>
      <c r="B82" s="11" t="str">
        <f>CONCATENATE("          ", "6387", " - ", "COMMISSION DUE HOUSING")</f>
        <v xml:space="preserve">          6387 - COMMISSION DUE HOUSING</v>
      </c>
      <c r="C82" s="11"/>
      <c r="D82" s="6">
        <v>3314.86</v>
      </c>
      <c r="E82" s="2"/>
      <c r="F82" s="7">
        <f t="shared" si="47"/>
        <v>0.76226458481845161</v>
      </c>
      <c r="G82" s="2"/>
      <c r="H82" s="6">
        <v>94771.23</v>
      </c>
      <c r="I82" s="2"/>
      <c r="J82" s="7">
        <f t="shared" si="48"/>
        <v>4.4815379701001738E-2</v>
      </c>
      <c r="K82" s="2"/>
      <c r="L82" s="6">
        <f t="shared" si="49"/>
        <v>-91456.37</v>
      </c>
      <c r="M82" s="2"/>
      <c r="N82" s="7">
        <f t="shared" si="50"/>
        <v>-0.9650225073579819</v>
      </c>
      <c r="O82" s="11"/>
      <c r="P82" s="6">
        <v>705863.29</v>
      </c>
      <c r="Q82" s="2"/>
      <c r="R82" s="7">
        <f t="shared" si="51"/>
        <v>5.1639206945632198E-2</v>
      </c>
      <c r="S82" s="2"/>
      <c r="T82" s="6">
        <v>788999.4</v>
      </c>
      <c r="U82" s="2"/>
      <c r="V82" s="7">
        <f t="shared" si="52"/>
        <v>4.843514711437575E-2</v>
      </c>
      <c r="W82" s="2"/>
      <c r="X82" s="6">
        <f t="shared" si="53"/>
        <v>-83136.109999999986</v>
      </c>
      <c r="Y82" s="2"/>
      <c r="Z82" s="7">
        <f t="shared" si="54"/>
        <v>-0.10536904083830734</v>
      </c>
    </row>
    <row r="83" spans="1:26" s="25" customFormat="1" outlineLevel="1" collapsed="1" x14ac:dyDescent="0.25">
      <c r="A83" s="26"/>
      <c r="B83" s="13" t="str">
        <f>CONCATENATE("     ","Rent                                              ")</f>
        <v xml:space="preserve">     Rent                                              </v>
      </c>
      <c r="C83" s="13"/>
      <c r="D83" s="1">
        <f>SUM(OSRRefD22_16x_0)</f>
        <v>1850</v>
      </c>
      <c r="E83" s="1"/>
      <c r="F83" s="5">
        <f t="shared" si="47"/>
        <v>0.42541449168717088</v>
      </c>
      <c r="G83" s="1"/>
      <c r="H83" s="1">
        <f>SUM(OSRRefH22_16x_0)</f>
        <v>1850</v>
      </c>
      <c r="I83" s="1"/>
      <c r="J83" s="5">
        <f t="shared" si="48"/>
        <v>8.7482722812453966E-4</v>
      </c>
      <c r="K83" s="1"/>
      <c r="L83" s="1">
        <f t="shared" si="49"/>
        <v>0</v>
      </c>
      <c r="M83" s="1"/>
      <c r="N83" s="5">
        <f t="shared" si="50"/>
        <v>0</v>
      </c>
      <c r="O83" s="13"/>
      <c r="P83" s="1">
        <f>SUM(OSRRefP22_16x_0)</f>
        <v>18500</v>
      </c>
      <c r="Q83" s="1"/>
      <c r="R83" s="5">
        <f t="shared" si="51"/>
        <v>1.353414098775693E-3</v>
      </c>
      <c r="S83" s="1"/>
      <c r="T83" s="1">
        <f>SUM(OSRRefT22_16x_0)</f>
        <v>18500</v>
      </c>
      <c r="U83" s="1"/>
      <c r="V83" s="5">
        <f t="shared" si="52"/>
        <v>1.135679218027227E-3</v>
      </c>
      <c r="W83" s="1"/>
      <c r="X83" s="1">
        <f t="shared" si="53"/>
        <v>0</v>
      </c>
      <c r="Y83" s="1"/>
      <c r="Z83" s="5">
        <f t="shared" si="54"/>
        <v>0</v>
      </c>
    </row>
    <row r="84" spans="1:26" s="24" customFormat="1" hidden="1" outlineLevel="2" x14ac:dyDescent="0.25">
      <c r="A84" s="27"/>
      <c r="B84" s="11" t="str">
        <f>CONCATENATE("          ", "6273", " - ", "RENT")</f>
        <v xml:space="preserve">          6273 - RENT</v>
      </c>
      <c r="C84" s="11"/>
      <c r="D84" s="6">
        <v>1850</v>
      </c>
      <c r="E84" s="2"/>
      <c r="F84" s="7">
        <f t="shared" si="47"/>
        <v>0.42541449168717088</v>
      </c>
      <c r="G84" s="2"/>
      <c r="H84" s="6">
        <v>1850</v>
      </c>
      <c r="I84" s="2"/>
      <c r="J84" s="7">
        <f t="shared" si="48"/>
        <v>8.7482722812453966E-4</v>
      </c>
      <c r="K84" s="2"/>
      <c r="L84" s="6">
        <f t="shared" si="49"/>
        <v>0</v>
      </c>
      <c r="M84" s="2"/>
      <c r="N84" s="7">
        <f t="shared" si="50"/>
        <v>0</v>
      </c>
      <c r="O84" s="11"/>
      <c r="P84" s="6">
        <v>18500</v>
      </c>
      <c r="Q84" s="2"/>
      <c r="R84" s="7">
        <f t="shared" si="51"/>
        <v>1.353414098775693E-3</v>
      </c>
      <c r="S84" s="2"/>
      <c r="T84" s="6">
        <v>18500</v>
      </c>
      <c r="U84" s="2"/>
      <c r="V84" s="7">
        <f t="shared" si="52"/>
        <v>1.135679218027227E-3</v>
      </c>
      <c r="W84" s="2"/>
      <c r="X84" s="6">
        <f t="shared" si="53"/>
        <v>0</v>
      </c>
      <c r="Y84" s="2"/>
      <c r="Z84" s="7">
        <f t="shared" si="54"/>
        <v>0</v>
      </c>
    </row>
    <row r="85" spans="1:26" s="25" customFormat="1" outlineLevel="1" collapsed="1" x14ac:dyDescent="0.25">
      <c r="A85" s="26"/>
      <c r="B85" s="13" t="str">
        <f>CONCATENATE("     ","Repair and Maintenance                            ")</f>
        <v xml:space="preserve">     Repair and Maintenance                            </v>
      </c>
      <c r="C85" s="13"/>
      <c r="D85" s="1">
        <f>SUM(OSRRefD22_17x_0)</f>
        <v>16085.5</v>
      </c>
      <c r="E85" s="1"/>
      <c r="F85" s="5">
        <f t="shared" si="47"/>
        <v>3.6989215167751284</v>
      </c>
      <c r="G85" s="1"/>
      <c r="H85" s="1">
        <f>SUM(OSRRefH22_17x_0)</f>
        <v>21116.15</v>
      </c>
      <c r="I85" s="1"/>
      <c r="J85" s="5">
        <f t="shared" si="48"/>
        <v>9.9853962017091881E-3</v>
      </c>
      <c r="K85" s="1"/>
      <c r="L85" s="1">
        <f t="shared" si="49"/>
        <v>-5030.6500000000015</v>
      </c>
      <c r="M85" s="1"/>
      <c r="N85" s="5">
        <f t="shared" si="50"/>
        <v>-0.23823708393812323</v>
      </c>
      <c r="O85" s="13"/>
      <c r="P85" s="1">
        <f>SUM(OSRRefP22_17x_0)</f>
        <v>283418.13</v>
      </c>
      <c r="Q85" s="1"/>
      <c r="R85" s="5">
        <f t="shared" si="51"/>
        <v>2.0734167188683362E-2</v>
      </c>
      <c r="S85" s="1"/>
      <c r="T85" s="1">
        <f>SUM(OSRRefT22_17x_0)</f>
        <v>280554.87</v>
      </c>
      <c r="U85" s="1"/>
      <c r="V85" s="5">
        <f t="shared" si="52"/>
        <v>1.722272083109894E-2</v>
      </c>
      <c r="W85" s="1"/>
      <c r="X85" s="1">
        <f t="shared" si="53"/>
        <v>2863.2600000000093</v>
      </c>
      <c r="Y85" s="1"/>
      <c r="Z85" s="5">
        <f t="shared" si="54"/>
        <v>1.0205704146215709E-2</v>
      </c>
    </row>
    <row r="86" spans="1:26" s="24" customFormat="1" hidden="1" outlineLevel="2" x14ac:dyDescent="0.25">
      <c r="A86" s="27"/>
      <c r="B86" s="11" t="str">
        <f>CONCATENATE("          ", "6371", " - ", "COMPUTER SOFTWARE MAINTENANCE")</f>
        <v xml:space="preserve">          6371 - COMPUTER SOFTWARE MAINTENANCE</v>
      </c>
      <c r="C86" s="11"/>
      <c r="D86" s="6"/>
      <c r="E86" s="2"/>
      <c r="F86" s="7">
        <f t="shared" si="47"/>
        <v>0</v>
      </c>
      <c r="G86" s="2"/>
      <c r="H86" s="6"/>
      <c r="I86" s="2"/>
      <c r="J86" s="7">
        <f t="shared" si="48"/>
        <v>0</v>
      </c>
      <c r="K86" s="2"/>
      <c r="L86" s="6">
        <f t="shared" si="49"/>
        <v>0</v>
      </c>
      <c r="M86" s="2"/>
      <c r="N86" s="7">
        <f t="shared" si="50"/>
        <v>0</v>
      </c>
      <c r="O86" s="11"/>
      <c r="P86" s="6">
        <v>73995.62</v>
      </c>
      <c r="Q86" s="2"/>
      <c r="R86" s="7">
        <f t="shared" si="51"/>
        <v>5.4133359651701964E-3</v>
      </c>
      <c r="S86" s="2"/>
      <c r="T86" s="6">
        <v>28167.21</v>
      </c>
      <c r="U86" s="2"/>
      <c r="V86" s="7">
        <f t="shared" si="52"/>
        <v>1.729130541989659E-3</v>
      </c>
      <c r="W86" s="2"/>
      <c r="X86" s="6">
        <f t="shared" si="53"/>
        <v>45828.409999999996</v>
      </c>
      <c r="Y86" s="2"/>
      <c r="Z86" s="7">
        <f t="shared" si="54"/>
        <v>1.6270127570320241</v>
      </c>
    </row>
    <row r="87" spans="1:26" s="24" customFormat="1" hidden="1" outlineLevel="2" x14ac:dyDescent="0.25">
      <c r="A87" s="27"/>
      <c r="B87" s="11" t="str">
        <f>CONCATENATE("          ", "6372", " - ", "COMPUTER HARDWARE MAINTENANCE")</f>
        <v xml:space="preserve">          6372 - COMPUTER HARDWARE MAINTENANCE</v>
      </c>
      <c r="C87" s="11"/>
      <c r="D87" s="6">
        <v>8142.88</v>
      </c>
      <c r="E87" s="2"/>
      <c r="F87" s="7">
        <f t="shared" si="47"/>
        <v>1.8724860303079083</v>
      </c>
      <c r="G87" s="2"/>
      <c r="H87" s="6"/>
      <c r="I87" s="2"/>
      <c r="J87" s="7">
        <f t="shared" si="48"/>
        <v>0</v>
      </c>
      <c r="K87" s="2"/>
      <c r="L87" s="6">
        <f t="shared" si="49"/>
        <v>8142.88</v>
      </c>
      <c r="M87" s="2"/>
      <c r="N87" s="7">
        <f t="shared" si="50"/>
        <v>0</v>
      </c>
      <c r="O87" s="11"/>
      <c r="P87" s="6">
        <v>8142.87</v>
      </c>
      <c r="Q87" s="2"/>
      <c r="R87" s="7">
        <f t="shared" si="51"/>
        <v>5.9571216554041219E-4</v>
      </c>
      <c r="S87" s="2"/>
      <c r="T87" s="6">
        <v>880.96</v>
      </c>
      <c r="U87" s="2"/>
      <c r="V87" s="7">
        <f t="shared" si="52"/>
        <v>5.4080430481798168E-5</v>
      </c>
      <c r="W87" s="2"/>
      <c r="X87" s="6">
        <f t="shared" si="53"/>
        <v>7261.91</v>
      </c>
      <c r="Y87" s="2"/>
      <c r="Z87" s="7">
        <f t="shared" si="54"/>
        <v>8.2431778968398106</v>
      </c>
    </row>
    <row r="88" spans="1:26" s="24" customFormat="1" hidden="1" outlineLevel="2" x14ac:dyDescent="0.25">
      <c r="A88" s="27"/>
      <c r="B88" s="11" t="str">
        <f>CONCATENATE("          ", "6373", " - ", "MAINTENANCE CONTRACTS")</f>
        <v xml:space="preserve">          6373 - MAINTENANCE CONTRACTS</v>
      </c>
      <c r="C88" s="11"/>
      <c r="D88" s="6">
        <v>6801.83</v>
      </c>
      <c r="E88" s="2"/>
      <c r="F88" s="7">
        <f t="shared" si="47"/>
        <v>1.5641065145905673</v>
      </c>
      <c r="G88" s="2"/>
      <c r="H88" s="6">
        <v>8985.4599999999991</v>
      </c>
      <c r="I88" s="2"/>
      <c r="J88" s="7">
        <f t="shared" si="48"/>
        <v>4.2490405757967167E-3</v>
      </c>
      <c r="K88" s="2"/>
      <c r="L88" s="6">
        <f t="shared" si="49"/>
        <v>-2183.6299999999992</v>
      </c>
      <c r="M88" s="2"/>
      <c r="N88" s="7">
        <f t="shared" si="50"/>
        <v>-0.24301816490196376</v>
      </c>
      <c r="O88" s="11"/>
      <c r="P88" s="6">
        <v>87178.819999999992</v>
      </c>
      <c r="Q88" s="2"/>
      <c r="R88" s="7">
        <f t="shared" si="51"/>
        <v>6.3777861677096403E-3</v>
      </c>
      <c r="S88" s="2"/>
      <c r="T88" s="6">
        <v>109359.8</v>
      </c>
      <c r="U88" s="2"/>
      <c r="V88" s="7">
        <f t="shared" si="52"/>
        <v>6.713386602573727E-3</v>
      </c>
      <c r="W88" s="2"/>
      <c r="X88" s="6">
        <f t="shared" si="53"/>
        <v>-22180.98000000001</v>
      </c>
      <c r="Y88" s="2"/>
      <c r="Z88" s="7">
        <f t="shared" si="54"/>
        <v>-0.20282571840840977</v>
      </c>
    </row>
    <row r="89" spans="1:26" s="24" customFormat="1" hidden="1" outlineLevel="2" x14ac:dyDescent="0.25">
      <c r="A89" s="27"/>
      <c r="B89" s="11" t="str">
        <f>CONCATENATE("          ", "6375", " - ", "OUTSIDE REPAIRS &amp; MAINTENANCE")</f>
        <v xml:space="preserve">          6375 - OUTSIDE REPAIRS &amp; MAINTENANCE</v>
      </c>
      <c r="C89" s="11"/>
      <c r="D89" s="6">
        <v>1140.79</v>
      </c>
      <c r="E89" s="2"/>
      <c r="F89" s="7">
        <f t="shared" si="47"/>
        <v>0.26232897187665277</v>
      </c>
      <c r="G89" s="2"/>
      <c r="H89" s="6">
        <v>12130.69</v>
      </c>
      <c r="I89" s="2"/>
      <c r="J89" s="7">
        <f t="shared" si="48"/>
        <v>5.7363556259124714E-3</v>
      </c>
      <c r="K89" s="2"/>
      <c r="L89" s="6">
        <f t="shared" si="49"/>
        <v>-10989.900000000001</v>
      </c>
      <c r="M89" s="2"/>
      <c r="N89" s="7">
        <f t="shared" si="50"/>
        <v>-0.90595835851052176</v>
      </c>
      <c r="O89" s="11"/>
      <c r="P89" s="6">
        <v>114100.81999999999</v>
      </c>
      <c r="Q89" s="2"/>
      <c r="R89" s="7">
        <f t="shared" si="51"/>
        <v>8.3473328902631105E-3</v>
      </c>
      <c r="S89" s="2"/>
      <c r="T89" s="6">
        <v>142146.9</v>
      </c>
      <c r="U89" s="2"/>
      <c r="V89" s="7">
        <f t="shared" si="52"/>
        <v>8.7261232560537534E-3</v>
      </c>
      <c r="W89" s="2"/>
      <c r="X89" s="6">
        <f t="shared" si="53"/>
        <v>-28046.080000000002</v>
      </c>
      <c r="Y89" s="2"/>
      <c r="Z89" s="7">
        <f t="shared" si="54"/>
        <v>-0.19730349378002618</v>
      </c>
    </row>
    <row r="90" spans="1:26" s="25" customFormat="1" outlineLevel="1" collapsed="1" x14ac:dyDescent="0.25">
      <c r="A90" s="26"/>
      <c r="B90" s="13" t="str">
        <f>CONCATENATE("     ","Royalty &amp; Commissions                             ")</f>
        <v xml:space="preserve">     Royalty &amp; Commissions                             </v>
      </c>
      <c r="C90" s="13"/>
      <c r="D90" s="1">
        <f>SUM(OSRRefD22_18x_0)</f>
        <v>0</v>
      </c>
      <c r="E90" s="1"/>
      <c r="F90" s="5">
        <f t="shared" ref="F90:F92" si="55">IF(D$12=0,0,D90/D$12)</f>
        <v>0</v>
      </c>
      <c r="G90" s="1"/>
      <c r="H90" s="1">
        <f>SUM(OSRRefH22_18x_0)</f>
        <v>52962.569999999992</v>
      </c>
      <c r="I90" s="1"/>
      <c r="J90" s="5">
        <f t="shared" ref="J90:J92" si="56">IF(H$12=0,0,H90/H$12)</f>
        <v>2.5044918004028052E-2</v>
      </c>
      <c r="K90" s="1"/>
      <c r="L90" s="1">
        <f t="shared" ref="L90:L92" si="57">+D90-H90</f>
        <v>-52962.569999999992</v>
      </c>
      <c r="M90" s="1"/>
      <c r="N90" s="5">
        <f t="shared" ref="N90:N92" si="58">IF(H90=0,0,L90/H90)</f>
        <v>-1</v>
      </c>
      <c r="O90" s="13"/>
      <c r="P90" s="1">
        <f>SUM(OSRRefP22_18x_0)</f>
        <v>233763.46999999997</v>
      </c>
      <c r="Q90" s="1"/>
      <c r="R90" s="5">
        <f t="shared" ref="R90:R92" si="59">IF(P$12=0,0,P90/P$12)</f>
        <v>1.7101555463606956E-2</v>
      </c>
      <c r="S90" s="1"/>
      <c r="T90" s="1">
        <f>SUM(OSRRefT22_18x_0)</f>
        <v>325171.64</v>
      </c>
      <c r="U90" s="1"/>
      <c r="V90" s="5">
        <f t="shared" ref="V90:V92" si="60">IF(T$12=0,0,T90/T$12)</f>
        <v>1.996165804539627E-2</v>
      </c>
      <c r="W90" s="1"/>
      <c r="X90" s="1">
        <f t="shared" ref="X90:X92" si="61">+P90-T90</f>
        <v>-91408.170000000042</v>
      </c>
      <c r="Y90" s="1"/>
      <c r="Z90" s="5">
        <f t="shared" ref="Z90:Z92" si="62">IF(T90=0,0,X90/T90)</f>
        <v>-0.28110744836173301</v>
      </c>
    </row>
    <row r="91" spans="1:26" s="24" customFormat="1" hidden="1" outlineLevel="2" x14ac:dyDescent="0.25">
      <c r="A91" s="27"/>
      <c r="B91" s="11" t="str">
        <f>CONCATENATE("          ", "6254", " - ", "ROYALTY &amp; COMMISSIONS")</f>
        <v xml:space="preserve">          6254 - ROYALTY &amp; COMMISSIONS</v>
      </c>
      <c r="C91" s="11"/>
      <c r="D91" s="6"/>
      <c r="E91" s="2"/>
      <c r="F91" s="7">
        <f t="shared" si="55"/>
        <v>0</v>
      </c>
      <c r="G91" s="2"/>
      <c r="H91" s="6">
        <v>35303.449999999997</v>
      </c>
      <c r="I91" s="2"/>
      <c r="J91" s="7">
        <f t="shared" si="56"/>
        <v>1.6694280706342313E-2</v>
      </c>
      <c r="K91" s="2"/>
      <c r="L91" s="6">
        <f t="shared" si="57"/>
        <v>-35303.449999999997</v>
      </c>
      <c r="M91" s="2"/>
      <c r="N91" s="7">
        <f t="shared" si="58"/>
        <v>-1</v>
      </c>
      <c r="O91" s="11"/>
      <c r="P91" s="6">
        <v>129093.51</v>
      </c>
      <c r="Q91" s="2"/>
      <c r="R91" s="7">
        <f t="shared" si="59"/>
        <v>9.4441608915913997E-3</v>
      </c>
      <c r="S91" s="2"/>
      <c r="T91" s="6">
        <v>193571</v>
      </c>
      <c r="U91" s="2"/>
      <c r="V91" s="7">
        <f t="shared" si="60"/>
        <v>1.1882949292580994E-2</v>
      </c>
      <c r="W91" s="2"/>
      <c r="X91" s="6">
        <f t="shared" si="61"/>
        <v>-64477.490000000005</v>
      </c>
      <c r="Y91" s="2"/>
      <c r="Z91" s="7">
        <f t="shared" si="62"/>
        <v>-0.33309478175966445</v>
      </c>
    </row>
    <row r="92" spans="1:26" s="24" customFormat="1" hidden="1" outlineLevel="2" x14ac:dyDescent="0.25">
      <c r="A92" s="27"/>
      <c r="B92" s="11" t="str">
        <f>CONCATENATE("          ", "6259", " - ", "ROYALTY &amp; COMMISSIONS")</f>
        <v xml:space="preserve">          6259 - ROYALTY &amp; COMMISSIONS</v>
      </c>
      <c r="C92" s="11"/>
      <c r="D92" s="6"/>
      <c r="E92" s="2"/>
      <c r="F92" s="7">
        <f t="shared" si="55"/>
        <v>0</v>
      </c>
      <c r="G92" s="2"/>
      <c r="H92" s="6">
        <v>17659.12</v>
      </c>
      <c r="I92" s="2"/>
      <c r="J92" s="7">
        <f t="shared" si="56"/>
        <v>8.3506372976857399E-3</v>
      </c>
      <c r="K92" s="2"/>
      <c r="L92" s="6">
        <f t="shared" si="57"/>
        <v>-17659.12</v>
      </c>
      <c r="M92" s="2"/>
      <c r="N92" s="7">
        <f t="shared" si="58"/>
        <v>-1</v>
      </c>
      <c r="O92" s="11"/>
      <c r="P92" s="6">
        <v>104669.95999999999</v>
      </c>
      <c r="Q92" s="2"/>
      <c r="R92" s="7">
        <f t="shared" si="59"/>
        <v>7.6573945720155578E-3</v>
      </c>
      <c r="S92" s="2"/>
      <c r="T92" s="6">
        <v>131600.64000000001</v>
      </c>
      <c r="U92" s="2"/>
      <c r="V92" s="7">
        <f t="shared" si="60"/>
        <v>8.0787087528152775E-3</v>
      </c>
      <c r="W92" s="2"/>
      <c r="X92" s="6">
        <f t="shared" si="61"/>
        <v>-26930.680000000022</v>
      </c>
      <c r="Y92" s="2"/>
      <c r="Z92" s="7">
        <f t="shared" si="62"/>
        <v>-0.20463943032495904</v>
      </c>
    </row>
    <row r="93" spans="1:26" s="25" customFormat="1" outlineLevel="1" collapsed="1" x14ac:dyDescent="0.25">
      <c r="A93" s="26"/>
      <c r="B93" s="13" t="str">
        <f>CONCATENATE("     ","Services                                          ")</f>
        <v xml:space="preserve">     Services                                          </v>
      </c>
      <c r="C93" s="13"/>
      <c r="D93" s="1">
        <f>SUM(OSRRefD22_19x_0)</f>
        <v>10427.910000000002</v>
      </c>
      <c r="E93" s="1"/>
      <c r="F93" s="5">
        <f t="shared" ref="F93:F98" si="63">IF(D$12=0,0,D93/D$12)</f>
        <v>2.397937314599766</v>
      </c>
      <c r="G93" s="1"/>
      <c r="H93" s="1">
        <f>SUM(OSRRefH22_19x_0)</f>
        <v>40748.959999999999</v>
      </c>
      <c r="I93" s="1"/>
      <c r="J93" s="5">
        <f t="shared" ref="J93:J98" si="64">IF(H$12=0,0,H93/H$12)</f>
        <v>1.9269351203112291E-2</v>
      </c>
      <c r="K93" s="1"/>
      <c r="L93" s="1">
        <f t="shared" ref="L93:L98" si="65">+D93-H93</f>
        <v>-30321.049999999996</v>
      </c>
      <c r="M93" s="1"/>
      <c r="N93" s="5">
        <f t="shared" ref="N93:N98" si="66">IF(H93=0,0,L93/H93)</f>
        <v>-0.74409383699608522</v>
      </c>
      <c r="O93" s="13"/>
      <c r="P93" s="1">
        <f>SUM(OSRRefP22_19x_0)</f>
        <v>388649.85</v>
      </c>
      <c r="Q93" s="1"/>
      <c r="R93" s="5">
        <f t="shared" ref="R93:R98" si="67">IF(P$12=0,0,P93/P$12)</f>
        <v>2.8432658728489633E-2</v>
      </c>
      <c r="S93" s="1"/>
      <c r="T93" s="1">
        <f>SUM(OSRRefT22_19x_0)</f>
        <v>388005.67</v>
      </c>
      <c r="U93" s="1"/>
      <c r="V93" s="5">
        <f t="shared" ref="V93:V98" si="68">IF(T$12=0,0,T93/T$12)</f>
        <v>2.3818917615985424E-2</v>
      </c>
      <c r="W93" s="1"/>
      <c r="X93" s="1">
        <f t="shared" ref="X93:X98" si="69">+P93-T93</f>
        <v>644.17999999999302</v>
      </c>
      <c r="Y93" s="1"/>
      <c r="Z93" s="5">
        <f t="shared" ref="Z93:Z98" si="70">IF(T93=0,0,X93/T93)</f>
        <v>1.6602334702995269E-3</v>
      </c>
    </row>
    <row r="94" spans="1:26" s="24" customFormat="1" hidden="1" outlineLevel="2" x14ac:dyDescent="0.25">
      <c r="A94" s="27"/>
      <c r="B94" s="11" t="str">
        <f>CONCATENATE("          ", "6282", " - ", "JANITORIAL/EXTERMINATOR EXPENS")</f>
        <v xml:space="preserve">          6282 - JANITORIAL/EXTERMINATOR EXPENS</v>
      </c>
      <c r="C94" s="11"/>
      <c r="D94" s="6">
        <v>1580.07</v>
      </c>
      <c r="E94" s="2"/>
      <c r="F94" s="7">
        <f t="shared" si="63"/>
        <v>0.36334306804332328</v>
      </c>
      <c r="G94" s="2"/>
      <c r="H94" s="6">
        <v>2785.87</v>
      </c>
      <c r="I94" s="2"/>
      <c r="J94" s="7">
        <f t="shared" si="64"/>
        <v>1.3173810432515196E-3</v>
      </c>
      <c r="K94" s="2"/>
      <c r="L94" s="6">
        <f t="shared" si="65"/>
        <v>-1205.8</v>
      </c>
      <c r="M94" s="2"/>
      <c r="N94" s="7">
        <f t="shared" si="66"/>
        <v>-0.43282708812686882</v>
      </c>
      <c r="O94" s="11"/>
      <c r="P94" s="6">
        <v>29540.04</v>
      </c>
      <c r="Q94" s="2"/>
      <c r="R94" s="7">
        <f t="shared" si="67"/>
        <v>2.1610760332106986E-3</v>
      </c>
      <c r="S94" s="2"/>
      <c r="T94" s="6">
        <v>25193.030000000002</v>
      </c>
      <c r="U94" s="2"/>
      <c r="V94" s="7">
        <f t="shared" si="68"/>
        <v>1.5465513843317014E-3</v>
      </c>
      <c r="W94" s="2"/>
      <c r="X94" s="6">
        <f t="shared" si="69"/>
        <v>4347.0099999999984</v>
      </c>
      <c r="Y94" s="2"/>
      <c r="Z94" s="7">
        <f t="shared" si="70"/>
        <v>0.17254812144470108</v>
      </c>
    </row>
    <row r="95" spans="1:26" s="24" customFormat="1" hidden="1" outlineLevel="2" x14ac:dyDescent="0.25">
      <c r="A95" s="27"/>
      <c r="B95" s="11" t="str">
        <f>CONCATENATE("          ", "6283", " - ", "PLANT SERVICE")</f>
        <v xml:space="preserve">          6283 - PLANT SERVICE</v>
      </c>
      <c r="C95" s="11"/>
      <c r="D95" s="6">
        <v>399.56</v>
      </c>
      <c r="E95" s="2"/>
      <c r="F95" s="7">
        <f t="shared" si="63"/>
        <v>9.1880332053257296E-2</v>
      </c>
      <c r="G95" s="2"/>
      <c r="H95" s="6">
        <v>176</v>
      </c>
      <c r="I95" s="2"/>
      <c r="J95" s="7">
        <f t="shared" si="64"/>
        <v>8.3226806567523768E-5</v>
      </c>
      <c r="K95" s="2"/>
      <c r="L95" s="6">
        <f t="shared" si="65"/>
        <v>223.56</v>
      </c>
      <c r="M95" s="2"/>
      <c r="N95" s="7">
        <f t="shared" si="66"/>
        <v>1.2702272727272728</v>
      </c>
      <c r="O95" s="11"/>
      <c r="P95" s="6">
        <v>1798.02</v>
      </c>
      <c r="Q95" s="2"/>
      <c r="R95" s="7">
        <f t="shared" si="67"/>
        <v>1.3153868204760386E-4</v>
      </c>
      <c r="S95" s="2"/>
      <c r="T95" s="6">
        <v>1760</v>
      </c>
      <c r="U95" s="2"/>
      <c r="V95" s="7">
        <f t="shared" si="68"/>
        <v>1.0804299587718486E-4</v>
      </c>
      <c r="W95" s="2"/>
      <c r="X95" s="6">
        <f t="shared" si="69"/>
        <v>38.019999999999982</v>
      </c>
      <c r="Y95" s="2"/>
      <c r="Z95" s="7">
        <f t="shared" si="70"/>
        <v>2.1602272727272716E-2</v>
      </c>
    </row>
    <row r="96" spans="1:26" s="24" customFormat="1" hidden="1" outlineLevel="2" x14ac:dyDescent="0.25">
      <c r="A96" s="27"/>
      <c r="B96" s="11" t="str">
        <f>CONCATENATE("          ", "6284", " - ", "TRASH REMOVAL EXPENSE")</f>
        <v xml:space="preserve">          6284 - TRASH REMOVAL EXPENSE</v>
      </c>
      <c r="C96" s="11"/>
      <c r="D96" s="6">
        <v>5128</v>
      </c>
      <c r="E96" s="2"/>
      <c r="F96" s="7">
        <f t="shared" si="63"/>
        <v>1.1792029802009796</v>
      </c>
      <c r="G96" s="2"/>
      <c r="H96" s="6">
        <v>3576</v>
      </c>
      <c r="I96" s="2"/>
      <c r="J96" s="7">
        <f t="shared" si="64"/>
        <v>1.6910173879855967E-3</v>
      </c>
      <c r="K96" s="2"/>
      <c r="L96" s="6">
        <f t="shared" si="65"/>
        <v>1552</v>
      </c>
      <c r="M96" s="2"/>
      <c r="N96" s="7">
        <f t="shared" si="66"/>
        <v>0.43400447427293065</v>
      </c>
      <c r="O96" s="11"/>
      <c r="P96" s="6">
        <v>43411</v>
      </c>
      <c r="Q96" s="2"/>
      <c r="R96" s="7">
        <f t="shared" si="67"/>
        <v>3.1758410509163029E-3</v>
      </c>
      <c r="S96" s="2"/>
      <c r="T96" s="6">
        <v>50779.270000000004</v>
      </c>
      <c r="U96" s="2"/>
      <c r="V96" s="7">
        <f t="shared" si="68"/>
        <v>3.1172411700320776E-3</v>
      </c>
      <c r="W96" s="2"/>
      <c r="X96" s="6">
        <f t="shared" si="69"/>
        <v>-7368.2700000000041</v>
      </c>
      <c r="Y96" s="2"/>
      <c r="Z96" s="7">
        <f t="shared" si="70"/>
        <v>-0.14510389771259027</v>
      </c>
    </row>
    <row r="97" spans="1:26" s="24" customFormat="1" hidden="1" outlineLevel="2" x14ac:dyDescent="0.25">
      <c r="A97" s="27"/>
      <c r="B97" s="11" t="str">
        <f>CONCATENATE("          ", "6285", " - ", "JANITORIAL SERVICES")</f>
        <v xml:space="preserve">          6285 - JANITORIAL SERVICES</v>
      </c>
      <c r="C97" s="11"/>
      <c r="D97" s="6">
        <v>2411.5</v>
      </c>
      <c r="E97" s="2"/>
      <c r="F97" s="7">
        <f t="shared" si="63"/>
        <v>0.55453353875870948</v>
      </c>
      <c r="G97" s="2"/>
      <c r="H97" s="6">
        <v>24851.47</v>
      </c>
      <c r="I97" s="2"/>
      <c r="J97" s="7">
        <f t="shared" si="64"/>
        <v>1.1751752764821705E-2</v>
      </c>
      <c r="K97" s="2"/>
      <c r="L97" s="6">
        <f t="shared" si="65"/>
        <v>-22439.97</v>
      </c>
      <c r="M97" s="2"/>
      <c r="N97" s="7">
        <f t="shared" si="66"/>
        <v>-0.90296348666698589</v>
      </c>
      <c r="O97" s="11"/>
      <c r="P97" s="6">
        <v>245352.18999999997</v>
      </c>
      <c r="Q97" s="2"/>
      <c r="R97" s="7">
        <f t="shared" si="67"/>
        <v>1.7949357465486083E-2</v>
      </c>
      <c r="S97" s="2"/>
      <c r="T97" s="6">
        <v>235469.3</v>
      </c>
      <c r="U97" s="2"/>
      <c r="V97" s="7">
        <f t="shared" si="68"/>
        <v>1.4455004891536137E-2</v>
      </c>
      <c r="W97" s="2"/>
      <c r="X97" s="6">
        <f t="shared" si="69"/>
        <v>9882.8899999999849</v>
      </c>
      <c r="Y97" s="2"/>
      <c r="Z97" s="7">
        <f t="shared" si="70"/>
        <v>4.1971034015899251E-2</v>
      </c>
    </row>
    <row r="98" spans="1:26" s="24" customFormat="1" hidden="1" outlineLevel="2" x14ac:dyDescent="0.25">
      <c r="A98" s="27"/>
      <c r="B98" s="11" t="str">
        <f>CONCATENATE("          ", "6286", " - ", "LAUNDRY EXPENSE")</f>
        <v xml:space="preserve">          6286 - LAUNDRY EXPENSE</v>
      </c>
      <c r="C98" s="11"/>
      <c r="D98" s="6">
        <v>908.78</v>
      </c>
      <c r="E98" s="2"/>
      <c r="F98" s="7">
        <f t="shared" si="63"/>
        <v>0.20897739554349576</v>
      </c>
      <c r="G98" s="2"/>
      <c r="H98" s="6">
        <v>9359.6200000000008</v>
      </c>
      <c r="I98" s="2"/>
      <c r="J98" s="7">
        <f t="shared" si="64"/>
        <v>4.4259732004859487E-3</v>
      </c>
      <c r="K98" s="2"/>
      <c r="L98" s="6">
        <f t="shared" si="65"/>
        <v>-8450.84</v>
      </c>
      <c r="M98" s="2"/>
      <c r="N98" s="7">
        <f t="shared" si="66"/>
        <v>-0.90290417773371134</v>
      </c>
      <c r="O98" s="11"/>
      <c r="P98" s="6">
        <v>68548.600000000006</v>
      </c>
      <c r="Q98" s="2"/>
      <c r="R98" s="7">
        <f t="shared" si="67"/>
        <v>5.0148454968289447E-3</v>
      </c>
      <c r="S98" s="2"/>
      <c r="T98" s="6">
        <v>74804.070000000007</v>
      </c>
      <c r="U98" s="2"/>
      <c r="V98" s="7">
        <f t="shared" si="68"/>
        <v>4.5920771742083222E-3</v>
      </c>
      <c r="W98" s="2"/>
      <c r="X98" s="6">
        <f t="shared" si="69"/>
        <v>-6255.4700000000012</v>
      </c>
      <c r="Y98" s="2"/>
      <c r="Z98" s="7">
        <f t="shared" si="70"/>
        <v>-8.3624727905847906E-2</v>
      </c>
    </row>
    <row r="99" spans="1:26" s="25" customFormat="1" outlineLevel="1" collapsed="1" x14ac:dyDescent="0.25">
      <c r="A99" s="26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SUM(OSRRefD22_20x_0)</f>
        <v>4.25</v>
      </c>
      <c r="E99" s="1"/>
      <c r="F99" s="5">
        <f t="shared" ref="F99:F101" si="71">IF(D$12=0,0,D99/D$12)</f>
        <v>9.7730356198404123E-4</v>
      </c>
      <c r="G99" s="1"/>
      <c r="H99" s="1">
        <f>SUM(OSRRefH22_20x_0)</f>
        <v>393.42</v>
      </c>
      <c r="I99" s="1"/>
      <c r="J99" s="5">
        <f t="shared" ref="J99:J101" si="72">IF(H$12=0,0,H99/H$12)</f>
        <v>1.8604028545338185E-4</v>
      </c>
      <c r="K99" s="1"/>
      <c r="L99" s="1">
        <f t="shared" ref="L99:L101" si="73">+D99-H99</f>
        <v>-389.17</v>
      </c>
      <c r="M99" s="1"/>
      <c r="N99" s="5">
        <f t="shared" ref="N99:N101" si="74">IF(H99=0,0,L99/H99)</f>
        <v>-0.98919729551115854</v>
      </c>
      <c r="O99" s="13"/>
      <c r="P99" s="1">
        <f>SUM(OSRRefP22_20x_0)</f>
        <v>7300.55</v>
      </c>
      <c r="Q99" s="1"/>
      <c r="R99" s="5">
        <f t="shared" ref="R99:R101" si="75">IF(P$12=0,0,P99/P$12)</f>
        <v>5.3409012426037215E-4</v>
      </c>
      <c r="S99" s="1"/>
      <c r="T99" s="1">
        <f>SUM(OSRRefT22_20x_0)</f>
        <v>4807.1400000000003</v>
      </c>
      <c r="U99" s="1"/>
      <c r="V99" s="5">
        <f t="shared" ref="V99:V101" si="76">IF(T$12=0,0,T99/T$12)</f>
        <v>2.9510102681877862E-4</v>
      </c>
      <c r="W99" s="1"/>
      <c r="X99" s="1">
        <f t="shared" ref="X99:X101" si="77">+P99-T99</f>
        <v>2493.41</v>
      </c>
      <c r="Y99" s="1"/>
      <c r="Z99" s="5">
        <f t="shared" ref="Z99:Z101" si="78">IF(T99=0,0,X99/T99)</f>
        <v>0.51868886697703831</v>
      </c>
    </row>
    <row r="100" spans="1:26" s="24" customFormat="1" hidden="1" outlineLevel="2" x14ac:dyDescent="0.25">
      <c r="A100" s="27"/>
      <c r="B100" s="11" t="str">
        <f>CONCATENATE("          ", "6258", " - ", "MEMBERSHIP DUES")</f>
        <v xml:space="preserve">          6258 - MEMBERSHIP DUES</v>
      </c>
      <c r="C100" s="11"/>
      <c r="D100" s="6"/>
      <c r="E100" s="2"/>
      <c r="F100" s="7">
        <f t="shared" si="71"/>
        <v>0</v>
      </c>
      <c r="G100" s="2"/>
      <c r="H100" s="6"/>
      <c r="I100" s="2"/>
      <c r="J100" s="7">
        <f t="shared" si="72"/>
        <v>0</v>
      </c>
      <c r="K100" s="2"/>
      <c r="L100" s="6">
        <f t="shared" si="73"/>
        <v>0</v>
      </c>
      <c r="M100" s="2"/>
      <c r="N100" s="7">
        <f t="shared" si="74"/>
        <v>0</v>
      </c>
      <c r="O100" s="11"/>
      <c r="P100" s="6">
        <v>3730</v>
      </c>
      <c r="Q100" s="2"/>
      <c r="R100" s="7">
        <f t="shared" si="75"/>
        <v>2.728775453207208E-4</v>
      </c>
      <c r="S100" s="2"/>
      <c r="T100" s="6"/>
      <c r="U100" s="2"/>
      <c r="V100" s="7">
        <f t="shared" si="76"/>
        <v>0</v>
      </c>
      <c r="W100" s="2"/>
      <c r="X100" s="6">
        <f t="shared" si="77"/>
        <v>3730</v>
      </c>
      <c r="Y100" s="2"/>
      <c r="Z100" s="7">
        <f t="shared" si="78"/>
        <v>0</v>
      </c>
    </row>
    <row r="101" spans="1:26" s="24" customFormat="1" hidden="1" outlineLevel="2" x14ac:dyDescent="0.25">
      <c r="A101" s="27"/>
      <c r="B101" s="11" t="str">
        <f>CONCATENATE("          ", "6275", " - ", "SUBSCRIPTIONS")</f>
        <v xml:space="preserve">          6275 - SUBSCRIPTIONS</v>
      </c>
      <c r="C101" s="11"/>
      <c r="D101" s="6">
        <v>4.25</v>
      </c>
      <c r="E101" s="2"/>
      <c r="F101" s="7">
        <f t="shared" si="71"/>
        <v>9.7730356198404123E-4</v>
      </c>
      <c r="G101" s="2"/>
      <c r="H101" s="6">
        <v>393.42</v>
      </c>
      <c r="I101" s="2"/>
      <c r="J101" s="7">
        <f t="shared" si="72"/>
        <v>1.8604028545338185E-4</v>
      </c>
      <c r="K101" s="2"/>
      <c r="L101" s="6">
        <f t="shared" si="73"/>
        <v>-389.17</v>
      </c>
      <c r="M101" s="2"/>
      <c r="N101" s="7">
        <f t="shared" si="74"/>
        <v>-0.98919729551115854</v>
      </c>
      <c r="O101" s="11"/>
      <c r="P101" s="6">
        <v>3570.55</v>
      </c>
      <c r="Q101" s="2"/>
      <c r="R101" s="7">
        <f t="shared" si="75"/>
        <v>2.6121257893965141E-4</v>
      </c>
      <c r="S101" s="2"/>
      <c r="T101" s="6">
        <v>4807.1400000000003</v>
      </c>
      <c r="U101" s="2"/>
      <c r="V101" s="7">
        <f t="shared" si="76"/>
        <v>2.9510102681877862E-4</v>
      </c>
      <c r="W101" s="2"/>
      <c r="X101" s="6">
        <f t="shared" si="77"/>
        <v>-1236.5900000000001</v>
      </c>
      <c r="Y101" s="2"/>
      <c r="Z101" s="7">
        <f t="shared" si="78"/>
        <v>-0.25724027176242009</v>
      </c>
    </row>
    <row r="102" spans="1:26" s="25" customFormat="1" outlineLevel="1" collapsed="1" x14ac:dyDescent="0.25">
      <c r="A102" s="26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SUM(OSRRefD22_21x_0)</f>
        <v>4933.12</v>
      </c>
      <c r="E102" s="1"/>
      <c r="F102" s="5">
        <f t="shared" ref="F102:F111" si="79">IF(D$12=0,0,D102/D$12)</f>
        <v>1.1343895876928738</v>
      </c>
      <c r="G102" s="1"/>
      <c r="H102" s="1">
        <f>SUM(OSRRefH22_21x_0)</f>
        <v>40513.579999999994</v>
      </c>
      <c r="I102" s="1"/>
      <c r="J102" s="5">
        <f t="shared" ref="J102:J111" si="80">IF(H$12=0,0,H102/H$12)</f>
        <v>1.9158044806919884E-2</v>
      </c>
      <c r="K102" s="1"/>
      <c r="L102" s="1">
        <f t="shared" ref="L102:L111" si="81">+D102-H102</f>
        <v>-35580.459999999992</v>
      </c>
      <c r="M102" s="1"/>
      <c r="N102" s="5">
        <f t="shared" ref="N102:N111" si="82">IF(H102=0,0,L102/H102)</f>
        <v>-0.8782353966250328</v>
      </c>
      <c r="O102" s="13"/>
      <c r="P102" s="1">
        <f>SUM(OSRRefP22_21x_0)</f>
        <v>356815.27</v>
      </c>
      <c r="Q102" s="1"/>
      <c r="R102" s="5">
        <f t="shared" ref="R102:R111" si="83">IF(P$12=0,0,P102/P$12)</f>
        <v>2.6103719841970571E-2</v>
      </c>
      <c r="S102" s="1"/>
      <c r="T102" s="1">
        <f>SUM(OSRRefT22_21x_0)</f>
        <v>399593.39999999997</v>
      </c>
      <c r="U102" s="1"/>
      <c r="V102" s="5">
        <f t="shared" ref="V102:V111" si="84">IF(T$12=0,0,T102/T$12)</f>
        <v>2.4530265948153565E-2</v>
      </c>
      <c r="W102" s="1"/>
      <c r="X102" s="1">
        <f t="shared" ref="X102:X111" si="85">+P102-T102</f>
        <v>-42778.129999999946</v>
      </c>
      <c r="Y102" s="1"/>
      <c r="Z102" s="5">
        <f t="shared" ref="Z102:Z111" si="86">IF(T102=0,0,X102/T102)</f>
        <v>-0.1070541455389402</v>
      </c>
    </row>
    <row r="103" spans="1:26" s="24" customFormat="1" hidden="1" outlineLevel="2" x14ac:dyDescent="0.25">
      <c r="A103" s="27"/>
      <c r="B103" s="11" t="str">
        <f>CONCATENATE("          ", "6234", " - ", "EXPENDABLE SUPPLIES &amp; EQUIPMEN")</f>
        <v xml:space="preserve">          6234 - EXPENDABLE SUPPLIES &amp; EQUIPMEN</v>
      </c>
      <c r="C103" s="11"/>
      <c r="D103" s="6">
        <v>142.07</v>
      </c>
      <c r="E103" s="2"/>
      <c r="F103" s="7">
        <f t="shared" si="79"/>
        <v>3.2669533423781823E-2</v>
      </c>
      <c r="G103" s="2"/>
      <c r="H103" s="6">
        <v>288.20999999999998</v>
      </c>
      <c r="I103" s="2"/>
      <c r="J103" s="7">
        <f t="shared" si="80"/>
        <v>1.3628862455014788E-4</v>
      </c>
      <c r="K103" s="2"/>
      <c r="L103" s="6">
        <f t="shared" si="81"/>
        <v>-146.13999999999999</v>
      </c>
      <c r="M103" s="2"/>
      <c r="N103" s="7">
        <f t="shared" si="82"/>
        <v>-0.50706082370493732</v>
      </c>
      <c r="O103" s="11"/>
      <c r="P103" s="6">
        <v>14804.830000000002</v>
      </c>
      <c r="Q103" s="2"/>
      <c r="R103" s="7">
        <f t="shared" si="83"/>
        <v>1.0830846298366132E-3</v>
      </c>
      <c r="S103" s="2"/>
      <c r="T103" s="6">
        <v>7767.87</v>
      </c>
      <c r="U103" s="2"/>
      <c r="V103" s="7">
        <f t="shared" si="84"/>
        <v>4.7685451499119766E-4</v>
      </c>
      <c r="W103" s="2"/>
      <c r="X103" s="6">
        <f t="shared" si="85"/>
        <v>7036.9600000000019</v>
      </c>
      <c r="Y103" s="2"/>
      <c r="Z103" s="7">
        <f t="shared" si="86"/>
        <v>0.90590599482226164</v>
      </c>
    </row>
    <row r="104" spans="1:26" s="24" customFormat="1" hidden="1" outlineLevel="2" x14ac:dyDescent="0.25">
      <c r="A104" s="27"/>
      <c r="B104" s="11" t="str">
        <f>CONCATENATE("          ", "6237", " - ", "JANITORIAL SUPPLIES")</f>
        <v xml:space="preserve">          6237 - JANITORIAL SUPPLIES</v>
      </c>
      <c r="C104" s="11"/>
      <c r="D104" s="6">
        <v>1472.58</v>
      </c>
      <c r="E104" s="2"/>
      <c r="F104" s="7">
        <f t="shared" si="79"/>
        <v>0.33862533630740221</v>
      </c>
      <c r="G104" s="2"/>
      <c r="H104" s="6">
        <v>13590.45</v>
      </c>
      <c r="I104" s="2"/>
      <c r="J104" s="7">
        <f t="shared" si="80"/>
        <v>6.4266463256568386E-3</v>
      </c>
      <c r="K104" s="2"/>
      <c r="L104" s="6">
        <f t="shared" si="81"/>
        <v>-12117.87</v>
      </c>
      <c r="M104" s="2"/>
      <c r="N104" s="7">
        <f t="shared" si="82"/>
        <v>-0.89164597198768258</v>
      </c>
      <c r="O104" s="11"/>
      <c r="P104" s="6">
        <v>121564.92000000001</v>
      </c>
      <c r="Q104" s="2"/>
      <c r="R104" s="7">
        <f t="shared" si="83"/>
        <v>8.8933879267318501E-3</v>
      </c>
      <c r="S104" s="2"/>
      <c r="T104" s="6">
        <v>143654.94</v>
      </c>
      <c r="U104" s="2"/>
      <c r="V104" s="7">
        <f t="shared" si="84"/>
        <v>8.8186989148620661E-3</v>
      </c>
      <c r="W104" s="2"/>
      <c r="X104" s="6">
        <f t="shared" si="85"/>
        <v>-22090.01999999999</v>
      </c>
      <c r="Y104" s="2"/>
      <c r="Z104" s="7">
        <f t="shared" si="86"/>
        <v>-0.15377139136322071</v>
      </c>
    </row>
    <row r="105" spans="1:26" s="24" customFormat="1" hidden="1" outlineLevel="2" x14ac:dyDescent="0.25">
      <c r="A105" s="27"/>
      <c r="B105" s="11" t="str">
        <f>CONCATENATE("          ", "6239", " - ", "KITCHEN SUPPLIES")</f>
        <v xml:space="preserve">          6239 - KITCHEN SUPPLIES</v>
      </c>
      <c r="C105" s="11"/>
      <c r="D105" s="6">
        <v>390.29</v>
      </c>
      <c r="E105" s="2"/>
      <c r="F105" s="7">
        <f t="shared" si="79"/>
        <v>8.9748660519235648E-2</v>
      </c>
      <c r="G105" s="2"/>
      <c r="H105" s="6">
        <v>8761.84</v>
      </c>
      <c r="I105" s="2"/>
      <c r="J105" s="7">
        <f t="shared" si="80"/>
        <v>4.1432952434976847E-3</v>
      </c>
      <c r="K105" s="2"/>
      <c r="L105" s="6">
        <f t="shared" si="81"/>
        <v>-8371.5499999999993</v>
      </c>
      <c r="M105" s="2"/>
      <c r="N105" s="7">
        <f t="shared" si="82"/>
        <v>-0.95545570336824215</v>
      </c>
      <c r="O105" s="11"/>
      <c r="P105" s="6">
        <v>72324.13</v>
      </c>
      <c r="Q105" s="2"/>
      <c r="R105" s="7">
        <f t="shared" si="83"/>
        <v>5.2910539039830303E-3</v>
      </c>
      <c r="S105" s="2"/>
      <c r="T105" s="6">
        <v>70317.48</v>
      </c>
      <c r="U105" s="2"/>
      <c r="V105" s="7">
        <f t="shared" si="84"/>
        <v>4.3166540918943338E-3</v>
      </c>
      <c r="W105" s="2"/>
      <c r="X105" s="6">
        <f t="shared" si="85"/>
        <v>2006.6500000000087</v>
      </c>
      <c r="Y105" s="2"/>
      <c r="Z105" s="7">
        <f t="shared" si="86"/>
        <v>2.853700104156191E-2</v>
      </c>
    </row>
    <row r="106" spans="1:26" s="24" customFormat="1" hidden="1" outlineLevel="2" x14ac:dyDescent="0.25">
      <c r="A106" s="27"/>
      <c r="B106" s="11" t="str">
        <f>CONCATENATE("          ", "6241", " - ", "OFFICE EXPENSE")</f>
        <v xml:space="preserve">          6241 - OFFICE EXPENSE</v>
      </c>
      <c r="C106" s="11"/>
      <c r="D106" s="6">
        <v>1030.8399999999999</v>
      </c>
      <c r="E106" s="2"/>
      <c r="F106" s="7">
        <f t="shared" si="79"/>
        <v>0.23704555384367743</v>
      </c>
      <c r="G106" s="2"/>
      <c r="H106" s="6">
        <v>2179.36</v>
      </c>
      <c r="I106" s="2"/>
      <c r="J106" s="7">
        <f t="shared" si="80"/>
        <v>1.030574847505674E-3</v>
      </c>
      <c r="K106" s="2"/>
      <c r="L106" s="6">
        <f t="shared" si="81"/>
        <v>-1148.5200000000002</v>
      </c>
      <c r="M106" s="2"/>
      <c r="N106" s="7">
        <f t="shared" si="82"/>
        <v>-0.52699875192717138</v>
      </c>
      <c r="O106" s="11"/>
      <c r="P106" s="6">
        <v>46139.519999999997</v>
      </c>
      <c r="Q106" s="2"/>
      <c r="R106" s="7">
        <f t="shared" si="83"/>
        <v>3.3754528042563813E-3</v>
      </c>
      <c r="S106" s="2"/>
      <c r="T106" s="6">
        <v>34847.9</v>
      </c>
      <c r="U106" s="2"/>
      <c r="V106" s="7">
        <f t="shared" si="84"/>
        <v>2.1392451795616764E-3</v>
      </c>
      <c r="W106" s="2"/>
      <c r="X106" s="6">
        <f t="shared" si="85"/>
        <v>11291.619999999995</v>
      </c>
      <c r="Y106" s="2"/>
      <c r="Z106" s="7">
        <f t="shared" si="86"/>
        <v>0.32402583799884627</v>
      </c>
    </row>
    <row r="107" spans="1:26" s="24" customFormat="1" hidden="1" outlineLevel="2" x14ac:dyDescent="0.25">
      <c r="A107" s="27"/>
      <c r="B107" s="11" t="str">
        <f>CONCATENATE("          ", "6243", " - ", "PAPER SUPPLIES")</f>
        <v xml:space="preserve">          6243 - PAPER SUPPLIES</v>
      </c>
      <c r="C107" s="11"/>
      <c r="D107" s="6">
        <v>1881.7</v>
      </c>
      <c r="E107" s="2"/>
      <c r="F107" s="7">
        <f t="shared" si="79"/>
        <v>0.43270402649067541</v>
      </c>
      <c r="G107" s="2"/>
      <c r="H107" s="6">
        <v>14906.249999999998</v>
      </c>
      <c r="I107" s="2"/>
      <c r="J107" s="7">
        <f t="shared" si="80"/>
        <v>7.0488612806656314E-3</v>
      </c>
      <c r="K107" s="2"/>
      <c r="L107" s="6">
        <f t="shared" si="81"/>
        <v>-13024.549999999997</v>
      </c>
      <c r="M107" s="2"/>
      <c r="N107" s="7">
        <f t="shared" si="82"/>
        <v>-0.87376436058700202</v>
      </c>
      <c r="O107" s="11"/>
      <c r="P107" s="6">
        <v>87846.290000000008</v>
      </c>
      <c r="Q107" s="2"/>
      <c r="R107" s="7">
        <f t="shared" si="83"/>
        <v>6.4266166168182801E-3</v>
      </c>
      <c r="S107" s="2"/>
      <c r="T107" s="6">
        <v>113095.39</v>
      </c>
      <c r="U107" s="2"/>
      <c r="V107" s="7">
        <f t="shared" si="84"/>
        <v>6.9427072474423941E-3</v>
      </c>
      <c r="W107" s="2"/>
      <c r="X107" s="6">
        <f t="shared" si="85"/>
        <v>-25249.099999999991</v>
      </c>
      <c r="Y107" s="2"/>
      <c r="Z107" s="7">
        <f t="shared" si="86"/>
        <v>-0.22325490013341828</v>
      </c>
    </row>
    <row r="108" spans="1:26" s="24" customFormat="1" hidden="1" outlineLevel="2" x14ac:dyDescent="0.25">
      <c r="A108" s="27"/>
      <c r="B108" s="11" t="str">
        <f>CONCATENATE("          ", "6245", " - ", "PRINTING")</f>
        <v xml:space="preserve">          6245 - PRINTING</v>
      </c>
      <c r="C108" s="11"/>
      <c r="D108" s="6"/>
      <c r="E108" s="2"/>
      <c r="F108" s="7">
        <f t="shared" si="79"/>
        <v>0</v>
      </c>
      <c r="G108" s="2"/>
      <c r="H108" s="6"/>
      <c r="I108" s="2"/>
      <c r="J108" s="7">
        <f t="shared" si="80"/>
        <v>0</v>
      </c>
      <c r="K108" s="2"/>
      <c r="L108" s="6">
        <f t="shared" si="81"/>
        <v>0</v>
      </c>
      <c r="M108" s="2"/>
      <c r="N108" s="7">
        <f t="shared" si="82"/>
        <v>0</v>
      </c>
      <c r="O108" s="11"/>
      <c r="P108" s="6">
        <v>1882.72</v>
      </c>
      <c r="Q108" s="2"/>
      <c r="R108" s="7">
        <f t="shared" si="83"/>
        <v>1.3773512389443095E-4</v>
      </c>
      <c r="S108" s="2"/>
      <c r="T108" s="6">
        <v>2141.9899999999998</v>
      </c>
      <c r="U108" s="2"/>
      <c r="V108" s="7">
        <f t="shared" si="84"/>
        <v>1.314926231471427E-4</v>
      </c>
      <c r="W108" s="2"/>
      <c r="X108" s="6">
        <f t="shared" si="85"/>
        <v>-259.26999999999975</v>
      </c>
      <c r="Y108" s="2"/>
      <c r="Z108" s="7">
        <f t="shared" si="86"/>
        <v>-0.12104164818696622</v>
      </c>
    </row>
    <row r="109" spans="1:26" s="24" customFormat="1" hidden="1" outlineLevel="2" x14ac:dyDescent="0.25">
      <c r="A109" s="27"/>
      <c r="B109" s="11" t="str">
        <f>CONCATENATE("          ", "6246", " - ", "REPLACEMENTS")</f>
        <v xml:space="preserve">          6246 - REPLACEMENTS</v>
      </c>
      <c r="C109" s="11"/>
      <c r="D109" s="6"/>
      <c r="E109" s="2"/>
      <c r="F109" s="7">
        <f t="shared" si="79"/>
        <v>0</v>
      </c>
      <c r="G109" s="2"/>
      <c r="H109" s="6"/>
      <c r="I109" s="2"/>
      <c r="J109" s="7">
        <f t="shared" si="80"/>
        <v>0</v>
      </c>
      <c r="K109" s="2"/>
      <c r="L109" s="6">
        <f t="shared" si="81"/>
        <v>0</v>
      </c>
      <c r="M109" s="2"/>
      <c r="N109" s="7">
        <f t="shared" si="82"/>
        <v>0</v>
      </c>
      <c r="O109" s="11"/>
      <c r="P109" s="6">
        <v>25.87</v>
      </c>
      <c r="Q109" s="2"/>
      <c r="R109" s="7">
        <f t="shared" si="83"/>
        <v>1.8925850127203879E-6</v>
      </c>
      <c r="S109" s="2"/>
      <c r="T109" s="6"/>
      <c r="U109" s="2"/>
      <c r="V109" s="7">
        <f t="shared" si="84"/>
        <v>0</v>
      </c>
      <c r="W109" s="2"/>
      <c r="X109" s="6">
        <f t="shared" si="85"/>
        <v>25.87</v>
      </c>
      <c r="Y109" s="2"/>
      <c r="Z109" s="7">
        <f t="shared" si="86"/>
        <v>0</v>
      </c>
    </row>
    <row r="110" spans="1:26" s="24" customFormat="1" hidden="1" outlineLevel="2" x14ac:dyDescent="0.25">
      <c r="A110" s="27"/>
      <c r="B110" s="11" t="str">
        <f>CONCATENATE("          ", "6247", " - ", "STORE SUPPLIES")</f>
        <v xml:space="preserve">          6247 - STORE SUPPLIES</v>
      </c>
      <c r="C110" s="11"/>
      <c r="D110" s="6">
        <v>15.64</v>
      </c>
      <c r="E110" s="2"/>
      <c r="F110" s="7">
        <f t="shared" si="79"/>
        <v>3.5964771081012721E-3</v>
      </c>
      <c r="G110" s="2"/>
      <c r="H110" s="6">
        <v>211.7</v>
      </c>
      <c r="I110" s="2"/>
      <c r="J110" s="7">
        <f t="shared" si="80"/>
        <v>1.0010860767241354E-4</v>
      </c>
      <c r="K110" s="2"/>
      <c r="L110" s="6">
        <f t="shared" si="81"/>
        <v>-196.06</v>
      </c>
      <c r="M110" s="2"/>
      <c r="N110" s="7">
        <f t="shared" si="82"/>
        <v>-0.92612187057156359</v>
      </c>
      <c r="O110" s="11"/>
      <c r="P110" s="6">
        <v>7629.9</v>
      </c>
      <c r="Q110" s="2"/>
      <c r="R110" s="7">
        <f t="shared" si="83"/>
        <v>5.5818455309452209E-4</v>
      </c>
      <c r="S110" s="2"/>
      <c r="T110" s="6">
        <v>8295.25</v>
      </c>
      <c r="U110" s="2"/>
      <c r="V110" s="7">
        <f t="shared" si="84"/>
        <v>5.0922935315353272E-4</v>
      </c>
      <c r="W110" s="2"/>
      <c r="X110" s="6">
        <f t="shared" si="85"/>
        <v>-665.35000000000036</v>
      </c>
      <c r="Y110" s="2"/>
      <c r="Z110" s="7">
        <f t="shared" si="86"/>
        <v>-8.0208553087610421E-2</v>
      </c>
    </row>
    <row r="111" spans="1:26" s="24" customFormat="1" hidden="1" outlineLevel="2" x14ac:dyDescent="0.25">
      <c r="A111" s="27"/>
      <c r="B111" s="11" t="str">
        <f>CONCATENATE("          ", "6248", " - ", "UNIFORMS")</f>
        <v xml:space="preserve">          6248 - UNIFORMS</v>
      </c>
      <c r="C111" s="11"/>
      <c r="D111" s="6"/>
      <c r="E111" s="2"/>
      <c r="F111" s="7">
        <f t="shared" si="79"/>
        <v>0</v>
      </c>
      <c r="G111" s="2"/>
      <c r="H111" s="6">
        <v>575.77</v>
      </c>
      <c r="I111" s="2"/>
      <c r="J111" s="7">
        <f t="shared" si="80"/>
        <v>2.7226987737149523E-4</v>
      </c>
      <c r="K111" s="2"/>
      <c r="L111" s="6">
        <f t="shared" si="81"/>
        <v>-575.77</v>
      </c>
      <c r="M111" s="2"/>
      <c r="N111" s="7">
        <f t="shared" si="82"/>
        <v>-1</v>
      </c>
      <c r="O111" s="11"/>
      <c r="P111" s="6">
        <v>4597.09</v>
      </c>
      <c r="Q111" s="2"/>
      <c r="R111" s="7">
        <f t="shared" si="83"/>
        <v>3.3631169834274328E-4</v>
      </c>
      <c r="S111" s="2"/>
      <c r="T111" s="6">
        <v>19472.580000000002</v>
      </c>
      <c r="U111" s="2"/>
      <c r="V111" s="7">
        <f t="shared" si="84"/>
        <v>1.195384023101223E-3</v>
      </c>
      <c r="W111" s="2"/>
      <c r="X111" s="6">
        <f t="shared" si="85"/>
        <v>-14875.490000000002</v>
      </c>
      <c r="Y111" s="2"/>
      <c r="Z111" s="7">
        <f t="shared" si="86"/>
        <v>-0.76391982983251316</v>
      </c>
    </row>
    <row r="112" spans="1:26" s="25" customFormat="1" outlineLevel="1" collapsed="1" x14ac:dyDescent="0.25">
      <c r="A112" s="26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SUM(OSRRefD22_22x_0)</f>
        <v>2498.2199999999998</v>
      </c>
      <c r="E112" s="1"/>
      <c r="F112" s="5">
        <f t="shared" ref="F112:F119" si="87">IF(D$12=0,0,D112/D$12)</f>
        <v>0.57447513049876975</v>
      </c>
      <c r="G112" s="1"/>
      <c r="H112" s="1">
        <f>SUM(OSRRefH22_22x_0)</f>
        <v>2721.62</v>
      </c>
      <c r="I112" s="1"/>
      <c r="J112" s="5">
        <f t="shared" ref="J112:J119" si="88">IF(H$12=0,0,H112/H$12)</f>
        <v>1.2869985300585456E-3</v>
      </c>
      <c r="K112" s="1"/>
      <c r="L112" s="1">
        <f t="shared" ref="L112:L119" si="89">+D112-H112</f>
        <v>-223.40000000000009</v>
      </c>
      <c r="M112" s="1"/>
      <c r="N112" s="5">
        <f t="shared" ref="N112:N119" si="90">IF(H112=0,0,L112/H112)</f>
        <v>-8.2083464995113237E-2</v>
      </c>
      <c r="O112" s="13"/>
      <c r="P112" s="1">
        <f>SUM(OSRRefP22_22x_0)</f>
        <v>25575.82</v>
      </c>
      <c r="Q112" s="1"/>
      <c r="R112" s="5">
        <f t="shared" ref="R112:R119" si="91">IF(P$12=0,0,P112/P$12)</f>
        <v>1.8710635338242889E-3</v>
      </c>
      <c r="S112" s="1"/>
      <c r="T112" s="1">
        <f>SUM(OSRRefT22_22x_0)</f>
        <v>26306.16</v>
      </c>
      <c r="U112" s="1"/>
      <c r="V112" s="5">
        <f t="shared" ref="V112:V119" si="92">IF(T$12=0,0,T112/T$12)</f>
        <v>1.6148842820594119E-3</v>
      </c>
      <c r="W112" s="1"/>
      <c r="X112" s="1">
        <f t="shared" ref="X112:X119" si="93">+P112-T112</f>
        <v>-730.34000000000015</v>
      </c>
      <c r="Y112" s="1"/>
      <c r="Z112" s="5">
        <f t="shared" ref="Z112:Z119" si="94">IF(T112=0,0,X112/T112)</f>
        <v>-2.7763079065891798E-2</v>
      </c>
    </row>
    <row r="113" spans="1:26" s="24" customFormat="1" hidden="1" outlineLevel="2" x14ac:dyDescent="0.25">
      <c r="A113" s="27"/>
      <c r="B113" s="11" t="str">
        <f>CONCATENATE("          ", "6309", " - ", "TELEPHONE")</f>
        <v xml:space="preserve">          6309 - TELEPHONE</v>
      </c>
      <c r="C113" s="11"/>
      <c r="D113" s="6">
        <v>2498.2199999999998</v>
      </c>
      <c r="E113" s="2"/>
      <c r="F113" s="7">
        <f t="shared" si="87"/>
        <v>0.57447513049876975</v>
      </c>
      <c r="G113" s="2"/>
      <c r="H113" s="6">
        <v>2721.62</v>
      </c>
      <c r="I113" s="2"/>
      <c r="J113" s="7">
        <f t="shared" si="88"/>
        <v>1.2869985300585456E-3</v>
      </c>
      <c r="K113" s="2"/>
      <c r="L113" s="6">
        <f t="shared" si="89"/>
        <v>-223.40000000000009</v>
      </c>
      <c r="M113" s="2"/>
      <c r="N113" s="7">
        <f t="shared" si="90"/>
        <v>-8.2083464995113237E-2</v>
      </c>
      <c r="O113" s="11"/>
      <c r="P113" s="6">
        <v>25575.82</v>
      </c>
      <c r="Q113" s="2"/>
      <c r="R113" s="7">
        <f t="shared" si="91"/>
        <v>1.8710635338242889E-3</v>
      </c>
      <c r="S113" s="2"/>
      <c r="T113" s="6">
        <v>26306.16</v>
      </c>
      <c r="U113" s="2"/>
      <c r="V113" s="7">
        <f t="shared" si="92"/>
        <v>1.6148842820594119E-3</v>
      </c>
      <c r="W113" s="2"/>
      <c r="X113" s="6">
        <f t="shared" si="93"/>
        <v>-730.34000000000015</v>
      </c>
      <c r="Y113" s="2"/>
      <c r="Z113" s="7">
        <f t="shared" si="94"/>
        <v>-2.7763079065891798E-2</v>
      </c>
    </row>
    <row r="114" spans="1:26" s="25" customFormat="1" outlineLevel="1" collapsed="1" x14ac:dyDescent="0.25">
      <c r="A114" s="26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SUM(OSRRefD22_23x_0)</f>
        <v>120</v>
      </c>
      <c r="E114" s="1"/>
      <c r="F114" s="5">
        <f t="shared" si="87"/>
        <v>2.7594453514843516E-2</v>
      </c>
      <c r="G114" s="1"/>
      <c r="H114" s="1">
        <f>SUM(OSRRefH22_23x_0)</f>
        <v>557.89</v>
      </c>
      <c r="I114" s="1"/>
      <c r="J114" s="5">
        <f t="shared" si="88"/>
        <v>2.6381479043156728E-4</v>
      </c>
      <c r="K114" s="1"/>
      <c r="L114" s="1">
        <f t="shared" si="89"/>
        <v>-437.89</v>
      </c>
      <c r="M114" s="1"/>
      <c r="N114" s="5">
        <f t="shared" si="90"/>
        <v>-0.78490383408915732</v>
      </c>
      <c r="O114" s="13"/>
      <c r="P114" s="1">
        <f>SUM(OSRRefP22_23x_0)</f>
        <v>8521.24</v>
      </c>
      <c r="Q114" s="1"/>
      <c r="R114" s="5">
        <f t="shared" si="91"/>
        <v>6.2339277594872353E-4</v>
      </c>
      <c r="S114" s="1"/>
      <c r="T114" s="1">
        <f>SUM(OSRRefT22_23x_0)</f>
        <v>9826.4</v>
      </c>
      <c r="U114" s="1"/>
      <c r="V114" s="5">
        <f t="shared" si="92"/>
        <v>6.0322369016339156E-4</v>
      </c>
      <c r="W114" s="1"/>
      <c r="X114" s="1">
        <f t="shared" si="93"/>
        <v>-1305.1599999999999</v>
      </c>
      <c r="Y114" s="1"/>
      <c r="Z114" s="5">
        <f t="shared" si="94"/>
        <v>-0.13282178620858096</v>
      </c>
    </row>
    <row r="115" spans="1:26" s="24" customFormat="1" hidden="1" outlineLevel="2" x14ac:dyDescent="0.25">
      <c r="A115" s="27"/>
      <c r="B115" s="11" t="str">
        <f>CONCATENATE("          ", "6376", " - ", "TRAINING")</f>
        <v xml:space="preserve">          6376 - TRAINING</v>
      </c>
      <c r="C115" s="11"/>
      <c r="D115" s="6">
        <v>120</v>
      </c>
      <c r="E115" s="2"/>
      <c r="F115" s="7">
        <f t="shared" si="87"/>
        <v>2.7594453514843516E-2</v>
      </c>
      <c r="G115" s="2"/>
      <c r="H115" s="6">
        <v>557.89</v>
      </c>
      <c r="I115" s="2"/>
      <c r="J115" s="7">
        <f t="shared" si="88"/>
        <v>2.6381479043156728E-4</v>
      </c>
      <c r="K115" s="2"/>
      <c r="L115" s="6">
        <f t="shared" si="89"/>
        <v>-437.89</v>
      </c>
      <c r="M115" s="2"/>
      <c r="N115" s="7">
        <f t="shared" si="90"/>
        <v>-0.78490383408915732</v>
      </c>
      <c r="O115" s="11"/>
      <c r="P115" s="6">
        <v>8521.24</v>
      </c>
      <c r="Q115" s="2"/>
      <c r="R115" s="7">
        <f t="shared" si="91"/>
        <v>6.2339277594872353E-4</v>
      </c>
      <c r="S115" s="2"/>
      <c r="T115" s="6">
        <v>9826.4</v>
      </c>
      <c r="U115" s="2"/>
      <c r="V115" s="7">
        <f t="shared" si="92"/>
        <v>6.0322369016339156E-4</v>
      </c>
      <c r="W115" s="2"/>
      <c r="X115" s="6">
        <f t="shared" si="93"/>
        <v>-1305.1599999999999</v>
      </c>
      <c r="Y115" s="2"/>
      <c r="Z115" s="7">
        <f t="shared" si="94"/>
        <v>-0.13282178620858096</v>
      </c>
    </row>
    <row r="116" spans="1:26" s="25" customFormat="1" outlineLevel="1" collapsed="1" x14ac:dyDescent="0.25">
      <c r="A116" s="26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SUM(OSRRefD22_24x_0)</f>
        <v>1737.4299999999998</v>
      </c>
      <c r="E116" s="1"/>
      <c r="F116" s="5">
        <f t="shared" si="87"/>
        <v>0.39952859475245472</v>
      </c>
      <c r="G116" s="1"/>
      <c r="H116" s="1">
        <f>SUM(OSRRefH22_24x_0)</f>
        <v>590.52</v>
      </c>
      <c r="I116" s="1"/>
      <c r="J116" s="5">
        <f t="shared" si="88"/>
        <v>2.7924485121735306E-4</v>
      </c>
      <c r="K116" s="1"/>
      <c r="L116" s="1">
        <f t="shared" si="89"/>
        <v>1146.9099999999999</v>
      </c>
      <c r="M116" s="1"/>
      <c r="N116" s="5">
        <f t="shared" si="90"/>
        <v>1.9422034816771656</v>
      </c>
      <c r="O116" s="13"/>
      <c r="P116" s="1">
        <f>SUM(OSRRefP22_24x_0)</f>
        <v>8235.58</v>
      </c>
      <c r="Q116" s="1"/>
      <c r="R116" s="5">
        <f t="shared" si="91"/>
        <v>6.0249459911324976E-4</v>
      </c>
      <c r="S116" s="1"/>
      <c r="T116" s="1">
        <f>SUM(OSRRefT22_24x_0)</f>
        <v>6029.9</v>
      </c>
      <c r="U116" s="1"/>
      <c r="V116" s="5">
        <f t="shared" si="92"/>
        <v>3.7016389820445278E-4</v>
      </c>
      <c r="W116" s="1"/>
      <c r="X116" s="1">
        <f t="shared" si="93"/>
        <v>2205.6800000000003</v>
      </c>
      <c r="Y116" s="1"/>
      <c r="Z116" s="5">
        <f t="shared" si="94"/>
        <v>0.36579047745402088</v>
      </c>
    </row>
    <row r="117" spans="1:26" s="24" customFormat="1" hidden="1" outlineLevel="2" x14ac:dyDescent="0.25">
      <c r="A117" s="27"/>
      <c r="B117" s="11" t="str">
        <f>CONCATENATE("          ", "6292", " - ", "TRAVEL/CONFERENCE")</f>
        <v xml:space="preserve">          6292 - TRAVEL/CONFERENCE</v>
      </c>
      <c r="C117" s="11"/>
      <c r="D117" s="6">
        <v>1547.08</v>
      </c>
      <c r="E117" s="2"/>
      <c r="F117" s="7">
        <f t="shared" si="87"/>
        <v>0.35575689286453421</v>
      </c>
      <c r="G117" s="2"/>
      <c r="H117" s="6">
        <v>451.91</v>
      </c>
      <c r="I117" s="2"/>
      <c r="J117" s="7">
        <f t="shared" si="88"/>
        <v>2.136990122496004E-4</v>
      </c>
      <c r="K117" s="2"/>
      <c r="L117" s="6">
        <f t="shared" si="89"/>
        <v>1095.1699999999998</v>
      </c>
      <c r="M117" s="2"/>
      <c r="N117" s="7">
        <f t="shared" si="90"/>
        <v>2.423425018255847</v>
      </c>
      <c r="O117" s="11"/>
      <c r="P117" s="6">
        <v>6889.94</v>
      </c>
      <c r="Q117" s="2"/>
      <c r="R117" s="7">
        <f t="shared" si="91"/>
        <v>5.0405091544424854E-4</v>
      </c>
      <c r="S117" s="2"/>
      <c r="T117" s="6">
        <v>3022.93</v>
      </c>
      <c r="U117" s="2"/>
      <c r="V117" s="7">
        <f t="shared" si="92"/>
        <v>1.8557182586762409E-4</v>
      </c>
      <c r="W117" s="2"/>
      <c r="X117" s="6">
        <f t="shared" si="93"/>
        <v>3867.0099999999998</v>
      </c>
      <c r="Y117" s="2"/>
      <c r="Z117" s="7">
        <f t="shared" si="94"/>
        <v>1.2792257842556725</v>
      </c>
    </row>
    <row r="118" spans="1:26" s="24" customFormat="1" hidden="1" outlineLevel="2" x14ac:dyDescent="0.25">
      <c r="A118" s="27"/>
      <c r="B118" s="11" t="str">
        <f>CONCATENATE("          ", "6294", " - ", "TRAVEL OPERATIONAL")</f>
        <v xml:space="preserve">          6294 - TRAVEL OPERATIONAL</v>
      </c>
      <c r="C118" s="11"/>
      <c r="D118" s="6"/>
      <c r="E118" s="2"/>
      <c r="F118" s="7">
        <f t="shared" si="87"/>
        <v>0</v>
      </c>
      <c r="G118" s="2"/>
      <c r="H118" s="6"/>
      <c r="I118" s="2"/>
      <c r="J118" s="7">
        <f t="shared" si="88"/>
        <v>0</v>
      </c>
      <c r="K118" s="2"/>
      <c r="L118" s="6">
        <f t="shared" si="89"/>
        <v>0</v>
      </c>
      <c r="M118" s="2"/>
      <c r="N118" s="7">
        <f t="shared" si="90"/>
        <v>0</v>
      </c>
      <c r="O118" s="11"/>
      <c r="P118" s="6">
        <v>56.99</v>
      </c>
      <c r="Q118" s="2"/>
      <c r="R118" s="7">
        <f t="shared" si="91"/>
        <v>4.1692469994176615E-6</v>
      </c>
      <c r="S118" s="2"/>
      <c r="T118" s="6">
        <v>1927.4</v>
      </c>
      <c r="U118" s="2"/>
      <c r="V118" s="7">
        <f t="shared" si="92"/>
        <v>1.1831935809868528E-4</v>
      </c>
      <c r="W118" s="2"/>
      <c r="X118" s="6">
        <f t="shared" si="93"/>
        <v>-1870.41</v>
      </c>
      <c r="Y118" s="2"/>
      <c r="Z118" s="7">
        <f t="shared" si="94"/>
        <v>-0.97043166960672411</v>
      </c>
    </row>
    <row r="119" spans="1:26" s="24" customFormat="1" hidden="1" outlineLevel="2" x14ac:dyDescent="0.25">
      <c r="A119" s="27"/>
      <c r="B119" s="11" t="str">
        <f>CONCATENATE("          ", "6298", " - ", "VEHICLE MILEAGE")</f>
        <v xml:space="preserve">          6298 - VEHICLE MILEAGE</v>
      </c>
      <c r="C119" s="11"/>
      <c r="D119" s="6">
        <v>190.35</v>
      </c>
      <c r="E119" s="2"/>
      <c r="F119" s="7">
        <f t="shared" si="87"/>
        <v>4.3771701887920532E-2</v>
      </c>
      <c r="G119" s="2"/>
      <c r="H119" s="6">
        <v>138.61000000000001</v>
      </c>
      <c r="I119" s="2"/>
      <c r="J119" s="7">
        <f t="shared" si="88"/>
        <v>6.5545838967752675E-5</v>
      </c>
      <c r="K119" s="2"/>
      <c r="L119" s="6">
        <f t="shared" si="89"/>
        <v>51.739999999999981</v>
      </c>
      <c r="M119" s="2"/>
      <c r="N119" s="7">
        <f t="shared" si="90"/>
        <v>0.37327754130293611</v>
      </c>
      <c r="O119" s="11"/>
      <c r="P119" s="6">
        <v>1288.6500000000001</v>
      </c>
      <c r="Q119" s="2"/>
      <c r="R119" s="7">
        <f t="shared" si="91"/>
        <v>9.4274436669583616E-5</v>
      </c>
      <c r="S119" s="2"/>
      <c r="T119" s="6">
        <v>1079.57</v>
      </c>
      <c r="U119" s="2"/>
      <c r="V119" s="7">
        <f t="shared" si="92"/>
        <v>6.6272714238143433E-5</v>
      </c>
      <c r="W119" s="2"/>
      <c r="X119" s="6">
        <f t="shared" si="93"/>
        <v>209.08000000000015</v>
      </c>
      <c r="Y119" s="2"/>
      <c r="Z119" s="7">
        <f t="shared" si="94"/>
        <v>0.19366970182572707</v>
      </c>
    </row>
    <row r="120" spans="1:26" s="25" customFormat="1" outlineLevel="1" collapsed="1" x14ac:dyDescent="0.25">
      <c r="A120" s="26"/>
      <c r="B120" s="13" t="str">
        <f>CONCATENATE("     ","Utilities                                         ")</f>
        <v xml:space="preserve">     Utilities                                         </v>
      </c>
      <c r="C120" s="13"/>
      <c r="D120" s="1">
        <f>SUM(OSRRefD22_25x_0)</f>
        <v>15583</v>
      </c>
      <c r="E120" s="1"/>
      <c r="F120" s="5">
        <f t="shared" ref="F120:F121" si="95">IF(D$12=0,0,D120/D$12)</f>
        <v>3.5833697426817213</v>
      </c>
      <c r="G120" s="1"/>
      <c r="H120" s="1">
        <f>SUM(OSRRefH22_25x_0)</f>
        <v>14316</v>
      </c>
      <c r="I120" s="1"/>
      <c r="J120" s="5">
        <f t="shared" ref="J120:J121" si="96">IF(H$12=0,0,H120/H$12)</f>
        <v>6.7697441069356273E-3</v>
      </c>
      <c r="K120" s="1"/>
      <c r="L120" s="1">
        <f t="shared" ref="L120:L121" si="97">+D120-H120</f>
        <v>1267</v>
      </c>
      <c r="M120" s="1"/>
      <c r="N120" s="5">
        <f t="shared" ref="N120:N121" si="98">IF(H120=0,0,L120/H120)</f>
        <v>8.8502374965074043E-2</v>
      </c>
      <c r="O120" s="13"/>
      <c r="P120" s="1">
        <f>SUM(OSRRefP22_25x_0)</f>
        <v>159219</v>
      </c>
      <c r="Q120" s="1"/>
      <c r="R120" s="5">
        <f t="shared" ref="R120:R121" si="99">IF(P$12=0,0,P120/P$12)</f>
        <v>1.1648066994214435E-2</v>
      </c>
      <c r="S120" s="1"/>
      <c r="T120" s="1">
        <f>SUM(OSRRefT22_25x_0)</f>
        <v>113829.62</v>
      </c>
      <c r="U120" s="1"/>
      <c r="V120" s="5">
        <f t="shared" ref="V120:V121" si="100">IF(T$12=0,0,T120/T$12)</f>
        <v>6.98778020702359E-3</v>
      </c>
      <c r="W120" s="1"/>
      <c r="X120" s="1">
        <f t="shared" ref="X120:X121" si="101">+P120-T120</f>
        <v>45389.380000000005</v>
      </c>
      <c r="Y120" s="1"/>
      <c r="Z120" s="5">
        <f t="shared" ref="Z120:Z121" si="102">IF(T120=0,0,X120/T120)</f>
        <v>0.3987484101238325</v>
      </c>
    </row>
    <row r="121" spans="1:26" s="24" customFormat="1" hidden="1" outlineLevel="2" x14ac:dyDescent="0.25">
      <c r="A121" s="27"/>
      <c r="B121" s="11" t="str">
        <f>CONCATENATE("          ", "6274", " - ", "UTILITIES")</f>
        <v xml:space="preserve">          6274 - UTILITIES</v>
      </c>
      <c r="C121" s="11"/>
      <c r="D121" s="6">
        <v>15583</v>
      </c>
      <c r="E121" s="2"/>
      <c r="F121" s="7">
        <f t="shared" si="95"/>
        <v>3.5833697426817213</v>
      </c>
      <c r="G121" s="2"/>
      <c r="H121" s="6">
        <v>14316</v>
      </c>
      <c r="I121" s="2"/>
      <c r="J121" s="7">
        <f t="shared" si="96"/>
        <v>6.7697441069356273E-3</v>
      </c>
      <c r="K121" s="2"/>
      <c r="L121" s="6">
        <f t="shared" si="97"/>
        <v>1267</v>
      </c>
      <c r="M121" s="2"/>
      <c r="N121" s="7">
        <f t="shared" si="98"/>
        <v>8.8502374965074043E-2</v>
      </c>
      <c r="O121" s="11"/>
      <c r="P121" s="6">
        <v>159219</v>
      </c>
      <c r="Q121" s="2"/>
      <c r="R121" s="7">
        <f t="shared" si="99"/>
        <v>1.1648066994214435E-2</v>
      </c>
      <c r="S121" s="2"/>
      <c r="T121" s="6">
        <v>113829.62</v>
      </c>
      <c r="U121" s="2"/>
      <c r="V121" s="7">
        <f t="shared" si="100"/>
        <v>6.98778020702359E-3</v>
      </c>
      <c r="W121" s="2"/>
      <c r="X121" s="6">
        <f t="shared" si="101"/>
        <v>45389.380000000005</v>
      </c>
      <c r="Y121" s="2"/>
      <c r="Z121" s="7">
        <f t="shared" si="102"/>
        <v>0.3987484101238325</v>
      </c>
    </row>
    <row r="122" spans="1:26" s="53" customFormat="1" x14ac:dyDescent="0.25">
      <c r="A122" s="37"/>
      <c r="B122" s="37"/>
      <c r="C122" s="37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9" t="s">
        <v>0</v>
      </c>
      <c r="C123" s="10"/>
      <c r="D123" s="4">
        <f>SUM(OSRRefD25x_0)</f>
        <v>24358.23</v>
      </c>
      <c r="E123" s="4"/>
      <c r="F123" s="12">
        <f t="shared" ref="F123:F126" si="103">IF(D$12=0,0,D123/D$12)</f>
        <v>5.6012670453238904</v>
      </c>
      <c r="G123" s="4"/>
      <c r="H123" s="4">
        <f>SUM(OSRRefH25x_0)</f>
        <v>46352.67</v>
      </c>
      <c r="I123" s="4"/>
      <c r="J123" s="12">
        <f t="shared" ref="J123:J126" si="104">IF(H$12=0,0,H123/H$12)</f>
        <v>2.1919231249876488E-2</v>
      </c>
      <c r="K123" s="4"/>
      <c r="L123" s="4">
        <f t="shared" ref="L123:L126" si="105">+D123-H123</f>
        <v>-21994.44</v>
      </c>
      <c r="M123" s="4"/>
      <c r="N123" s="12">
        <f t="shared" ref="N123:N126" si="106">IF(H123=0,0,L123/H123)</f>
        <v>-0.47450211605933379</v>
      </c>
      <c r="O123" s="10"/>
      <c r="P123" s="4">
        <f>SUM(OSRRefP25x_0)</f>
        <v>680573.99</v>
      </c>
      <c r="Q123" s="4"/>
      <c r="R123" s="12">
        <f t="shared" ref="R123:R126" si="107">IF(P$12=0,0,P123/P$12)</f>
        <v>4.9789104504109588E-2</v>
      </c>
      <c r="S123" s="4"/>
      <c r="T123" s="4">
        <f>SUM(OSRRefT25x_0)</f>
        <v>629122.37</v>
      </c>
      <c r="U123" s="4"/>
      <c r="V123" s="12">
        <f t="shared" ref="V123:V126" si="108">IF(T$12=0,0,T123/T$12)</f>
        <v>3.8620605470542475E-2</v>
      </c>
      <c r="W123" s="4"/>
      <c r="X123" s="4">
        <f t="shared" ref="X123:X126" si="109">+P123-T123</f>
        <v>51451.619999999995</v>
      </c>
      <c r="Y123" s="4"/>
      <c r="Z123" s="12">
        <f t="shared" ref="Z123:Z126" si="110">IF(T123=0,0,X123/T123)</f>
        <v>8.1783167239785154E-2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--20725.38</f>
        <v>20725.38</v>
      </c>
      <c r="E124" s="2"/>
      <c r="F124" s="19">
        <f t="shared" si="103"/>
        <v>4.7658794582288966</v>
      </c>
      <c r="G124" s="2"/>
      <c r="H124" s="2">
        <f>--31551.13</f>
        <v>31551.13</v>
      </c>
      <c r="I124" s="2"/>
      <c r="J124" s="19">
        <f t="shared" si="104"/>
        <v>1.4919885190322706E-2</v>
      </c>
      <c r="K124" s="2"/>
      <c r="L124" s="2">
        <f t="shared" si="105"/>
        <v>-10825.75</v>
      </c>
      <c r="M124" s="2"/>
      <c r="N124" s="19">
        <f t="shared" si="106"/>
        <v>-0.34311766329763782</v>
      </c>
      <c r="O124" s="11"/>
      <c r="P124" s="2">
        <f>--313984.54</f>
        <v>313984.53999999998</v>
      </c>
      <c r="Q124" s="2"/>
      <c r="R124" s="19">
        <f t="shared" si="107"/>
        <v>2.2970329904518944E-2</v>
      </c>
      <c r="S124" s="2"/>
      <c r="T124" s="2">
        <f>--302353.55</f>
        <v>302353.55</v>
      </c>
      <c r="U124" s="2"/>
      <c r="V124" s="19">
        <f t="shared" si="108"/>
        <v>1.8560899634148979E-2</v>
      </c>
      <c r="W124" s="2"/>
      <c r="X124" s="2">
        <f t="shared" si="109"/>
        <v>11630.989999999991</v>
      </c>
      <c r="Y124" s="2"/>
      <c r="Z124" s="19">
        <f t="shared" si="110"/>
        <v>3.8468177403572709E-2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>0</f>
        <v>0</v>
      </c>
      <c r="E125" s="2"/>
      <c r="F125" s="19">
        <f t="shared" si="103"/>
        <v>0</v>
      </c>
      <c r="G125" s="2"/>
      <c r="H125" s="2">
        <f>--9962.34</f>
        <v>9962.34</v>
      </c>
      <c r="I125" s="2"/>
      <c r="J125" s="19">
        <f t="shared" si="104"/>
        <v>4.7109871826130955E-3</v>
      </c>
      <c r="K125" s="2"/>
      <c r="L125" s="2">
        <f t="shared" si="105"/>
        <v>-9962.34</v>
      </c>
      <c r="M125" s="2"/>
      <c r="N125" s="19">
        <f t="shared" si="106"/>
        <v>-1</v>
      </c>
      <c r="O125" s="11"/>
      <c r="P125" s="2">
        <f>--130089.32</f>
        <v>130089.32</v>
      </c>
      <c r="Q125" s="2"/>
      <c r="R125" s="19">
        <f t="shared" si="107"/>
        <v>9.5170118804401484E-3</v>
      </c>
      <c r="S125" s="2"/>
      <c r="T125" s="2">
        <f>--86579.56</f>
        <v>86579.56</v>
      </c>
      <c r="U125" s="2"/>
      <c r="V125" s="19">
        <f t="shared" si="108"/>
        <v>5.3149517296184534E-3</v>
      </c>
      <c r="W125" s="2"/>
      <c r="X125" s="2">
        <f t="shared" si="109"/>
        <v>43509.760000000009</v>
      </c>
      <c r="Y125" s="2"/>
      <c r="Z125" s="19">
        <f t="shared" si="110"/>
        <v>0.50254078445305117</v>
      </c>
    </row>
    <row r="126" spans="1:26" s="24" customFormat="1" hidden="1" outlineLevel="1" x14ac:dyDescent="0.25">
      <c r="A126" s="44"/>
      <c r="B126" s="11" t="str">
        <f>CONCATENATE("          ", "9165", " - ", "OTHER INCOME")</f>
        <v xml:space="preserve">          9165 - OTHER INCOME</v>
      </c>
      <c r="C126" s="11"/>
      <c r="D126" s="2">
        <f>--3632.85</f>
        <v>3632.85</v>
      </c>
      <c r="E126" s="2"/>
      <c r="F126" s="19">
        <f t="shared" si="103"/>
        <v>0.83538758709499394</v>
      </c>
      <c r="G126" s="2"/>
      <c r="H126" s="2">
        <f>--4839.2</f>
        <v>4839.2</v>
      </c>
      <c r="I126" s="2"/>
      <c r="J126" s="19">
        <f t="shared" si="104"/>
        <v>2.2883588769406875E-3</v>
      </c>
      <c r="K126" s="2"/>
      <c r="L126" s="2">
        <f t="shared" si="105"/>
        <v>-1206.3499999999999</v>
      </c>
      <c r="M126" s="2"/>
      <c r="N126" s="19">
        <f t="shared" si="106"/>
        <v>-0.24928707224334601</v>
      </c>
      <c r="O126" s="11"/>
      <c r="P126" s="2">
        <f>--236500.13</f>
        <v>236500.13</v>
      </c>
      <c r="Q126" s="2"/>
      <c r="R126" s="19">
        <f t="shared" si="107"/>
        <v>1.7301762719150498E-2</v>
      </c>
      <c r="S126" s="2"/>
      <c r="T126" s="2">
        <f>--240189.26</f>
        <v>240189.26</v>
      </c>
      <c r="U126" s="2"/>
      <c r="V126" s="19">
        <f t="shared" si="108"/>
        <v>1.4744754106775046E-2</v>
      </c>
      <c r="W126" s="2"/>
      <c r="X126" s="2">
        <f t="shared" si="109"/>
        <v>-3689.1300000000047</v>
      </c>
      <c r="Y126" s="2"/>
      <c r="Z126" s="19">
        <f t="shared" si="110"/>
        <v>-1.5359262941232278E-2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8" t="s">
        <v>3</v>
      </c>
      <c r="C128" s="28"/>
      <c r="D128" s="21">
        <f>+D31-D33+D123</f>
        <v>-257819.47</v>
      </c>
      <c r="E128" s="14"/>
      <c r="F128" s="20">
        <f>IF(D$12=0,0,D128/D$12)</f>
        <v>-59.286561501138273</v>
      </c>
      <c r="G128" s="14"/>
      <c r="H128" s="21">
        <f>+H31-H33+H123</f>
        <v>613551.7000000003</v>
      </c>
      <c r="I128" s="14"/>
      <c r="J128" s="20">
        <f>IF(H$12=0,0,H128/H$12)</f>
        <v>0.2901360719038375</v>
      </c>
      <c r="K128" s="15"/>
      <c r="L128" s="21">
        <f>+D128-H128</f>
        <v>-871371.17000000027</v>
      </c>
      <c r="M128" s="15"/>
      <c r="N128" s="20">
        <f>IF(H128=0,0,L128/H128)</f>
        <v>-1.4202082236916627</v>
      </c>
      <c r="O128" s="29"/>
      <c r="P128" s="21">
        <f>+P31-P33+P123</f>
        <v>1357710.6199999989</v>
      </c>
      <c r="Q128" s="14"/>
      <c r="R128" s="20">
        <f>IF(P$12=0,0,P128/P$12)</f>
        <v>9.9326740279215453E-2</v>
      </c>
      <c r="S128" s="14"/>
      <c r="T128" s="21">
        <f>+T31-T33+T123</f>
        <v>3297975.5900000026</v>
      </c>
      <c r="U128" s="14"/>
      <c r="V128" s="20">
        <f>IF(T$12=0,0,T128/T$12)</f>
        <v>0.202456342655356</v>
      </c>
      <c r="W128" s="15"/>
      <c r="X128" s="21">
        <f>+P128-T128</f>
        <v>-1940264.9700000037</v>
      </c>
      <c r="Y128" s="15"/>
      <c r="Z128" s="20">
        <f>IF(T128=0,0,X128/T128)</f>
        <v>-0.58831999117373768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1"/>
      <c r="B130" s="10" t="s">
        <v>13</v>
      </c>
      <c r="C130" s="10"/>
      <c r="D130" s="4">
        <v>87817.48</v>
      </c>
      <c r="E130" s="4"/>
      <c r="F130" s="12">
        <f>IF(D$12=0,0,D130/D$12)</f>
        <v>20.193961413755837</v>
      </c>
      <c r="G130" s="4"/>
      <c r="H130" s="4">
        <v>233819.77</v>
      </c>
      <c r="I130" s="4"/>
      <c r="J130" s="12">
        <f>IF(H$12=0,0,H130/H$12)</f>
        <v>0.11056859528098237</v>
      </c>
      <c r="K130" s="4"/>
      <c r="L130" s="4">
        <f>+D130-H130</f>
        <v>-146002.28999999998</v>
      </c>
      <c r="M130" s="4"/>
      <c r="N130" s="12">
        <f>IF(H130=0,0,L130/H130)</f>
        <v>-0.62442234888863324</v>
      </c>
      <c r="O130" s="10"/>
      <c r="P130" s="4">
        <v>1552032.44</v>
      </c>
      <c r="Q130" s="4"/>
      <c r="R130" s="12">
        <f>IF(P$12=0,0,P130/P$12)</f>
        <v>0.1135428424893643</v>
      </c>
      <c r="S130" s="4"/>
      <c r="T130" s="4">
        <v>1693465.1800000002</v>
      </c>
      <c r="U130" s="4"/>
      <c r="V130" s="12">
        <f>IF(T$12=0,0,T130/T$12)</f>
        <v>0.10395855196641825</v>
      </c>
      <c r="W130" s="4"/>
      <c r="X130" s="4">
        <f>+P130-T130</f>
        <v>-141432.74000000022</v>
      </c>
      <c r="Y130" s="4"/>
      <c r="Z130" s="12">
        <f>IF(T130=0,0,X130/T130)</f>
        <v>-8.3516768853789017E-2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4</v>
      </c>
      <c r="C132" s="28"/>
      <c r="D132" s="30">
        <f>+D128-D130</f>
        <v>-345636.95</v>
      </c>
      <c r="E132" s="14"/>
      <c r="F132" s="36">
        <f>IF(D$12=0,0,D132/D$12)</f>
        <v>-79.480522914894109</v>
      </c>
      <c r="G132" s="14"/>
      <c r="H132" s="30">
        <f>+H128-H130</f>
        <v>379731.93000000028</v>
      </c>
      <c r="I132" s="14"/>
      <c r="J132" s="36">
        <f>IF(H$12=0,0,H132/H$12)</f>
        <v>0.17956747662285513</v>
      </c>
      <c r="K132" s="15"/>
      <c r="L132" s="30">
        <f>D132-H132</f>
        <v>-725368.88000000035</v>
      </c>
      <c r="M132" s="15"/>
      <c r="N132" s="36">
        <f>IF(H132=0,0,L132/H132)</f>
        <v>-1.9102130284382455</v>
      </c>
      <c r="O132" s="29"/>
      <c r="P132" s="30">
        <f>+P128-P130</f>
        <v>-194321.820000001</v>
      </c>
      <c r="Q132" s="14"/>
      <c r="R132" s="36">
        <f>IF(P$12=0,0,P132/P$12)</f>
        <v>-1.4216102210148853E-2</v>
      </c>
      <c r="S132" s="14"/>
      <c r="T132" s="30">
        <f>+T128-T130</f>
        <v>1604510.4100000025</v>
      </c>
      <c r="U132" s="14"/>
      <c r="V132" s="36">
        <f>IF(T$12=0,0,T132/T$12)</f>
        <v>9.8497790688937756E-2</v>
      </c>
      <c r="W132" s="15"/>
      <c r="X132" s="30">
        <f>P132-T132</f>
        <v>-1798832.2300000035</v>
      </c>
      <c r="Y132" s="15"/>
      <c r="Z132" s="36">
        <f>IF(T132=0,0,X132/T132)</f>
        <v>-1.1211097284186524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8" t="s">
        <v>5</v>
      </c>
      <c r="C135" s="28"/>
      <c r="D135" s="31">
        <f>SUM(D132:D134)</f>
        <v>-345636.95</v>
      </c>
      <c r="E135" s="14"/>
      <c r="F135" s="32">
        <f>IF(D$12=0,0,D135/D$12)</f>
        <v>-79.480522914894109</v>
      </c>
      <c r="G135" s="14"/>
      <c r="H135" s="31">
        <f>SUM(H132:H134)</f>
        <v>379731.93000000028</v>
      </c>
      <c r="I135" s="14"/>
      <c r="J135" s="32">
        <f>IF(H$12=0,0,H135/H$12)</f>
        <v>0.17956747662285513</v>
      </c>
      <c r="K135" s="15"/>
      <c r="L135" s="31">
        <f>+D135-H135</f>
        <v>-725368.88000000035</v>
      </c>
      <c r="M135" s="15"/>
      <c r="N135" s="32">
        <f>IF(H135=0,0,L135/H135)</f>
        <v>-1.9102130284382455</v>
      </c>
      <c r="O135" s="29"/>
      <c r="P135" s="31">
        <f>SUM(P132:P134)</f>
        <v>-194321.820000001</v>
      </c>
      <c r="Q135" s="14"/>
      <c r="R135" s="32">
        <f>IF(P$12=0,0,P135/P$12)</f>
        <v>-1.4216102210148853E-2</v>
      </c>
      <c r="S135" s="14"/>
      <c r="T135" s="31">
        <f>SUM(T132:T134)</f>
        <v>1604510.4100000025</v>
      </c>
      <c r="U135" s="14"/>
      <c r="V135" s="32">
        <f>IF(T$12=0,0,T135/T$12)</f>
        <v>9.8497790688937756E-2</v>
      </c>
      <c r="W135" s="15"/>
      <c r="X135" s="31">
        <f>+P135-T135</f>
        <v>-1798832.2300000035</v>
      </c>
      <c r="Y135" s="15"/>
      <c r="Z135" s="32">
        <f>IF(T135=0,0,X135/T135)</f>
        <v>-1.1211097284186524</v>
      </c>
    </row>
    <row r="136" spans="1:26" ht="15.75" thickTop="1" x14ac:dyDescent="0.25">
      <c r="A136" s="9"/>
      <c r="C136" s="9"/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A137" s="9"/>
      <c r="B137" s="54">
        <v>43965.47055755787</v>
      </c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59" t="s">
        <v>313</v>
      </c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A139" s="9"/>
      <c r="B139" s="61"/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  <row r="140" spans="1:26" x14ac:dyDescent="0.25"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312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45.309999999999995</v>
      </c>
      <c r="E12" s="4"/>
      <c r="F12" s="12"/>
      <c r="G12" s="4"/>
      <c r="H12" s="4">
        <f>SUM(OSRRefH13x_0)</f>
        <v>1256517.6300000001</v>
      </c>
      <c r="I12" s="4"/>
      <c r="J12" s="12"/>
      <c r="K12" s="4"/>
      <c r="L12" s="4">
        <f t="shared" ref="L12:L32" si="0">+D12-H12</f>
        <v>-1256472.32</v>
      </c>
      <c r="M12" s="4"/>
      <c r="N12" s="12">
        <f t="shared" ref="N12:N32" si="1">IF(H12=0,0,L12/H12)</f>
        <v>-0.99996394002048339</v>
      </c>
      <c r="O12" s="10"/>
      <c r="P12" s="4">
        <f>SUM(OSRRefP13x_0)</f>
        <v>6984123.2400000002</v>
      </c>
      <c r="Q12" s="4"/>
      <c r="R12" s="12"/>
      <c r="S12" s="4"/>
      <c r="T12" s="4">
        <f>SUM(OSRRefT13x_0)</f>
        <v>8942046.6699999999</v>
      </c>
      <c r="U12" s="4"/>
      <c r="V12" s="12"/>
      <c r="W12" s="4"/>
      <c r="X12" s="4">
        <f t="shared" ref="X12:X32" si="2">+P12-T12</f>
        <v>-1957923.4299999997</v>
      </c>
      <c r="Y12" s="4"/>
      <c r="Z12" s="12">
        <f t="shared" ref="Z12:Z32" si="3">IF(T12=0,0,X12/T12)</f>
        <v>-0.21895696838272033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--1.35</f>
        <v>1.35</v>
      </c>
      <c r="E13" s="2"/>
      <c r="F13" s="19"/>
      <c r="G13" s="2"/>
      <c r="H13" s="2">
        <f>--35301</f>
        <v>35301</v>
      </c>
      <c r="I13" s="2"/>
      <c r="J13" s="19"/>
      <c r="K13" s="2"/>
      <c r="L13" s="2">
        <f t="shared" si="0"/>
        <v>-35299.65</v>
      </c>
      <c r="M13" s="2"/>
      <c r="N13" s="19">
        <f t="shared" si="1"/>
        <v>-0.99996175745729587</v>
      </c>
      <c r="O13" s="11"/>
      <c r="P13" s="2">
        <f>--275749.46</f>
        <v>275749.46000000002</v>
      </c>
      <c r="Q13" s="2"/>
      <c r="R13" s="19"/>
      <c r="S13" s="2"/>
      <c r="T13" s="2">
        <f>--341356.98</f>
        <v>341356.98</v>
      </c>
      <c r="U13" s="2"/>
      <c r="V13" s="19"/>
      <c r="W13" s="2"/>
      <c r="X13" s="2">
        <f t="shared" si="2"/>
        <v>-65607.51999999996</v>
      </c>
      <c r="Y13" s="2"/>
      <c r="Z13" s="19">
        <f t="shared" si="3"/>
        <v>-0.19219621640664844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--3.4</f>
        <v>3.4</v>
      </c>
      <c r="E15" s="2"/>
      <c r="F15" s="19"/>
      <c r="G15" s="2"/>
      <c r="H15" s="2">
        <f>--313.84</f>
        <v>313.83999999999997</v>
      </c>
      <c r="I15" s="2"/>
      <c r="J15" s="19"/>
      <c r="K15" s="2"/>
      <c r="L15" s="2">
        <f t="shared" si="0"/>
        <v>-310.44</v>
      </c>
      <c r="M15" s="2"/>
      <c r="N15" s="19">
        <f t="shared" si="1"/>
        <v>-0.98916645424420091</v>
      </c>
      <c r="O15" s="11"/>
      <c r="P15" s="2">
        <f>--3121.95</f>
        <v>3121.95</v>
      </c>
      <c r="Q15" s="2"/>
      <c r="R15" s="19"/>
      <c r="S15" s="2"/>
      <c r="T15" s="2">
        <f>--2439.27</f>
        <v>2439.27</v>
      </c>
      <c r="U15" s="2"/>
      <c r="V15" s="19"/>
      <c r="W15" s="2"/>
      <c r="X15" s="2">
        <f t="shared" si="2"/>
        <v>682.67999999999984</v>
      </c>
      <c r="Y15" s="2"/>
      <c r="Z15" s="19">
        <f t="shared" si="3"/>
        <v>0.27987061702886512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ref="D16:D21" si="4">0</f>
        <v>0</v>
      </c>
      <c r="E16" s="2"/>
      <c r="F16" s="19"/>
      <c r="G16" s="2"/>
      <c r="H16" s="2">
        <f>--98374.11</f>
        <v>98374.11</v>
      </c>
      <c r="I16" s="2"/>
      <c r="J16" s="19"/>
      <c r="K16" s="2"/>
      <c r="L16" s="2">
        <f t="shared" si="0"/>
        <v>-98374.11</v>
      </c>
      <c r="M16" s="2"/>
      <c r="N16" s="19">
        <f t="shared" si="1"/>
        <v>-1</v>
      </c>
      <c r="O16" s="11"/>
      <c r="P16" s="2">
        <f>--604143.21</f>
        <v>604143.21</v>
      </c>
      <c r="Q16" s="2"/>
      <c r="R16" s="19"/>
      <c r="S16" s="2"/>
      <c r="T16" s="2">
        <f>--812113.12</f>
        <v>812113.12</v>
      </c>
      <c r="U16" s="2"/>
      <c r="V16" s="19"/>
      <c r="W16" s="2"/>
      <c r="X16" s="2">
        <f t="shared" si="2"/>
        <v>-207969.91000000003</v>
      </c>
      <c r="Y16" s="2"/>
      <c r="Z16" s="19">
        <f t="shared" si="3"/>
        <v>-0.25608490354151653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 t="shared" si="4"/>
        <v>0</v>
      </c>
      <c r="E17" s="2"/>
      <c r="F17" s="19"/>
      <c r="G17" s="2"/>
      <c r="H17" s="2">
        <f>--249445.54</f>
        <v>249445.54</v>
      </c>
      <c r="I17" s="2"/>
      <c r="J17" s="19"/>
      <c r="K17" s="2"/>
      <c r="L17" s="2">
        <f t="shared" si="0"/>
        <v>-249445.54</v>
      </c>
      <c r="M17" s="2"/>
      <c r="N17" s="19">
        <f t="shared" si="1"/>
        <v>-1</v>
      </c>
      <c r="O17" s="11"/>
      <c r="P17" s="2">
        <f>--836487.29</f>
        <v>836487.29</v>
      </c>
      <c r="Q17" s="2"/>
      <c r="R17" s="19"/>
      <c r="S17" s="2"/>
      <c r="T17" s="2">
        <f>--1357340.2</f>
        <v>1357340.2</v>
      </c>
      <c r="U17" s="2"/>
      <c r="V17" s="19"/>
      <c r="W17" s="2"/>
      <c r="X17" s="2">
        <f t="shared" si="2"/>
        <v>-520852.90999999992</v>
      </c>
      <c r="Y17" s="2"/>
      <c r="Z17" s="19">
        <f t="shared" si="3"/>
        <v>-0.38373055627469072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 t="shared" si="4"/>
        <v>0</v>
      </c>
      <c r="E18" s="2"/>
      <c r="F18" s="19"/>
      <c r="G18" s="2"/>
      <c r="H18" s="2">
        <f>--72290.37</f>
        <v>72290.37</v>
      </c>
      <c r="I18" s="2"/>
      <c r="J18" s="19"/>
      <c r="K18" s="2"/>
      <c r="L18" s="2">
        <f t="shared" si="0"/>
        <v>-72290.37</v>
      </c>
      <c r="M18" s="2"/>
      <c r="N18" s="19">
        <f t="shared" si="1"/>
        <v>-1</v>
      </c>
      <c r="O18" s="11"/>
      <c r="P18" s="2">
        <f>--253270.4</f>
        <v>253270.39999999999</v>
      </c>
      <c r="Q18" s="2"/>
      <c r="R18" s="19"/>
      <c r="S18" s="2"/>
      <c r="T18" s="2">
        <f>--288486.9</f>
        <v>288486.90000000002</v>
      </c>
      <c r="U18" s="2"/>
      <c r="V18" s="19"/>
      <c r="W18" s="2"/>
      <c r="X18" s="2">
        <f t="shared" si="2"/>
        <v>-35216.500000000029</v>
      </c>
      <c r="Y18" s="2"/>
      <c r="Z18" s="19">
        <f t="shared" si="3"/>
        <v>-0.12207313399672577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 t="shared" si="4"/>
        <v>0</v>
      </c>
      <c r="E19" s="2"/>
      <c r="F19" s="19"/>
      <c r="G19" s="2"/>
      <c r="H19" s="2">
        <f>--77745.55</f>
        <v>77745.55</v>
      </c>
      <c r="I19" s="2"/>
      <c r="J19" s="19"/>
      <c r="K19" s="2"/>
      <c r="L19" s="2">
        <f t="shared" si="0"/>
        <v>-77745.55</v>
      </c>
      <c r="M19" s="2"/>
      <c r="N19" s="19">
        <f t="shared" si="1"/>
        <v>-1</v>
      </c>
      <c r="O19" s="11"/>
      <c r="P19" s="2">
        <f>--381406.04</f>
        <v>381406.04</v>
      </c>
      <c r="Q19" s="2"/>
      <c r="R19" s="19"/>
      <c r="S19" s="2"/>
      <c r="T19" s="2">
        <f>--565234.97</f>
        <v>565234.97</v>
      </c>
      <c r="U19" s="2"/>
      <c r="V19" s="19"/>
      <c r="W19" s="2"/>
      <c r="X19" s="2">
        <f t="shared" si="2"/>
        <v>-183828.93</v>
      </c>
      <c r="Y19" s="2"/>
      <c r="Z19" s="19">
        <f t="shared" si="3"/>
        <v>-0.32522568446180888</v>
      </c>
    </row>
    <row r="20" spans="1:26" s="24" customFormat="1" hidden="1" outlineLevel="1" x14ac:dyDescent="0.25">
      <c r="A20" s="44"/>
      <c r="B20" s="11" t="str">
        <f>CONCATENATE("          ", "4057", " - ", "TAXABLE SALES-FOOD")</f>
        <v xml:space="preserve">          4057 - TAXABLE SALES-FOOD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--11506.08</f>
        <v>11506.08</v>
      </c>
      <c r="U20" s="2"/>
      <c r="V20" s="19"/>
      <c r="W20" s="2"/>
      <c r="X20" s="2">
        <f t="shared" si="2"/>
        <v>-11506.08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"4058", " - ", "TAXABLE SALES-FOOD")</f>
        <v xml:space="preserve">          4058 - TAXABLE SALES-FOOD</v>
      </c>
      <c r="C21" s="11"/>
      <c r="D21" s="2">
        <f t="shared" si="4"/>
        <v>0</v>
      </c>
      <c r="E21" s="2"/>
      <c r="F21" s="19"/>
      <c r="G21" s="2"/>
      <c r="H21" s="2">
        <f>--25564.27</f>
        <v>25564.27</v>
      </c>
      <c r="I21" s="2"/>
      <c r="J21" s="19"/>
      <c r="K21" s="2"/>
      <c r="L21" s="2">
        <f t="shared" si="0"/>
        <v>-25564.27</v>
      </c>
      <c r="M21" s="2"/>
      <c r="N21" s="19">
        <f t="shared" si="1"/>
        <v>-1</v>
      </c>
      <c r="O21" s="11"/>
      <c r="P21" s="2">
        <f>--117077.57</f>
        <v>117077.57</v>
      </c>
      <c r="Q21" s="2"/>
      <c r="R21" s="19"/>
      <c r="S21" s="2"/>
      <c r="T21" s="2">
        <f>--194463.42</f>
        <v>194463.42</v>
      </c>
      <c r="U21" s="2"/>
      <c r="V21" s="19"/>
      <c r="W21" s="2"/>
      <c r="X21" s="2">
        <f t="shared" si="2"/>
        <v>-77385.850000000006</v>
      </c>
      <c r="Y21" s="2"/>
      <c r="Z21" s="19">
        <f t="shared" si="3"/>
        <v>-0.3979455364921588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--0.05</f>
        <v>0.05</v>
      </c>
      <c r="E22" s="2"/>
      <c r="F22" s="19"/>
      <c r="G22" s="2"/>
      <c r="H22" s="2">
        <f>--152811.44</f>
        <v>152811.44</v>
      </c>
      <c r="I22" s="2"/>
      <c r="J22" s="19"/>
      <c r="K22" s="2"/>
      <c r="L22" s="2">
        <f t="shared" si="0"/>
        <v>-152811.39000000001</v>
      </c>
      <c r="M22" s="2"/>
      <c r="N22" s="19">
        <f t="shared" si="1"/>
        <v>-0.99999967279936641</v>
      </c>
      <c r="O22" s="11"/>
      <c r="P22" s="2">
        <f>--1093778.15</f>
        <v>1093778.1499999999</v>
      </c>
      <c r="Q22" s="2"/>
      <c r="R22" s="19"/>
      <c r="S22" s="2"/>
      <c r="T22" s="2">
        <f>--1219149.18</f>
        <v>1219149.18</v>
      </c>
      <c r="U22" s="2"/>
      <c r="V22" s="19"/>
      <c r="W22" s="2"/>
      <c r="X22" s="2">
        <f t="shared" si="2"/>
        <v>-125371.03000000003</v>
      </c>
      <c r="Y22" s="2"/>
      <c r="Z22" s="19">
        <f t="shared" si="3"/>
        <v>-0.10283485569829939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>0</f>
        <v>0</v>
      </c>
      <c r="E23" s="2"/>
      <c r="F23" s="19"/>
      <c r="G23" s="2"/>
      <c r="H23" s="2">
        <f t="shared" ref="H23:H24" si="5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--1.59</f>
        <v>1.59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1.59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"4134", " - ", "NON-TAXABLE SALES-SODA")</f>
        <v xml:space="preserve">          4134 - NON-TAXABLE SALES-SODA</v>
      </c>
      <c r="C24" s="11"/>
      <c r="D24" s="2">
        <f>--35.86</f>
        <v>35.86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35.86</v>
      </c>
      <c r="M24" s="2"/>
      <c r="N24" s="19">
        <f t="shared" si="1"/>
        <v>0</v>
      </c>
      <c r="O24" s="11"/>
      <c r="P24" s="2">
        <f>--71.2</f>
        <v>71.2</v>
      </c>
      <c r="Q24" s="2"/>
      <c r="R24" s="19"/>
      <c r="S24" s="2"/>
      <c r="T24" s="2">
        <f>--53.94</f>
        <v>53.94</v>
      </c>
      <c r="U24" s="2"/>
      <c r="V24" s="19"/>
      <c r="W24" s="2"/>
      <c r="X24" s="2">
        <f t="shared" si="2"/>
        <v>17.260000000000005</v>
      </c>
      <c r="Y24" s="2"/>
      <c r="Z24" s="19">
        <f t="shared" si="3"/>
        <v>0.31998516870596971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--4.65</f>
        <v>4.6500000000000004</v>
      </c>
      <c r="E25" s="2"/>
      <c r="F25" s="19"/>
      <c r="G25" s="2"/>
      <c r="H25" s="2">
        <f>--195.5</f>
        <v>195.5</v>
      </c>
      <c r="I25" s="2"/>
      <c r="J25" s="19"/>
      <c r="K25" s="2"/>
      <c r="L25" s="2">
        <f t="shared" si="0"/>
        <v>-190.85</v>
      </c>
      <c r="M25" s="2"/>
      <c r="N25" s="19">
        <f t="shared" si="1"/>
        <v>-0.97621483375959073</v>
      </c>
      <c r="O25" s="11"/>
      <c r="P25" s="2">
        <f>--1573.44</f>
        <v>1573.44</v>
      </c>
      <c r="Q25" s="2"/>
      <c r="R25" s="19"/>
      <c r="S25" s="2"/>
      <c r="T25" s="2">
        <f>--2127.79</f>
        <v>2127.79</v>
      </c>
      <c r="U25" s="2"/>
      <c r="V25" s="19"/>
      <c r="W25" s="2"/>
      <c r="X25" s="2">
        <f t="shared" si="2"/>
        <v>-554.34999999999991</v>
      </c>
      <c r="Y25" s="2"/>
      <c r="Z25" s="19">
        <f t="shared" si="3"/>
        <v>-0.26052852960113543</v>
      </c>
    </row>
    <row r="26" spans="1:26" s="24" customFormat="1" hidden="1" outlineLevel="1" x14ac:dyDescent="0.25">
      <c r="A26" s="44"/>
      <c r="B26" s="11" t="str">
        <f>CONCATENATE("          ", "4151", " - ", "NON-TAXABLE SALES-FOOD")</f>
        <v xml:space="preserve">          4151 - NON-TAXABLE SALES-FOOD</v>
      </c>
      <c r="C26" s="11"/>
      <c r="D26" s="2">
        <f t="shared" ref="D26:D32" si="6">0</f>
        <v>0</v>
      </c>
      <c r="E26" s="2"/>
      <c r="F26" s="19"/>
      <c r="G26" s="2"/>
      <c r="H26" s="2">
        <f>--348248.33</f>
        <v>348248.33</v>
      </c>
      <c r="I26" s="2"/>
      <c r="J26" s="19"/>
      <c r="K26" s="2"/>
      <c r="L26" s="2">
        <f t="shared" si="0"/>
        <v>-348248.33</v>
      </c>
      <c r="M26" s="2"/>
      <c r="N26" s="19">
        <f t="shared" si="1"/>
        <v>-1</v>
      </c>
      <c r="O26" s="11"/>
      <c r="P26" s="2">
        <f>--2191470.18</f>
        <v>2191470.1800000002</v>
      </c>
      <c r="Q26" s="2"/>
      <c r="R26" s="19"/>
      <c r="S26" s="2"/>
      <c r="T26" s="2">
        <f>--2667468.5</f>
        <v>2667468.5</v>
      </c>
      <c r="U26" s="2"/>
      <c r="V26" s="19"/>
      <c r="W26" s="2"/>
      <c r="X26" s="2">
        <f t="shared" si="2"/>
        <v>-475998.31999999983</v>
      </c>
      <c r="Y26" s="2"/>
      <c r="Z26" s="19">
        <f t="shared" si="3"/>
        <v>-0.17844571360449049</v>
      </c>
    </row>
    <row r="27" spans="1:26" s="24" customFormat="1" hidden="1" outlineLevel="1" x14ac:dyDescent="0.25">
      <c r="A27" s="44"/>
      <c r="B27" s="11" t="str">
        <f>CONCATENATE("          ", "4152", " - ", "NON-TAXABLE SALES-FOOD")</f>
        <v xml:space="preserve">          4152 - NON-TAXABLE SALES-FOOD</v>
      </c>
      <c r="C27" s="11"/>
      <c r="D27" s="2">
        <f t="shared" si="6"/>
        <v>0</v>
      </c>
      <c r="E27" s="2"/>
      <c r="F27" s="19"/>
      <c r="G27" s="2"/>
      <c r="H27" s="2">
        <f>--8154.41</f>
        <v>8154.41</v>
      </c>
      <c r="I27" s="2"/>
      <c r="J27" s="19"/>
      <c r="K27" s="2"/>
      <c r="L27" s="2">
        <f t="shared" si="0"/>
        <v>-8154.41</v>
      </c>
      <c r="M27" s="2"/>
      <c r="N27" s="19">
        <f t="shared" si="1"/>
        <v>-1</v>
      </c>
      <c r="O27" s="11"/>
      <c r="P27" s="2">
        <f>--51415.27</f>
        <v>51415.27</v>
      </c>
      <c r="Q27" s="2"/>
      <c r="R27" s="19"/>
      <c r="S27" s="2"/>
      <c r="T27" s="2">
        <f>--70563.55</f>
        <v>70563.55</v>
      </c>
      <c r="U27" s="2"/>
      <c r="V27" s="19"/>
      <c r="W27" s="2"/>
      <c r="X27" s="2">
        <f t="shared" si="2"/>
        <v>-19148.280000000006</v>
      </c>
      <c r="Y27" s="2"/>
      <c r="Z27" s="19">
        <f t="shared" si="3"/>
        <v>-0.27136219762186009</v>
      </c>
    </row>
    <row r="28" spans="1:26" s="24" customFormat="1" hidden="1" outlineLevel="1" x14ac:dyDescent="0.25">
      <c r="A28" s="44"/>
      <c r="B28" s="11" t="str">
        <f>CONCATENATE("          ", "4153", " - ", "NON-TAXABLE SALES-FOOD")</f>
        <v xml:space="preserve">          4153 - NON-TAXABLE SALES-FOOD</v>
      </c>
      <c r="C28" s="11"/>
      <c r="D28" s="2">
        <f t="shared" si="6"/>
        <v>0</v>
      </c>
      <c r="E28" s="2"/>
      <c r="F28" s="19"/>
      <c r="G28" s="2"/>
      <c r="H28" s="2">
        <f>--1075.25</f>
        <v>1075.25</v>
      </c>
      <c r="I28" s="2"/>
      <c r="J28" s="19"/>
      <c r="K28" s="2"/>
      <c r="L28" s="2">
        <f t="shared" si="0"/>
        <v>-1075.25</v>
      </c>
      <c r="M28" s="2"/>
      <c r="N28" s="19">
        <f t="shared" si="1"/>
        <v>-1</v>
      </c>
      <c r="O28" s="11"/>
      <c r="P28" s="2">
        <f>--12314.09</f>
        <v>12314.09</v>
      </c>
      <c r="Q28" s="2"/>
      <c r="R28" s="19"/>
      <c r="S28" s="2"/>
      <c r="T28" s="2">
        <f>--13293.38</f>
        <v>13293.38</v>
      </c>
      <c r="U28" s="2"/>
      <c r="V28" s="19"/>
      <c r="W28" s="2"/>
      <c r="X28" s="2">
        <f t="shared" si="2"/>
        <v>-979.28999999999905</v>
      </c>
      <c r="Y28" s="2"/>
      <c r="Z28" s="19">
        <f t="shared" si="3"/>
        <v>-7.3667494647711801E-2</v>
      </c>
    </row>
    <row r="29" spans="1:26" s="24" customFormat="1" hidden="1" outlineLevel="1" x14ac:dyDescent="0.25">
      <c r="A29" s="44"/>
      <c r="B29" s="11" t="str">
        <f>CONCATENATE("          ", "4155", " - ", "NON-TAXABLE SALES-FOOD")</f>
        <v xml:space="preserve">          4155 - NON-TAXABLE SALES-FOOD</v>
      </c>
      <c r="C29" s="11"/>
      <c r="D29" s="2">
        <f t="shared" si="6"/>
        <v>0</v>
      </c>
      <c r="E29" s="2"/>
      <c r="F29" s="19"/>
      <c r="G29" s="2"/>
      <c r="H29" s="2">
        <f>--112129.52</f>
        <v>112129.52</v>
      </c>
      <c r="I29" s="2"/>
      <c r="J29" s="19"/>
      <c r="K29" s="2"/>
      <c r="L29" s="2">
        <f t="shared" si="0"/>
        <v>-112129.52</v>
      </c>
      <c r="M29" s="2"/>
      <c r="N29" s="19">
        <f t="shared" si="1"/>
        <v>-1</v>
      </c>
      <c r="O29" s="11"/>
      <c r="P29" s="2">
        <f>--687389.73</f>
        <v>687389.73</v>
      </c>
      <c r="Q29" s="2"/>
      <c r="R29" s="19"/>
      <c r="S29" s="2"/>
      <c r="T29" s="2">
        <f>--826375.78</f>
        <v>826375.78</v>
      </c>
      <c r="U29" s="2"/>
      <c r="V29" s="19"/>
      <c r="W29" s="2"/>
      <c r="X29" s="2">
        <f t="shared" si="2"/>
        <v>-138986.05000000005</v>
      </c>
      <c r="Y29" s="2"/>
      <c r="Z29" s="19">
        <f t="shared" si="3"/>
        <v>-0.16818746793377709</v>
      </c>
    </row>
    <row r="30" spans="1:26" s="24" customFormat="1" hidden="1" outlineLevel="1" x14ac:dyDescent="0.25">
      <c r="A30" s="44"/>
      <c r="B30" s="11" t="str">
        <f>CONCATENATE("          ", "4157", " - ", "NON-TAXABLE SALES-FOOD")</f>
        <v xml:space="preserve">          4157 - NON-TAXABLE SALES-FOOD</v>
      </c>
      <c r="C30" s="11"/>
      <c r="D30" s="2">
        <f t="shared" si="6"/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--208</f>
        <v>208</v>
      </c>
      <c r="U30" s="2"/>
      <c r="V30" s="19"/>
      <c r="W30" s="2"/>
      <c r="X30" s="2">
        <f t="shared" si="2"/>
        <v>-208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"4158", " - ", "NON-TAXABLE SALES-FOOD")</f>
        <v xml:space="preserve">          4158 - NON-TAXABLE SALES-FOOD</v>
      </c>
      <c r="C31" s="11"/>
      <c r="D31" s="2">
        <f t="shared" si="6"/>
        <v>0</v>
      </c>
      <c r="E31" s="2"/>
      <c r="F31" s="19"/>
      <c r="G31" s="2"/>
      <c r="H31" s="2">
        <f>--74868.5</f>
        <v>74868.5</v>
      </c>
      <c r="I31" s="2"/>
      <c r="J31" s="19"/>
      <c r="K31" s="2"/>
      <c r="L31" s="2">
        <f t="shared" si="0"/>
        <v>-74868.5</v>
      </c>
      <c r="M31" s="2"/>
      <c r="N31" s="19">
        <f t="shared" si="1"/>
        <v>-1</v>
      </c>
      <c r="O31" s="11"/>
      <c r="P31" s="2">
        <f>--474853.67</f>
        <v>474853.67</v>
      </c>
      <c r="Q31" s="2"/>
      <c r="R31" s="19"/>
      <c r="S31" s="2"/>
      <c r="T31" s="2">
        <f>--569847.31</f>
        <v>569847.31000000006</v>
      </c>
      <c r="U31" s="2"/>
      <c r="V31" s="19"/>
      <c r="W31" s="2"/>
      <c r="X31" s="2">
        <f t="shared" si="2"/>
        <v>-94993.640000000072</v>
      </c>
      <c r="Y31" s="2"/>
      <c r="Z31" s="19">
        <f t="shared" si="3"/>
        <v>-0.16670016394391696</v>
      </c>
    </row>
    <row r="32" spans="1:26" s="24" customFormat="1" hidden="1" outlineLevel="1" x14ac:dyDescent="0.25">
      <c r="A32" s="44"/>
      <c r="B32" s="11" t="str">
        <f>CONCATENATE("          ", "4233", " - ", "SALES RETURN TAXABLE-CANDY")</f>
        <v xml:space="preserve">          4233 - SALES RETURN TAXABLE-CANDY</v>
      </c>
      <c r="C32" s="11"/>
      <c r="D32" s="2">
        <f t="shared" si="6"/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-1.69</f>
        <v>-1.69</v>
      </c>
      <c r="U32" s="2"/>
      <c r="V32" s="19"/>
      <c r="W32" s="2"/>
      <c r="X32" s="2">
        <f t="shared" si="2"/>
        <v>1.69</v>
      </c>
      <c r="Y32" s="2"/>
      <c r="Z32" s="19">
        <f t="shared" si="3"/>
        <v>-1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9" t="s">
        <v>8</v>
      </c>
      <c r="C34" s="10"/>
      <c r="D34" s="4">
        <f>SUM(OSRRefD16x_0)</f>
        <v>201758.78</v>
      </c>
      <c r="E34" s="4"/>
      <c r="F34" s="12">
        <f t="shared" ref="F34:F36" si="7">IF(D$12=0,0,D34/D$12)</f>
        <v>4452.8532332818368</v>
      </c>
      <c r="G34" s="4"/>
      <c r="H34" s="4">
        <f>SUM(OSRRefH16x_0)</f>
        <v>444597.85000000003</v>
      </c>
      <c r="I34" s="4"/>
      <c r="J34" s="12">
        <f t="shared" ref="J34:J36" si="8">IF(H$12=0,0,H34/H$12)</f>
        <v>0.35383335608271566</v>
      </c>
      <c r="K34" s="4"/>
      <c r="L34" s="4">
        <f t="shared" ref="L34:L36" si="9">+D34-H34</f>
        <v>-242839.07000000004</v>
      </c>
      <c r="M34" s="4"/>
      <c r="N34" s="12">
        <f t="shared" ref="N34:N36" si="10">IF(H34=0,0,L34/H34)</f>
        <v>-0.5461993799565158</v>
      </c>
      <c r="O34" s="10"/>
      <c r="P34" s="4">
        <f>SUM(OSRRefP16x_0)</f>
        <v>2861532.89</v>
      </c>
      <c r="Q34" s="4"/>
      <c r="R34" s="12">
        <f t="shared" ref="R34:R36" si="11">IF(P$12=0,0,P34/P$12)</f>
        <v>0.40971970162428006</v>
      </c>
      <c r="S34" s="4"/>
      <c r="T34" s="4">
        <f>SUM(OSRRefT16x_0)</f>
        <v>3242454.1799999997</v>
      </c>
      <c r="U34" s="4"/>
      <c r="V34" s="12">
        <f t="shared" ref="V34:V36" si="12">IF(T$12=0,0,T34/T$12)</f>
        <v>0.36260761094864646</v>
      </c>
      <c r="W34" s="4"/>
      <c r="X34" s="4">
        <f t="shared" ref="X34:X36" si="13">+P34-T34</f>
        <v>-380921.28999999957</v>
      </c>
      <c r="Y34" s="4"/>
      <c r="Z34" s="12">
        <f t="shared" ref="Z34:Z36" si="14">IF(T34=0,0,X34/T34)</f>
        <v>-0.11747931315408738</v>
      </c>
    </row>
    <row r="35" spans="1:26" s="24" customFormat="1" hidden="1" outlineLevel="1" x14ac:dyDescent="0.25">
      <c r="A35" s="44"/>
      <c r="B35" s="11" t="str">
        <f>CONCATENATE("          ", "5053", " - ", "PURCHASES @ COST-FOOD")</f>
        <v xml:space="preserve">          5053 - PURCHASES @ COST-FOOD</v>
      </c>
      <c r="C35" s="11"/>
      <c r="D35" s="2">
        <v>11268.83</v>
      </c>
      <c r="E35" s="2"/>
      <c r="F35" s="19">
        <f t="shared" si="7"/>
        <v>248.70514235268155</v>
      </c>
      <c r="G35" s="2"/>
      <c r="H35" s="2">
        <v>452481.03</v>
      </c>
      <c r="I35" s="2"/>
      <c r="J35" s="19">
        <f t="shared" si="8"/>
        <v>0.36010718767232897</v>
      </c>
      <c r="K35" s="2"/>
      <c r="L35" s="2">
        <f t="shared" si="9"/>
        <v>-441212.2</v>
      </c>
      <c r="M35" s="2"/>
      <c r="N35" s="19">
        <f t="shared" si="10"/>
        <v>-0.97509546422310789</v>
      </c>
      <c r="O35" s="11"/>
      <c r="P35" s="2">
        <v>2757006.1</v>
      </c>
      <c r="Q35" s="2"/>
      <c r="R35" s="19">
        <f t="shared" si="11"/>
        <v>0.39475335776005005</v>
      </c>
      <c r="S35" s="2"/>
      <c r="T35" s="2">
        <v>3274886.9699999997</v>
      </c>
      <c r="U35" s="2"/>
      <c r="V35" s="19">
        <f t="shared" si="12"/>
        <v>0.36623460946441244</v>
      </c>
      <c r="W35" s="2"/>
      <c r="X35" s="2">
        <f t="shared" si="13"/>
        <v>-517880.86999999965</v>
      </c>
      <c r="Y35" s="2"/>
      <c r="Z35" s="19">
        <f t="shared" si="14"/>
        <v>-0.1581370211381676</v>
      </c>
    </row>
    <row r="36" spans="1:26" s="24" customFormat="1" hidden="1" outlineLevel="1" x14ac:dyDescent="0.25">
      <c r="A36" s="44"/>
      <c r="B36" s="11" t="str">
        <f>CONCATENATE("          ", "5059", " - ", "PURCHASES @ COST-FOOD")</f>
        <v xml:space="preserve">          5059 - PURCHASES @ COST-FOOD</v>
      </c>
      <c r="C36" s="11"/>
      <c r="D36" s="2">
        <v>190489.95</v>
      </c>
      <c r="E36" s="2"/>
      <c r="F36" s="19">
        <f t="shared" si="7"/>
        <v>4204.1480909291558</v>
      </c>
      <c r="G36" s="2"/>
      <c r="H36" s="2">
        <v>-7883.18</v>
      </c>
      <c r="I36" s="2"/>
      <c r="J36" s="19">
        <f t="shared" si="8"/>
        <v>-6.2738315896132711E-3</v>
      </c>
      <c r="K36" s="2"/>
      <c r="L36" s="2">
        <f t="shared" si="9"/>
        <v>198373.13</v>
      </c>
      <c r="M36" s="2"/>
      <c r="N36" s="19">
        <f t="shared" si="10"/>
        <v>-25.164100020550084</v>
      </c>
      <c r="O36" s="11"/>
      <c r="P36" s="2">
        <v>104526.79000000001</v>
      </c>
      <c r="Q36" s="2"/>
      <c r="R36" s="19">
        <f t="shared" si="11"/>
        <v>1.4966343864229979E-2</v>
      </c>
      <c r="S36" s="2"/>
      <c r="T36" s="2">
        <v>-32432.79</v>
      </c>
      <c r="U36" s="2"/>
      <c r="V36" s="19">
        <f t="shared" si="12"/>
        <v>-3.6269985157659662E-3</v>
      </c>
      <c r="W36" s="2"/>
      <c r="X36" s="2">
        <f t="shared" si="13"/>
        <v>136959.58000000002</v>
      </c>
      <c r="Y36" s="2"/>
      <c r="Z36" s="19">
        <f t="shared" si="14"/>
        <v>-4.2228738261494003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8" t="s">
        <v>6</v>
      </c>
      <c r="C38" s="28"/>
      <c r="D38" s="21">
        <f>D12-D34</f>
        <v>-201713.47</v>
      </c>
      <c r="E38" s="14"/>
      <c r="F38" s="20">
        <f>IF(D$12=0,0,D38/D$12)</f>
        <v>-4451.8532332818368</v>
      </c>
      <c r="G38" s="14"/>
      <c r="H38" s="21">
        <f>H12-H34</f>
        <v>811919.78</v>
      </c>
      <c r="I38" s="14"/>
      <c r="J38" s="20">
        <f>IF(H$12=0,0,H38/H$12)</f>
        <v>0.64616664391728429</v>
      </c>
      <c r="K38" s="15"/>
      <c r="L38" s="21">
        <f>+D38-H38</f>
        <v>-1013633.25</v>
      </c>
      <c r="M38" s="15"/>
      <c r="N38" s="20">
        <f>IF(H38=0,0,L38/H38)</f>
        <v>-1.2484401476214806</v>
      </c>
      <c r="O38" s="29"/>
      <c r="P38" s="21">
        <f>P12-P34</f>
        <v>4122590.35</v>
      </c>
      <c r="Q38" s="14"/>
      <c r="R38" s="20">
        <f>IF(P$12=0,0,P38/P$12)</f>
        <v>0.59028029837571994</v>
      </c>
      <c r="S38" s="14"/>
      <c r="T38" s="21">
        <f>T12-T34</f>
        <v>5699592.4900000002</v>
      </c>
      <c r="U38" s="14"/>
      <c r="V38" s="20">
        <f>IF(T$12=0,0,T38/T$12)</f>
        <v>0.63739238905135354</v>
      </c>
      <c r="W38" s="15"/>
      <c r="X38" s="21">
        <f>+P38-T38</f>
        <v>-1577002.1400000001</v>
      </c>
      <c r="Y38" s="15"/>
      <c r="Z38" s="20">
        <f>IF(T38=0,0,X38/T38)</f>
        <v>-0.27668682327146515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9" t="s">
        <v>9</v>
      </c>
      <c r="C40" s="10"/>
      <c r="D40" s="22">
        <f>SUM(OSRRefD22x_0)</f>
        <v>128986.44</v>
      </c>
      <c r="E40" s="22"/>
      <c r="F40" s="35">
        <f t="shared" ref="F40:F50" si="15">IF(D$12=0,0,D40/D$12)</f>
        <v>2846.7543588611788</v>
      </c>
      <c r="G40" s="22"/>
      <c r="H40" s="22">
        <f>SUM(OSRRefH22x_0)</f>
        <v>598205.53999999992</v>
      </c>
      <c r="I40" s="22"/>
      <c r="J40" s="35">
        <f t="shared" ref="J40:J50" si="16">IF(H$12=0,0,H40/H$12)</f>
        <v>0.47608209046776356</v>
      </c>
      <c r="K40" s="4"/>
      <c r="L40" s="22">
        <f t="shared" ref="L40:L50" si="17">+D40-H40</f>
        <v>-469219.09999999992</v>
      </c>
      <c r="M40" s="4"/>
      <c r="N40" s="35">
        <f t="shared" ref="N40:N50" si="18">IF(H40=0,0,L40/H40)</f>
        <v>-0.78437772408460138</v>
      </c>
      <c r="O40" s="10"/>
      <c r="P40" s="22">
        <f>SUM(OSRRefP22x_0)</f>
        <v>5553077.9400000023</v>
      </c>
      <c r="Q40" s="22"/>
      <c r="R40" s="35">
        <f t="shared" ref="R40:R50" si="19">IF(P$12=0,0,P40/P$12)</f>
        <v>0.79510022220054666</v>
      </c>
      <c r="S40" s="22"/>
      <c r="T40" s="22">
        <f>SUM(OSRRefT22x_0)</f>
        <v>5704505.0600000005</v>
      </c>
      <c r="U40" s="22"/>
      <c r="V40" s="35">
        <f t="shared" ref="V40:V50" si="20">IF(T$12=0,0,T40/T$12)</f>
        <v>0.63794176775416012</v>
      </c>
      <c r="W40" s="4"/>
      <c r="X40" s="22">
        <f t="shared" ref="X40:X50" si="21">+P40-T40</f>
        <v>-151427.11999999825</v>
      </c>
      <c r="Y40" s="4"/>
      <c r="Z40" s="35">
        <f t="shared" ref="Z40:Z50" si="22">IF(T40=0,0,X40/T40)</f>
        <v>-2.6545181116904511E-2</v>
      </c>
    </row>
    <row r="41" spans="1:26" s="25" customFormat="1" outlineLevel="1" collapsed="1" x14ac:dyDescent="0.25">
      <c r="A41" s="26"/>
      <c r="B41" s="13" t="str">
        <f>CONCATENATE("     ","*Benefits                                         ")</f>
        <v xml:space="preserve">     *Benefits                                         </v>
      </c>
      <c r="C41" s="13"/>
      <c r="D41" s="1">
        <f>SUM(OSRRefD22_0x_0)</f>
        <v>-17530.660000000003</v>
      </c>
      <c r="E41" s="1"/>
      <c r="F41" s="5">
        <f t="shared" si="15"/>
        <v>-386.90487751048346</v>
      </c>
      <c r="G41" s="1"/>
      <c r="H41" s="1">
        <f>SUM(OSRRefH22_0x_0)</f>
        <v>71081.180000000008</v>
      </c>
      <c r="I41" s="1"/>
      <c r="J41" s="5">
        <f t="shared" si="16"/>
        <v>5.6569982229377876E-2</v>
      </c>
      <c r="K41" s="1"/>
      <c r="L41" s="1">
        <f t="shared" si="17"/>
        <v>-88611.840000000011</v>
      </c>
      <c r="M41" s="1"/>
      <c r="N41" s="5">
        <f t="shared" si="18"/>
        <v>-1.2466287138170751</v>
      </c>
      <c r="O41" s="13"/>
      <c r="P41" s="1">
        <f>SUM(OSRRefP22_0x_0)</f>
        <v>720933.58999999985</v>
      </c>
      <c r="Q41" s="1"/>
      <c r="R41" s="5">
        <f t="shared" si="19"/>
        <v>0.10322463754233521</v>
      </c>
      <c r="S41" s="1"/>
      <c r="T41" s="1">
        <f>SUM(OSRRefT22_0x_0)</f>
        <v>730601.50000000012</v>
      </c>
      <c r="U41" s="1"/>
      <c r="V41" s="5">
        <f t="shared" si="20"/>
        <v>8.1704058026348919E-2</v>
      </c>
      <c r="W41" s="1"/>
      <c r="X41" s="1">
        <f t="shared" si="21"/>
        <v>-9667.9100000002654</v>
      </c>
      <c r="Y41" s="1"/>
      <c r="Z41" s="5">
        <f t="shared" si="22"/>
        <v>-1.3232808856812181E-2</v>
      </c>
    </row>
    <row r="42" spans="1:26" s="24" customFormat="1" hidden="1" outlineLevel="2" x14ac:dyDescent="0.25">
      <c r="A42" s="27"/>
      <c r="B42" s="11" t="str">
        <f>CONCATENATE("          ", "6111", " - ", "F.I.C.A.")</f>
        <v xml:space="preserve">          6111 - F.I.C.A.</v>
      </c>
      <c r="C42" s="11"/>
      <c r="D42" s="6">
        <v>6150.75</v>
      </c>
      <c r="E42" s="2"/>
      <c r="F42" s="7">
        <f t="shared" si="15"/>
        <v>135.74817920988747</v>
      </c>
      <c r="G42" s="2"/>
      <c r="H42" s="6">
        <v>12255.93</v>
      </c>
      <c r="I42" s="2"/>
      <c r="J42" s="7">
        <f t="shared" si="16"/>
        <v>9.7538862228299973E-3</v>
      </c>
      <c r="K42" s="2"/>
      <c r="L42" s="6">
        <f t="shared" si="17"/>
        <v>-6105.18</v>
      </c>
      <c r="M42" s="2"/>
      <c r="N42" s="7">
        <f t="shared" si="18"/>
        <v>-0.49814089995618449</v>
      </c>
      <c r="O42" s="11"/>
      <c r="P42" s="6">
        <v>153611.01999999999</v>
      </c>
      <c r="Q42" s="2"/>
      <c r="R42" s="7">
        <f t="shared" si="19"/>
        <v>2.199431692731699E-2</v>
      </c>
      <c r="S42" s="2"/>
      <c r="T42" s="6">
        <v>132842.95000000001</v>
      </c>
      <c r="U42" s="2"/>
      <c r="V42" s="7">
        <f t="shared" si="20"/>
        <v>1.4855989339183355E-2</v>
      </c>
      <c r="W42" s="2"/>
      <c r="X42" s="6">
        <f t="shared" si="21"/>
        <v>20768.069999999978</v>
      </c>
      <c r="Y42" s="2"/>
      <c r="Z42" s="7">
        <f t="shared" si="22"/>
        <v>0.15633550745447897</v>
      </c>
    </row>
    <row r="43" spans="1:26" s="24" customFormat="1" hidden="1" outlineLevel="2" x14ac:dyDescent="0.25">
      <c r="A43" s="27"/>
      <c r="B43" s="11" t="str">
        <f>CONCATENATE("          ", "6112", " - ", "COMPENSATION INSURANCE")</f>
        <v xml:space="preserve">          6112 - COMPENSATION INSURANCE</v>
      </c>
      <c r="C43" s="11"/>
      <c r="D43" s="6">
        <v>1326.52</v>
      </c>
      <c r="E43" s="2"/>
      <c r="F43" s="7">
        <f t="shared" si="15"/>
        <v>29.276539395276984</v>
      </c>
      <c r="G43" s="2"/>
      <c r="H43" s="6">
        <v>8063.11</v>
      </c>
      <c r="I43" s="2"/>
      <c r="J43" s="7">
        <f t="shared" si="16"/>
        <v>6.4170289437164513E-3</v>
      </c>
      <c r="K43" s="2"/>
      <c r="L43" s="6">
        <f t="shared" si="17"/>
        <v>-6736.59</v>
      </c>
      <c r="M43" s="2"/>
      <c r="N43" s="7">
        <f t="shared" si="18"/>
        <v>-0.83548283478707353</v>
      </c>
      <c r="O43" s="11"/>
      <c r="P43" s="6">
        <v>78835.5</v>
      </c>
      <c r="Q43" s="2"/>
      <c r="R43" s="7">
        <f t="shared" si="19"/>
        <v>1.1287816278568417E-2</v>
      </c>
      <c r="S43" s="2"/>
      <c r="T43" s="6">
        <v>73239.509999999995</v>
      </c>
      <c r="U43" s="2"/>
      <c r="V43" s="7">
        <f t="shared" si="20"/>
        <v>8.1904638504867022E-3</v>
      </c>
      <c r="W43" s="2"/>
      <c r="X43" s="6">
        <f t="shared" si="21"/>
        <v>5595.9900000000052</v>
      </c>
      <c r="Y43" s="2"/>
      <c r="Z43" s="7">
        <f t="shared" si="22"/>
        <v>7.6406709984815649E-2</v>
      </c>
    </row>
    <row r="44" spans="1:26" s="24" customFormat="1" hidden="1" outlineLevel="2" x14ac:dyDescent="0.25">
      <c r="A44" s="27"/>
      <c r="B44" s="11" t="str">
        <f>CONCATENATE("          ", "6113", " - ", "GROUP INSURANCE")</f>
        <v xml:space="preserve">          6113 - GROUP INSURANCE</v>
      </c>
      <c r="C44" s="11"/>
      <c r="D44" s="6">
        <v>18239.09</v>
      </c>
      <c r="E44" s="2"/>
      <c r="F44" s="7">
        <f t="shared" si="15"/>
        <v>402.54005738247633</v>
      </c>
      <c r="G44" s="2"/>
      <c r="H44" s="6">
        <v>28365.550000000003</v>
      </c>
      <c r="I44" s="2"/>
      <c r="J44" s="7">
        <f t="shared" si="16"/>
        <v>2.2574732994394994E-2</v>
      </c>
      <c r="K44" s="2"/>
      <c r="L44" s="6">
        <f t="shared" si="17"/>
        <v>-10126.460000000003</v>
      </c>
      <c r="M44" s="2"/>
      <c r="N44" s="7">
        <f t="shared" si="18"/>
        <v>-0.35699854224578764</v>
      </c>
      <c r="O44" s="11"/>
      <c r="P44" s="6">
        <v>277412.52999999997</v>
      </c>
      <c r="Q44" s="2"/>
      <c r="R44" s="7">
        <f t="shared" si="19"/>
        <v>3.9720451725591251E-2</v>
      </c>
      <c r="S44" s="2"/>
      <c r="T44" s="6">
        <v>274687.08</v>
      </c>
      <c r="U44" s="2"/>
      <c r="V44" s="7">
        <f t="shared" si="20"/>
        <v>3.0718591630879959E-2</v>
      </c>
      <c r="W44" s="2"/>
      <c r="X44" s="6">
        <f t="shared" si="21"/>
        <v>2725.4499999999534</v>
      </c>
      <c r="Y44" s="2"/>
      <c r="Z44" s="7">
        <f t="shared" si="22"/>
        <v>9.9220174461789514E-3</v>
      </c>
    </row>
    <row r="45" spans="1:26" s="24" customFormat="1" hidden="1" outlineLevel="2" x14ac:dyDescent="0.25">
      <c r="A45" s="27"/>
      <c r="B45" s="11" t="str">
        <f>CONCATENATE("          ", "6114", " - ", "STATE UNEMPLOYMENT INSURANCE")</f>
        <v xml:space="preserve">          6114 - STATE UNEMPLOYMENT INSURANCE</v>
      </c>
      <c r="C45" s="11"/>
      <c r="D45" s="6">
        <v>146.99</v>
      </c>
      <c r="E45" s="2"/>
      <c r="F45" s="7">
        <f t="shared" si="15"/>
        <v>3.2440962259986765</v>
      </c>
      <c r="G45" s="2"/>
      <c r="H45" s="6">
        <v>697.26</v>
      </c>
      <c r="I45" s="2"/>
      <c r="J45" s="7">
        <f t="shared" si="16"/>
        <v>5.5491461747337353E-4</v>
      </c>
      <c r="K45" s="2"/>
      <c r="L45" s="6">
        <f t="shared" si="17"/>
        <v>-550.27</v>
      </c>
      <c r="M45" s="2"/>
      <c r="N45" s="7">
        <f t="shared" si="18"/>
        <v>-0.78918911166566275</v>
      </c>
      <c r="O45" s="11"/>
      <c r="P45" s="6">
        <v>7356.8</v>
      </c>
      <c r="Q45" s="2"/>
      <c r="R45" s="7">
        <f t="shared" si="19"/>
        <v>1.0533605646970228E-3</v>
      </c>
      <c r="S45" s="2"/>
      <c r="T45" s="6">
        <v>7208.01</v>
      </c>
      <c r="U45" s="2"/>
      <c r="V45" s="7">
        <f t="shared" si="20"/>
        <v>8.0608056142028616E-4</v>
      </c>
      <c r="W45" s="2"/>
      <c r="X45" s="6">
        <f t="shared" si="21"/>
        <v>148.78999999999996</v>
      </c>
      <c r="Y45" s="2"/>
      <c r="Z45" s="7">
        <f t="shared" si="22"/>
        <v>2.0642313204337945E-2</v>
      </c>
    </row>
    <row r="46" spans="1:26" s="24" customFormat="1" hidden="1" outlineLevel="2" x14ac:dyDescent="0.25">
      <c r="A46" s="27"/>
      <c r="B46" s="11" t="str">
        <f>CONCATENATE("          ", "6115", " - ", "P.E.R.S.")</f>
        <v xml:space="preserve">          6115 - P.E.R.S.</v>
      </c>
      <c r="C46" s="11"/>
      <c r="D46" s="6">
        <v>6542.76</v>
      </c>
      <c r="E46" s="2"/>
      <c r="F46" s="7">
        <f t="shared" si="15"/>
        <v>144.39991171926729</v>
      </c>
      <c r="G46" s="2"/>
      <c r="H46" s="6">
        <v>7449.44</v>
      </c>
      <c r="I46" s="2"/>
      <c r="J46" s="7">
        <f t="shared" si="16"/>
        <v>5.9286394572911792E-3</v>
      </c>
      <c r="K46" s="2"/>
      <c r="L46" s="6">
        <f t="shared" si="17"/>
        <v>-906.67999999999938</v>
      </c>
      <c r="M46" s="2"/>
      <c r="N46" s="7">
        <f t="shared" si="18"/>
        <v>-0.12171116218131825</v>
      </c>
      <c r="O46" s="11"/>
      <c r="P46" s="6">
        <v>88274</v>
      </c>
      <c r="Q46" s="2"/>
      <c r="R46" s="7">
        <f t="shared" si="19"/>
        <v>1.2639238593962725E-2</v>
      </c>
      <c r="S46" s="2"/>
      <c r="T46" s="6">
        <v>84792.3</v>
      </c>
      <c r="U46" s="2"/>
      <c r="V46" s="7">
        <f t="shared" si="20"/>
        <v>9.4824264655733459E-3</v>
      </c>
      <c r="W46" s="2"/>
      <c r="X46" s="6">
        <f t="shared" si="21"/>
        <v>3481.6999999999971</v>
      </c>
      <c r="Y46" s="2"/>
      <c r="Z46" s="7">
        <f t="shared" si="22"/>
        <v>4.1061511481584968E-2</v>
      </c>
    </row>
    <row r="47" spans="1:26" s="24" customFormat="1" hidden="1" outlineLevel="2" x14ac:dyDescent="0.25">
      <c r="A47" s="27"/>
      <c r="B47" s="11" t="str">
        <f>CONCATENATE("          ", "6117", " - ", "RETIREMENT STAFF HOURLY")</f>
        <v xml:space="preserve">          6117 - RETIREMENT STAFF HOURLY</v>
      </c>
      <c r="C47" s="11"/>
      <c r="D47" s="6">
        <v>505.87</v>
      </c>
      <c r="E47" s="2"/>
      <c r="F47" s="7">
        <f t="shared" si="15"/>
        <v>11.164643566541603</v>
      </c>
      <c r="G47" s="2"/>
      <c r="H47" s="6">
        <v>84</v>
      </c>
      <c r="I47" s="2"/>
      <c r="J47" s="7">
        <f t="shared" si="16"/>
        <v>6.6851429693031835E-5</v>
      </c>
      <c r="K47" s="2"/>
      <c r="L47" s="6">
        <f t="shared" si="17"/>
        <v>421.87</v>
      </c>
      <c r="M47" s="2"/>
      <c r="N47" s="7">
        <f t="shared" si="18"/>
        <v>5.0222619047619048</v>
      </c>
      <c r="O47" s="11"/>
      <c r="P47" s="6">
        <v>1352.45</v>
      </c>
      <c r="Q47" s="2"/>
      <c r="R47" s="7">
        <f t="shared" si="19"/>
        <v>1.9364635381204984E-4</v>
      </c>
      <c r="S47" s="2"/>
      <c r="T47" s="6">
        <v>616</v>
      </c>
      <c r="U47" s="2"/>
      <c r="V47" s="7">
        <f t="shared" si="20"/>
        <v>6.8888032318891929E-5</v>
      </c>
      <c r="W47" s="2"/>
      <c r="X47" s="6">
        <f t="shared" si="21"/>
        <v>736.45</v>
      </c>
      <c r="Y47" s="2"/>
      <c r="Z47" s="7">
        <f t="shared" si="22"/>
        <v>1.1955357142857144</v>
      </c>
    </row>
    <row r="48" spans="1:26" s="24" customFormat="1" hidden="1" outlineLevel="2" x14ac:dyDescent="0.25">
      <c r="A48" s="27"/>
      <c r="B48" s="11" t="str">
        <f>CONCATENATE("          ", "6118", " - ", "VACATION")</f>
        <v xml:space="preserve">          6118 - VACATION</v>
      </c>
      <c r="C48" s="11"/>
      <c r="D48" s="6">
        <v>5664.27</v>
      </c>
      <c r="E48" s="2"/>
      <c r="F48" s="7">
        <f t="shared" si="15"/>
        <v>125.01147649525494</v>
      </c>
      <c r="G48" s="2"/>
      <c r="H48" s="6">
        <v>6297.12</v>
      </c>
      <c r="I48" s="2"/>
      <c r="J48" s="7">
        <f t="shared" si="16"/>
        <v>5.0115651779593408E-3</v>
      </c>
      <c r="K48" s="2"/>
      <c r="L48" s="6">
        <f t="shared" si="17"/>
        <v>-632.84999999999945</v>
      </c>
      <c r="M48" s="2"/>
      <c r="N48" s="7">
        <f t="shared" si="18"/>
        <v>-0.10049832304291477</v>
      </c>
      <c r="O48" s="11"/>
      <c r="P48" s="6">
        <v>84966.11</v>
      </c>
      <c r="Q48" s="2"/>
      <c r="R48" s="7">
        <f t="shared" si="19"/>
        <v>1.2165608635508557E-2</v>
      </c>
      <c r="S48" s="2"/>
      <c r="T48" s="6">
        <v>70376.509999999995</v>
      </c>
      <c r="U48" s="2"/>
      <c r="V48" s="7">
        <f t="shared" si="20"/>
        <v>7.870291063913671E-3</v>
      </c>
      <c r="W48" s="2"/>
      <c r="X48" s="6">
        <f t="shared" si="21"/>
        <v>14589.600000000006</v>
      </c>
      <c r="Y48" s="2"/>
      <c r="Z48" s="7">
        <f t="shared" si="22"/>
        <v>0.20730780767616933</v>
      </c>
    </row>
    <row r="49" spans="1:26" s="24" customFormat="1" hidden="1" outlineLevel="2" x14ac:dyDescent="0.25">
      <c r="A49" s="27"/>
      <c r="B49" s="11" t="str">
        <f>CONCATENATE("          ", "6119", " - ", "SICK LEAVE")</f>
        <v xml:space="preserve">          6119 - SICK LEAVE</v>
      </c>
      <c r="C49" s="11"/>
      <c r="D49" s="6">
        <v>-56650.91</v>
      </c>
      <c r="E49" s="2"/>
      <c r="F49" s="7">
        <f t="shared" si="15"/>
        <v>-1250.2959611564779</v>
      </c>
      <c r="G49" s="2"/>
      <c r="H49" s="6">
        <v>4819.58</v>
      </c>
      <c r="I49" s="2"/>
      <c r="J49" s="7">
        <f t="shared" si="16"/>
        <v>3.8356644466659806E-3</v>
      </c>
      <c r="K49" s="2"/>
      <c r="L49" s="6">
        <f t="shared" si="17"/>
        <v>-61470.490000000005</v>
      </c>
      <c r="M49" s="2"/>
      <c r="N49" s="7">
        <f t="shared" si="18"/>
        <v>-12.754325065669624</v>
      </c>
      <c r="O49" s="11"/>
      <c r="P49" s="6">
        <v>-1364.57</v>
      </c>
      <c r="Q49" s="2"/>
      <c r="R49" s="7">
        <f t="shared" si="19"/>
        <v>-1.9538171837872665E-4</v>
      </c>
      <c r="S49" s="2"/>
      <c r="T49" s="6">
        <v>54620.780000000006</v>
      </c>
      <c r="U49" s="2"/>
      <c r="V49" s="7">
        <f t="shared" si="20"/>
        <v>6.1083085355894268E-3</v>
      </c>
      <c r="W49" s="2"/>
      <c r="X49" s="6">
        <f t="shared" si="21"/>
        <v>-55985.350000000006</v>
      </c>
      <c r="Y49" s="2"/>
      <c r="Z49" s="7">
        <f t="shared" si="22"/>
        <v>-1.0249826165060256</v>
      </c>
    </row>
    <row r="50" spans="1:26" s="24" customFormat="1" hidden="1" outlineLevel="2" x14ac:dyDescent="0.25">
      <c r="A50" s="27"/>
      <c r="B50" s="11" t="str">
        <f>CONCATENATE("          ", "6156", " - ", "EMPLOYEE MEALS")</f>
        <v xml:space="preserve">          6156 - EMPLOYEE MEALS</v>
      </c>
      <c r="C50" s="11"/>
      <c r="D50" s="6">
        <v>544</v>
      </c>
      <c r="E50" s="2"/>
      <c r="F50" s="7">
        <f t="shared" si="15"/>
        <v>12.006179651291108</v>
      </c>
      <c r="G50" s="2"/>
      <c r="H50" s="6">
        <v>3049.19</v>
      </c>
      <c r="I50" s="2"/>
      <c r="J50" s="7">
        <f t="shared" si="16"/>
        <v>2.4266989393535209E-3</v>
      </c>
      <c r="K50" s="2"/>
      <c r="L50" s="6">
        <f t="shared" si="17"/>
        <v>-2505.19</v>
      </c>
      <c r="M50" s="2"/>
      <c r="N50" s="7">
        <f t="shared" si="18"/>
        <v>-0.82159196376742671</v>
      </c>
      <c r="O50" s="11"/>
      <c r="P50" s="6">
        <v>30489.75</v>
      </c>
      <c r="Q50" s="2"/>
      <c r="R50" s="7">
        <f t="shared" si="19"/>
        <v>4.3655801812569391E-3</v>
      </c>
      <c r="S50" s="2"/>
      <c r="T50" s="6">
        <v>32218.36</v>
      </c>
      <c r="U50" s="2"/>
      <c r="V50" s="7">
        <f t="shared" si="20"/>
        <v>3.6030185469832715E-3</v>
      </c>
      <c r="W50" s="2"/>
      <c r="X50" s="6">
        <f t="shared" si="21"/>
        <v>-1728.6100000000006</v>
      </c>
      <c r="Y50" s="2"/>
      <c r="Z50" s="7">
        <f t="shared" si="22"/>
        <v>-5.365294819475605E-2</v>
      </c>
    </row>
    <row r="51" spans="1:26" s="25" customFormat="1" outlineLevel="1" collapsed="1" x14ac:dyDescent="0.25">
      <c r="A51" s="26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32597.909999999996</v>
      </c>
      <c r="E51" s="1"/>
      <c r="F51" s="5">
        <f t="shared" ref="F51:F58" si="23">IF(D$12=0,0,D51/D$12)</f>
        <v>719.44184506731403</v>
      </c>
      <c r="G51" s="1"/>
      <c r="H51" s="1">
        <f>SUM(OSRRefH22_1x_0)</f>
        <v>272643.87999999995</v>
      </c>
      <c r="I51" s="1"/>
      <c r="J51" s="5">
        <f t="shared" ref="J51:J58" si="24">IF(H$12=0,0,H51/H$12)</f>
        <v>0.2169837282744691</v>
      </c>
      <c r="K51" s="1"/>
      <c r="L51" s="1">
        <f t="shared" ref="L51:L58" si="25">+D51-H51</f>
        <v>-240045.96999999994</v>
      </c>
      <c r="M51" s="1"/>
      <c r="N51" s="5">
        <f t="shared" ref="N51:N58" si="26">IF(H51=0,0,L51/H51)</f>
        <v>-0.88043777105871579</v>
      </c>
      <c r="O51" s="13"/>
      <c r="P51" s="1">
        <f>SUM(OSRRefP22_1x_0)</f>
        <v>2603533.9900000002</v>
      </c>
      <c r="Q51" s="1"/>
      <c r="R51" s="5">
        <f t="shared" ref="R51:R58" si="27">IF(P$12=0,0,P51/P$12)</f>
        <v>0.37277893022975928</v>
      </c>
      <c r="S51" s="1"/>
      <c r="T51" s="1">
        <f>SUM(OSRRefT22_1x_0)</f>
        <v>2641437.0099999998</v>
      </c>
      <c r="U51" s="1"/>
      <c r="V51" s="5">
        <f t="shared" ref="V51:V58" si="28">IF(T$12=0,0,T51/T$12)</f>
        <v>0.29539512680713842</v>
      </c>
      <c r="W51" s="1"/>
      <c r="X51" s="1">
        <f t="shared" ref="X51:X58" si="29">+P51-T51</f>
        <v>-37903.019999999553</v>
      </c>
      <c r="Y51" s="1"/>
      <c r="Z51" s="5">
        <f t="shared" ref="Z51:Z58" si="30">IF(T51=0,0,X51/T51)</f>
        <v>-1.4349393855127197E-2</v>
      </c>
    </row>
    <row r="52" spans="1:26" s="24" customFormat="1" hidden="1" outlineLevel="2" x14ac:dyDescent="0.25">
      <c r="A52" s="27"/>
      <c r="B52" s="11" t="str">
        <f>CONCATENATE("          ", "6001", " - ", "ADMINISTRATIVE SALARIES")</f>
        <v xml:space="preserve">          6001 - ADMINISTRATIVE SALARIES</v>
      </c>
      <c r="C52" s="11"/>
      <c r="D52" s="6">
        <v>16603.919999999998</v>
      </c>
      <c r="E52" s="2"/>
      <c r="F52" s="7">
        <f t="shared" si="23"/>
        <v>366.45155594791436</v>
      </c>
      <c r="G52" s="2"/>
      <c r="H52" s="6">
        <v>13474.56</v>
      </c>
      <c r="I52" s="2"/>
      <c r="J52" s="7">
        <f t="shared" si="24"/>
        <v>1.0723733339101656E-2</v>
      </c>
      <c r="K52" s="2"/>
      <c r="L52" s="6">
        <f t="shared" si="25"/>
        <v>3129.3599999999988</v>
      </c>
      <c r="M52" s="2"/>
      <c r="N52" s="7">
        <f t="shared" si="26"/>
        <v>0.23224209176403526</v>
      </c>
      <c r="O52" s="11"/>
      <c r="P52" s="6">
        <v>169475.39</v>
      </c>
      <c r="Q52" s="2"/>
      <c r="R52" s="7">
        <f t="shared" si="27"/>
        <v>2.4265807485951522E-2</v>
      </c>
      <c r="S52" s="2"/>
      <c r="T52" s="6">
        <v>166047.81</v>
      </c>
      <c r="U52" s="2"/>
      <c r="V52" s="7">
        <f t="shared" si="28"/>
        <v>1.8569329385976018E-2</v>
      </c>
      <c r="W52" s="2"/>
      <c r="X52" s="6">
        <f t="shared" si="29"/>
        <v>3427.5800000000163</v>
      </c>
      <c r="Y52" s="2"/>
      <c r="Z52" s="7">
        <f t="shared" si="30"/>
        <v>2.0642127107849337E-2</v>
      </c>
    </row>
    <row r="53" spans="1:26" s="24" customFormat="1" hidden="1" outlineLevel="2" x14ac:dyDescent="0.25">
      <c r="A53" s="27"/>
      <c r="B53" s="11" t="str">
        <f>CONCATENATE("          ", "6002", " - ", "STAFF SALARIES")</f>
        <v xml:space="preserve">          6002 - STAFF SALARIES</v>
      </c>
      <c r="C53" s="11"/>
      <c r="D53" s="6">
        <v>16727.030000000002</v>
      </c>
      <c r="E53" s="2"/>
      <c r="F53" s="7">
        <f t="shared" si="23"/>
        <v>369.16861619951453</v>
      </c>
      <c r="G53" s="2"/>
      <c r="H53" s="6">
        <v>69854.09</v>
      </c>
      <c r="I53" s="2"/>
      <c r="J53" s="7">
        <f t="shared" si="24"/>
        <v>5.5593402219115691E-2</v>
      </c>
      <c r="K53" s="2"/>
      <c r="L53" s="6">
        <f t="shared" si="25"/>
        <v>-53127.06</v>
      </c>
      <c r="M53" s="2"/>
      <c r="N53" s="7">
        <f t="shared" si="26"/>
        <v>-0.76054329818053601</v>
      </c>
      <c r="O53" s="11"/>
      <c r="P53" s="6">
        <v>737304.21</v>
      </c>
      <c r="Q53" s="2"/>
      <c r="R53" s="7">
        <f t="shared" si="27"/>
        <v>0.1055686139352833</v>
      </c>
      <c r="S53" s="2"/>
      <c r="T53" s="6">
        <v>749289.02</v>
      </c>
      <c r="U53" s="2"/>
      <c r="V53" s="7">
        <f t="shared" si="28"/>
        <v>8.3793906210959196E-2</v>
      </c>
      <c r="W53" s="2"/>
      <c r="X53" s="6">
        <f t="shared" si="29"/>
        <v>-11984.810000000056</v>
      </c>
      <c r="Y53" s="2"/>
      <c r="Z53" s="7">
        <f t="shared" si="30"/>
        <v>-1.5994909414260541E-2</v>
      </c>
    </row>
    <row r="54" spans="1:26" s="24" customFormat="1" hidden="1" outlineLevel="2" x14ac:dyDescent="0.25">
      <c r="A54" s="27"/>
      <c r="B54" s="11" t="str">
        <f>CONCATENATE("          ", "6004", " - ", "STAFF HOURLY")</f>
        <v xml:space="preserve">          6004 - STAFF HOURLY</v>
      </c>
      <c r="C54" s="11"/>
      <c r="D54" s="6">
        <v>2701.12</v>
      </c>
      <c r="E54" s="2"/>
      <c r="F54" s="7">
        <f t="shared" si="23"/>
        <v>59.614213197969548</v>
      </c>
      <c r="G54" s="2"/>
      <c r="H54" s="6">
        <v>11663.23</v>
      </c>
      <c r="I54" s="2"/>
      <c r="J54" s="7">
        <f t="shared" si="24"/>
        <v>9.2821857183173779E-3</v>
      </c>
      <c r="K54" s="2"/>
      <c r="L54" s="6">
        <f t="shared" si="25"/>
        <v>-8962.11</v>
      </c>
      <c r="M54" s="2"/>
      <c r="N54" s="7">
        <f t="shared" si="26"/>
        <v>-0.76840720795182815</v>
      </c>
      <c r="O54" s="11"/>
      <c r="P54" s="6">
        <v>217541.13</v>
      </c>
      <c r="Q54" s="2"/>
      <c r="R54" s="7">
        <f t="shared" si="27"/>
        <v>3.114795122086076E-2</v>
      </c>
      <c r="S54" s="2"/>
      <c r="T54" s="6">
        <v>136085.67000000001</v>
      </c>
      <c r="U54" s="2"/>
      <c r="V54" s="7">
        <f t="shared" si="28"/>
        <v>1.5218626677107246E-2</v>
      </c>
      <c r="W54" s="2"/>
      <c r="X54" s="6">
        <f t="shared" si="29"/>
        <v>81455.459999999992</v>
      </c>
      <c r="Y54" s="2"/>
      <c r="Z54" s="7">
        <f t="shared" si="30"/>
        <v>0.59856015699522214</v>
      </c>
    </row>
    <row r="55" spans="1:26" s="24" customFormat="1" hidden="1" outlineLevel="2" x14ac:dyDescent="0.25">
      <c r="A55" s="27"/>
      <c r="B55" s="11" t="str">
        <f>CONCATENATE("          ", "6005", " - ", "TEMPORARY WAGES-HOURLY")</f>
        <v xml:space="preserve">          6005 - TEMPORARY WAGES-HOURLY</v>
      </c>
      <c r="C55" s="11"/>
      <c r="D55" s="6">
        <v>104.84</v>
      </c>
      <c r="E55" s="2"/>
      <c r="F55" s="7">
        <f t="shared" si="23"/>
        <v>2.3138380048554406</v>
      </c>
      <c r="G55" s="2"/>
      <c r="H55" s="6">
        <v>51825.049999999996</v>
      </c>
      <c r="I55" s="2"/>
      <c r="J55" s="7">
        <f t="shared" si="24"/>
        <v>4.1244984362057847E-2</v>
      </c>
      <c r="K55" s="2"/>
      <c r="L55" s="6">
        <f t="shared" si="25"/>
        <v>-51720.21</v>
      </c>
      <c r="M55" s="2"/>
      <c r="N55" s="7">
        <f t="shared" si="26"/>
        <v>-0.99797704006074295</v>
      </c>
      <c r="O55" s="11"/>
      <c r="P55" s="6">
        <v>505027.62</v>
      </c>
      <c r="Q55" s="2"/>
      <c r="R55" s="7">
        <f t="shared" si="27"/>
        <v>7.2310811628805108E-2</v>
      </c>
      <c r="S55" s="2"/>
      <c r="T55" s="6">
        <v>448720.62</v>
      </c>
      <c r="U55" s="2"/>
      <c r="V55" s="7">
        <f t="shared" si="28"/>
        <v>5.0180974955703291E-2</v>
      </c>
      <c r="W55" s="2"/>
      <c r="X55" s="6">
        <f t="shared" si="29"/>
        <v>56307</v>
      </c>
      <c r="Y55" s="2"/>
      <c r="Z55" s="7">
        <f t="shared" si="30"/>
        <v>0.12548342440781973</v>
      </c>
    </row>
    <row r="56" spans="1:26" s="24" customFormat="1" hidden="1" outlineLevel="2" x14ac:dyDescent="0.25">
      <c r="A56" s="27"/>
      <c r="B56" s="11" t="str">
        <f>CONCATENATE("          ", "6006", " - ", "TEMPORARY PART TIME")</f>
        <v xml:space="preserve">          6006 - TEMPORARY PART TIME</v>
      </c>
      <c r="C56" s="11"/>
      <c r="D56" s="6"/>
      <c r="E56" s="2"/>
      <c r="F56" s="7">
        <f t="shared" si="23"/>
        <v>0</v>
      </c>
      <c r="G56" s="2"/>
      <c r="H56" s="6">
        <v>4712.99</v>
      </c>
      <c r="I56" s="2"/>
      <c r="J56" s="7">
        <f t="shared" si="24"/>
        <v>3.750834757487644E-3</v>
      </c>
      <c r="K56" s="2"/>
      <c r="L56" s="6">
        <f t="shared" si="25"/>
        <v>-4712.99</v>
      </c>
      <c r="M56" s="2"/>
      <c r="N56" s="7">
        <f t="shared" si="26"/>
        <v>-1</v>
      </c>
      <c r="O56" s="11"/>
      <c r="P56" s="6">
        <v>33612.15</v>
      </c>
      <c r="Q56" s="2"/>
      <c r="R56" s="7">
        <f t="shared" si="27"/>
        <v>4.8126513300186264E-3</v>
      </c>
      <c r="S56" s="2"/>
      <c r="T56" s="6">
        <v>42307.72</v>
      </c>
      <c r="U56" s="2"/>
      <c r="V56" s="7">
        <f t="shared" si="28"/>
        <v>4.7313239978873873E-3</v>
      </c>
      <c r="W56" s="2"/>
      <c r="X56" s="6">
        <f t="shared" si="29"/>
        <v>-8695.57</v>
      </c>
      <c r="Y56" s="2"/>
      <c r="Z56" s="7">
        <f t="shared" si="30"/>
        <v>-0.20553152001573233</v>
      </c>
    </row>
    <row r="57" spans="1:26" s="24" customFormat="1" hidden="1" outlineLevel="2" x14ac:dyDescent="0.25">
      <c r="A57" s="27"/>
      <c r="B57" s="11" t="str">
        <f>CONCATENATE("          ", "6007", " - ", "STUDENT HOURLY")</f>
        <v xml:space="preserve">          6007 - STUDENT HOURLY</v>
      </c>
      <c r="C57" s="11"/>
      <c r="D57" s="6">
        <v>-3539</v>
      </c>
      <c r="E57" s="2"/>
      <c r="F57" s="7">
        <f t="shared" si="23"/>
        <v>-78.106378282939758</v>
      </c>
      <c r="G57" s="2"/>
      <c r="H57" s="6">
        <v>113547.49</v>
      </c>
      <c r="I57" s="2"/>
      <c r="J57" s="7">
        <f t="shared" si="24"/>
        <v>9.0366810054229002E-2</v>
      </c>
      <c r="K57" s="2"/>
      <c r="L57" s="6">
        <f t="shared" si="25"/>
        <v>-117086.49</v>
      </c>
      <c r="M57" s="2"/>
      <c r="N57" s="7">
        <f t="shared" si="26"/>
        <v>-1.031167575787012</v>
      </c>
      <c r="O57" s="11"/>
      <c r="P57" s="6">
        <v>893279.31</v>
      </c>
      <c r="Q57" s="2"/>
      <c r="R57" s="7">
        <f t="shared" si="27"/>
        <v>0.12790142431679083</v>
      </c>
      <c r="S57" s="2"/>
      <c r="T57" s="6">
        <v>1016406.1</v>
      </c>
      <c r="U57" s="2"/>
      <c r="V57" s="7">
        <f t="shared" si="28"/>
        <v>0.1136659354966216</v>
      </c>
      <c r="W57" s="2"/>
      <c r="X57" s="6">
        <f t="shared" si="29"/>
        <v>-123126.78999999992</v>
      </c>
      <c r="Y57" s="2"/>
      <c r="Z57" s="7">
        <f t="shared" si="30"/>
        <v>-0.12113936545638591</v>
      </c>
    </row>
    <row r="58" spans="1:26" s="24" customFormat="1" hidden="1" outlineLevel="2" x14ac:dyDescent="0.25">
      <c r="A58" s="27"/>
      <c r="B58" s="11" t="str">
        <f>CONCATENATE("          ", "6008", " - ", "STUDENT HOURLY-FICA EXEMPT")</f>
        <v xml:space="preserve">          6008 - STUDENT HOURLY-FICA EXEMPT</v>
      </c>
      <c r="C58" s="11"/>
      <c r="D58" s="6"/>
      <c r="E58" s="2"/>
      <c r="F58" s="7">
        <f t="shared" si="23"/>
        <v>0</v>
      </c>
      <c r="G58" s="2"/>
      <c r="H58" s="6">
        <v>7566.47</v>
      </c>
      <c r="I58" s="2"/>
      <c r="J58" s="7">
        <f t="shared" si="24"/>
        <v>6.0217778241599363E-3</v>
      </c>
      <c r="K58" s="2"/>
      <c r="L58" s="6">
        <f t="shared" si="25"/>
        <v>-7566.47</v>
      </c>
      <c r="M58" s="2"/>
      <c r="N58" s="7">
        <f t="shared" si="26"/>
        <v>-1</v>
      </c>
      <c r="O58" s="11"/>
      <c r="P58" s="6">
        <v>47294.18</v>
      </c>
      <c r="Q58" s="2"/>
      <c r="R58" s="7">
        <f t="shared" si="27"/>
        <v>6.7716703120490754E-3</v>
      </c>
      <c r="S58" s="2"/>
      <c r="T58" s="6">
        <v>82580.070000000007</v>
      </c>
      <c r="U58" s="2"/>
      <c r="V58" s="7">
        <f t="shared" si="28"/>
        <v>9.2350300828836999E-3</v>
      </c>
      <c r="W58" s="2"/>
      <c r="X58" s="6">
        <f t="shared" si="29"/>
        <v>-35285.890000000007</v>
      </c>
      <c r="Y58" s="2"/>
      <c r="Z58" s="7">
        <f t="shared" si="30"/>
        <v>-0.42729305024808051</v>
      </c>
    </row>
    <row r="59" spans="1:26" s="25" customFormat="1" outlineLevel="1" collapsed="1" x14ac:dyDescent="0.25">
      <c r="A59" s="26"/>
      <c r="B59" s="13" t="str">
        <f>CONCATENATE("     ","Advertising/Promo                                 ")</f>
        <v xml:space="preserve">     Advertising/Promo                                 </v>
      </c>
      <c r="C59" s="13"/>
      <c r="D59" s="1">
        <f>SUM(OSRRefD22_2x_0)</f>
        <v>256.07</v>
      </c>
      <c r="E59" s="1"/>
      <c r="F59" s="5">
        <f t="shared" ref="F59:F68" si="31">IF(D$12=0,0,D59/D$12)</f>
        <v>5.6515118075480029</v>
      </c>
      <c r="G59" s="1"/>
      <c r="H59" s="1">
        <f>SUM(OSRRefH22_2x_0)</f>
        <v>4136.3900000000003</v>
      </c>
      <c r="I59" s="1"/>
      <c r="J59" s="5">
        <f t="shared" ref="J59:J68" si="32">IF(H$12=0,0,H59/H$12)</f>
        <v>3.2919474436661901E-3</v>
      </c>
      <c r="K59" s="1"/>
      <c r="L59" s="1">
        <f t="shared" ref="L59:L68" si="33">+D59-H59</f>
        <v>-3880.32</v>
      </c>
      <c r="M59" s="1"/>
      <c r="N59" s="5">
        <f t="shared" ref="N59:N68" si="34">IF(H59=0,0,L59/H59)</f>
        <v>-0.93809336160275014</v>
      </c>
      <c r="O59" s="13"/>
      <c r="P59" s="1">
        <f>SUM(OSRRefP22_2x_0)</f>
        <v>32001.16</v>
      </c>
      <c r="Q59" s="1"/>
      <c r="R59" s="5">
        <f t="shared" ref="R59:R68" si="35">IF(P$12=0,0,P59/P$12)</f>
        <v>4.5819867290887032E-3</v>
      </c>
      <c r="S59" s="1"/>
      <c r="T59" s="1">
        <f>SUM(OSRRefT22_2x_0)</f>
        <v>35647.219999999994</v>
      </c>
      <c r="U59" s="1"/>
      <c r="V59" s="5">
        <f t="shared" ref="V59:V68" si="36">IF(T$12=0,0,T59/T$12)</f>
        <v>3.986472148439368E-3</v>
      </c>
      <c r="W59" s="1"/>
      <c r="X59" s="1">
        <f t="shared" ref="X59:X68" si="37">+P59-T59</f>
        <v>-3646.059999999994</v>
      </c>
      <c r="Y59" s="1"/>
      <c r="Z59" s="5">
        <f t="shared" ref="Z59:Z68" si="38">IF(T59=0,0,X59/T59)</f>
        <v>-0.10228174875908962</v>
      </c>
    </row>
    <row r="60" spans="1:26" s="24" customFormat="1" hidden="1" outlineLevel="2" x14ac:dyDescent="0.25">
      <c r="A60" s="27"/>
      <c r="B60" s="11" t="str">
        <f>CONCATENATE("          ", "6362", " - ", "ADVERTISING EXPENSE")</f>
        <v xml:space="preserve">          6362 - ADVERTISING EXPENSE</v>
      </c>
      <c r="C60" s="11"/>
      <c r="D60" s="6">
        <v>256.07</v>
      </c>
      <c r="E60" s="2"/>
      <c r="F60" s="7">
        <f t="shared" si="31"/>
        <v>5.6515118075480029</v>
      </c>
      <c r="G60" s="2"/>
      <c r="H60" s="6">
        <v>4136.3900000000003</v>
      </c>
      <c r="I60" s="2"/>
      <c r="J60" s="7">
        <f t="shared" si="32"/>
        <v>3.2919474436661901E-3</v>
      </c>
      <c r="K60" s="2"/>
      <c r="L60" s="6">
        <f t="shared" si="33"/>
        <v>-3880.32</v>
      </c>
      <c r="M60" s="2"/>
      <c r="N60" s="7">
        <f t="shared" si="34"/>
        <v>-0.93809336160275014</v>
      </c>
      <c r="O60" s="11"/>
      <c r="P60" s="6">
        <v>32001.16</v>
      </c>
      <c r="Q60" s="2"/>
      <c r="R60" s="7">
        <f t="shared" si="35"/>
        <v>4.5819867290887032E-3</v>
      </c>
      <c r="S60" s="2"/>
      <c r="T60" s="6">
        <v>35647.219999999994</v>
      </c>
      <c r="U60" s="2"/>
      <c r="V60" s="7">
        <f t="shared" si="36"/>
        <v>3.986472148439368E-3</v>
      </c>
      <c r="W60" s="2"/>
      <c r="X60" s="6">
        <f t="shared" si="37"/>
        <v>-3646.059999999994</v>
      </c>
      <c r="Y60" s="2"/>
      <c r="Z60" s="7">
        <f t="shared" si="38"/>
        <v>-0.10228174875908962</v>
      </c>
    </row>
    <row r="61" spans="1:26" s="25" customFormat="1" outlineLevel="1" collapsed="1" x14ac:dyDescent="0.25">
      <c r="A61" s="26"/>
      <c r="B61" s="13" t="str">
        <f>CONCATENATE("     ","Bad Debts/Over/Short                              ")</f>
        <v xml:space="preserve">     Bad Debts/Over/Short                              </v>
      </c>
      <c r="C61" s="13"/>
      <c r="D61" s="1">
        <f>SUM(OSRRefD22_3x_0)</f>
        <v>0</v>
      </c>
      <c r="E61" s="1"/>
      <c r="F61" s="5">
        <f t="shared" si="31"/>
        <v>0</v>
      </c>
      <c r="G61" s="1"/>
      <c r="H61" s="1">
        <f>SUM(OSRRefH22_3x_0)</f>
        <v>-351.6</v>
      </c>
      <c r="I61" s="1"/>
      <c r="J61" s="5">
        <f t="shared" si="32"/>
        <v>-2.7982098428654757E-4</v>
      </c>
      <c r="K61" s="1"/>
      <c r="L61" s="1">
        <f t="shared" si="33"/>
        <v>351.6</v>
      </c>
      <c r="M61" s="1"/>
      <c r="N61" s="5">
        <f t="shared" si="34"/>
        <v>-1</v>
      </c>
      <c r="O61" s="13"/>
      <c r="P61" s="1">
        <f>SUM(OSRRefP22_3x_0)</f>
        <v>-689.57</v>
      </c>
      <c r="Q61" s="1"/>
      <c r="R61" s="5">
        <f t="shared" si="35"/>
        <v>-9.8733939294003639E-5</v>
      </c>
      <c r="S61" s="1"/>
      <c r="T61" s="1">
        <f>SUM(OSRRefT22_3x_0)</f>
        <v>290.93</v>
      </c>
      <c r="U61" s="1"/>
      <c r="V61" s="5">
        <f t="shared" si="36"/>
        <v>3.2535057211907845E-5</v>
      </c>
      <c r="W61" s="1"/>
      <c r="X61" s="1">
        <f t="shared" si="37"/>
        <v>-980.5</v>
      </c>
      <c r="Y61" s="1"/>
      <c r="Z61" s="5">
        <f t="shared" si="38"/>
        <v>-3.3702265149692363</v>
      </c>
    </row>
    <row r="62" spans="1:26" s="24" customFormat="1" hidden="1" outlineLevel="2" x14ac:dyDescent="0.25">
      <c r="A62" s="27"/>
      <c r="B62" s="11" t="str">
        <f>CONCATENATE("          ", "6272", " - ", "CASH (OVER/SHORT)")</f>
        <v xml:space="preserve">          6272 - CASH (OVER/SHORT)</v>
      </c>
      <c r="C62" s="11"/>
      <c r="D62" s="6"/>
      <c r="E62" s="2"/>
      <c r="F62" s="7">
        <f t="shared" si="31"/>
        <v>0</v>
      </c>
      <c r="G62" s="2"/>
      <c r="H62" s="6">
        <v>-351.6</v>
      </c>
      <c r="I62" s="2"/>
      <c r="J62" s="7">
        <f t="shared" si="32"/>
        <v>-2.7982098428654757E-4</v>
      </c>
      <c r="K62" s="2"/>
      <c r="L62" s="6">
        <f t="shared" si="33"/>
        <v>351.6</v>
      </c>
      <c r="M62" s="2"/>
      <c r="N62" s="7">
        <f t="shared" si="34"/>
        <v>-1</v>
      </c>
      <c r="O62" s="11"/>
      <c r="P62" s="6">
        <v>-689.57</v>
      </c>
      <c r="Q62" s="2"/>
      <c r="R62" s="7">
        <f t="shared" si="35"/>
        <v>-9.8733939294003639E-5</v>
      </c>
      <c r="S62" s="2"/>
      <c r="T62" s="6">
        <v>290.93</v>
      </c>
      <c r="U62" s="2"/>
      <c r="V62" s="7">
        <f t="shared" si="36"/>
        <v>3.2535057211907845E-5</v>
      </c>
      <c r="W62" s="2"/>
      <c r="X62" s="6">
        <f t="shared" si="37"/>
        <v>-980.5</v>
      </c>
      <c r="Y62" s="2"/>
      <c r="Z62" s="7">
        <f t="shared" si="38"/>
        <v>-3.3702265149692363</v>
      </c>
    </row>
    <row r="63" spans="1:26" s="25" customFormat="1" outlineLevel="1" collapsed="1" x14ac:dyDescent="0.25">
      <c r="A63" s="26"/>
      <c r="B63" s="13" t="str">
        <f>CONCATENATE("     ","Bank/card Fees                                    ")</f>
        <v xml:space="preserve">     Bank/card Fees                                    </v>
      </c>
      <c r="C63" s="13"/>
      <c r="D63" s="1">
        <f>SUM(OSRRefD22_4x_0)</f>
        <v>2838.44</v>
      </c>
      <c r="E63" s="1"/>
      <c r="F63" s="5">
        <f t="shared" si="31"/>
        <v>62.644890752593255</v>
      </c>
      <c r="G63" s="1"/>
      <c r="H63" s="1">
        <f>SUM(OSRRefH22_4x_0)</f>
        <v>29911.190000000002</v>
      </c>
      <c r="I63" s="1"/>
      <c r="J63" s="5">
        <f t="shared" si="32"/>
        <v>2.380483113476092E-2</v>
      </c>
      <c r="K63" s="1"/>
      <c r="L63" s="1">
        <f t="shared" si="33"/>
        <v>-27072.750000000004</v>
      </c>
      <c r="M63" s="1"/>
      <c r="N63" s="5">
        <f t="shared" si="34"/>
        <v>-0.90510441075731196</v>
      </c>
      <c r="O63" s="13"/>
      <c r="P63" s="1">
        <f>SUM(OSRRefP22_4x_0)</f>
        <v>238252.66</v>
      </c>
      <c r="Q63" s="1"/>
      <c r="R63" s="5">
        <f t="shared" si="35"/>
        <v>3.411346733337426E-2</v>
      </c>
      <c r="S63" s="1"/>
      <c r="T63" s="1">
        <f>SUM(OSRRefT22_4x_0)</f>
        <v>279198.25</v>
      </c>
      <c r="U63" s="1"/>
      <c r="V63" s="5">
        <f t="shared" si="36"/>
        <v>3.1223081281457905E-2</v>
      </c>
      <c r="W63" s="1"/>
      <c r="X63" s="1">
        <f t="shared" si="37"/>
        <v>-40945.589999999997</v>
      </c>
      <c r="Y63" s="1"/>
      <c r="Z63" s="5">
        <f t="shared" si="38"/>
        <v>-0.14665417852726512</v>
      </c>
    </row>
    <row r="64" spans="1:26" s="24" customFormat="1" hidden="1" outlineLevel="2" x14ac:dyDescent="0.25">
      <c r="A64" s="27"/>
      <c r="B64" s="11" t="str">
        <f>CONCATENATE("          ", "6381", " - ", "BANK/CREDIT CARD FEES")</f>
        <v xml:space="preserve">          6381 - BANK/CREDIT CARD FEES</v>
      </c>
      <c r="C64" s="11"/>
      <c r="D64" s="6">
        <v>2838.44</v>
      </c>
      <c r="E64" s="2"/>
      <c r="F64" s="7">
        <f t="shared" si="31"/>
        <v>62.644890752593255</v>
      </c>
      <c r="G64" s="2"/>
      <c r="H64" s="6">
        <v>29911.190000000002</v>
      </c>
      <c r="I64" s="2"/>
      <c r="J64" s="7">
        <f t="shared" si="32"/>
        <v>2.380483113476092E-2</v>
      </c>
      <c r="K64" s="2"/>
      <c r="L64" s="6">
        <f t="shared" si="33"/>
        <v>-27072.750000000004</v>
      </c>
      <c r="M64" s="2"/>
      <c r="N64" s="7">
        <f t="shared" si="34"/>
        <v>-0.90510441075731196</v>
      </c>
      <c r="O64" s="11"/>
      <c r="P64" s="6">
        <v>238252.66</v>
      </c>
      <c r="Q64" s="2"/>
      <c r="R64" s="7">
        <f t="shared" si="35"/>
        <v>3.411346733337426E-2</v>
      </c>
      <c r="S64" s="2"/>
      <c r="T64" s="6">
        <v>279198.25</v>
      </c>
      <c r="U64" s="2"/>
      <c r="V64" s="7">
        <f t="shared" si="36"/>
        <v>3.1223081281457905E-2</v>
      </c>
      <c r="W64" s="2"/>
      <c r="X64" s="6">
        <f t="shared" si="37"/>
        <v>-40945.589999999997</v>
      </c>
      <c r="Y64" s="2"/>
      <c r="Z64" s="7">
        <f t="shared" si="38"/>
        <v>-0.14665417852726512</v>
      </c>
    </row>
    <row r="65" spans="1:26" s="25" customFormat="1" outlineLevel="1" collapsed="1" x14ac:dyDescent="0.25">
      <c r="A65" s="26"/>
      <c r="B65" s="13" t="str">
        <f>CONCATENATE("     ","Depreciation                                      ")</f>
        <v xml:space="preserve">     Depreciation                                      </v>
      </c>
      <c r="C65" s="13"/>
      <c r="D65" s="1">
        <f>SUM(OSRRefD22_5x_0)</f>
        <v>47132.220000000008</v>
      </c>
      <c r="E65" s="1"/>
      <c r="F65" s="5">
        <f t="shared" si="31"/>
        <v>1040.2167291988526</v>
      </c>
      <c r="G65" s="1"/>
      <c r="H65" s="1">
        <f>SUM(OSRRefH22_5x_0)</f>
        <v>50497.56</v>
      </c>
      <c r="I65" s="1"/>
      <c r="J65" s="5">
        <f t="shared" si="32"/>
        <v>4.0188500976305434E-2</v>
      </c>
      <c r="K65" s="1"/>
      <c r="L65" s="1">
        <f t="shared" si="33"/>
        <v>-3365.3399999999892</v>
      </c>
      <c r="M65" s="1"/>
      <c r="N65" s="5">
        <f t="shared" si="34"/>
        <v>-6.6643616047983092E-2</v>
      </c>
      <c r="O65" s="13"/>
      <c r="P65" s="1">
        <f>SUM(OSRRefP22_5x_0)</f>
        <v>487621.33999999997</v>
      </c>
      <c r="Q65" s="1"/>
      <c r="R65" s="5">
        <f t="shared" si="35"/>
        <v>6.9818547474543122E-2</v>
      </c>
      <c r="S65" s="1"/>
      <c r="T65" s="1">
        <f>SUM(OSRRefT22_5x_0)</f>
        <v>475525.36</v>
      </c>
      <c r="U65" s="1"/>
      <c r="V65" s="5">
        <f t="shared" si="36"/>
        <v>5.3178581766449226E-2</v>
      </c>
      <c r="W65" s="1"/>
      <c r="X65" s="1">
        <f t="shared" si="37"/>
        <v>12095.979999999981</v>
      </c>
      <c r="Y65" s="1"/>
      <c r="Z65" s="5">
        <f t="shared" si="38"/>
        <v>2.5437087098782663E-2</v>
      </c>
    </row>
    <row r="66" spans="1:26" s="24" customFormat="1" hidden="1" outlineLevel="2" x14ac:dyDescent="0.25">
      <c r="A66" s="27"/>
      <c r="B66" s="11" t="str">
        <f>CONCATENATE("          ", "6321", " - ", "BUILDING DEPRECIATION")</f>
        <v xml:space="preserve">          6321 - BUILDING DEPRECIATION</v>
      </c>
      <c r="C66" s="11"/>
      <c r="D66" s="6">
        <v>29123.47</v>
      </c>
      <c r="E66" s="2"/>
      <c r="F66" s="7">
        <f t="shared" si="31"/>
        <v>642.76031781063796</v>
      </c>
      <c r="G66" s="2"/>
      <c r="H66" s="6">
        <v>31980.31</v>
      </c>
      <c r="I66" s="2"/>
      <c r="J66" s="7">
        <f t="shared" si="32"/>
        <v>2.545154101817099E-2</v>
      </c>
      <c r="K66" s="2"/>
      <c r="L66" s="6">
        <f t="shared" si="33"/>
        <v>-2856.84</v>
      </c>
      <c r="M66" s="2"/>
      <c r="N66" s="7">
        <f t="shared" si="34"/>
        <v>-8.9331216614222941E-2</v>
      </c>
      <c r="O66" s="11"/>
      <c r="P66" s="6">
        <v>291234.7</v>
      </c>
      <c r="Q66" s="2"/>
      <c r="R66" s="7">
        <f t="shared" si="35"/>
        <v>4.1699536218378644E-2</v>
      </c>
      <c r="S66" s="2"/>
      <c r="T66" s="6">
        <v>300704.39999999997</v>
      </c>
      <c r="U66" s="2"/>
      <c r="V66" s="7">
        <f t="shared" si="36"/>
        <v>3.3628140301352284E-2</v>
      </c>
      <c r="W66" s="2"/>
      <c r="X66" s="6">
        <f t="shared" si="37"/>
        <v>-9469.6999999999534</v>
      </c>
      <c r="Y66" s="2"/>
      <c r="Z66" s="7">
        <f t="shared" si="38"/>
        <v>-3.1491724098483276E-2</v>
      </c>
    </row>
    <row r="67" spans="1:26" s="24" customFormat="1" hidden="1" outlineLevel="2" x14ac:dyDescent="0.25">
      <c r="A67" s="27"/>
      <c r="B67" s="11" t="str">
        <f>CONCATENATE("          ", "6322", " - ", "EQUIPMENT DEPRECIATION EXPENSE")</f>
        <v xml:space="preserve">          6322 - EQUIPMENT DEPRECIATION EXPENSE</v>
      </c>
      <c r="C67" s="11"/>
      <c r="D67" s="6">
        <v>17584.52</v>
      </c>
      <c r="E67" s="2"/>
      <c r="F67" s="7">
        <f t="shared" si="31"/>
        <v>388.09357757669392</v>
      </c>
      <c r="G67" s="2"/>
      <c r="H67" s="6">
        <v>18093</v>
      </c>
      <c r="I67" s="2"/>
      <c r="J67" s="7">
        <f t="shared" si="32"/>
        <v>1.4399320445666965E-2</v>
      </c>
      <c r="K67" s="2"/>
      <c r="L67" s="6">
        <f t="shared" si="33"/>
        <v>-508.47999999999956</v>
      </c>
      <c r="M67" s="2"/>
      <c r="N67" s="7">
        <f t="shared" si="34"/>
        <v>-2.8103686508594461E-2</v>
      </c>
      <c r="O67" s="11"/>
      <c r="P67" s="6">
        <v>192144.16</v>
      </c>
      <c r="Q67" s="2"/>
      <c r="R67" s="7">
        <f t="shared" si="35"/>
        <v>2.7511564930518036E-2</v>
      </c>
      <c r="S67" s="2"/>
      <c r="T67" s="6">
        <v>170578.46</v>
      </c>
      <c r="U67" s="2"/>
      <c r="V67" s="7">
        <f t="shared" si="36"/>
        <v>1.9075997508744828E-2</v>
      </c>
      <c r="W67" s="2"/>
      <c r="X67" s="6">
        <f t="shared" si="37"/>
        <v>21565.700000000012</v>
      </c>
      <c r="Y67" s="2"/>
      <c r="Z67" s="7">
        <f t="shared" si="38"/>
        <v>0.12642686538499651</v>
      </c>
    </row>
    <row r="68" spans="1:26" s="24" customFormat="1" hidden="1" outlineLevel="2" x14ac:dyDescent="0.25">
      <c r="A68" s="27"/>
      <c r="B68" s="11" t="str">
        <f>CONCATENATE("          ", "6326", " - ", "VEHICLES DEPRECIATION EXPENSE")</f>
        <v xml:space="preserve">          6326 - VEHICLES DEPRECIATION EXPENSE</v>
      </c>
      <c r="C68" s="11"/>
      <c r="D68" s="6">
        <v>424.23</v>
      </c>
      <c r="E68" s="2"/>
      <c r="F68" s="7">
        <f t="shared" si="31"/>
        <v>9.3628338115206375</v>
      </c>
      <c r="G68" s="2"/>
      <c r="H68" s="6">
        <v>424.25</v>
      </c>
      <c r="I68" s="2"/>
      <c r="J68" s="7">
        <f t="shared" si="32"/>
        <v>3.3763951246748521E-4</v>
      </c>
      <c r="K68" s="2"/>
      <c r="L68" s="6">
        <f t="shared" si="33"/>
        <v>-1.999999999998181E-2</v>
      </c>
      <c r="M68" s="2"/>
      <c r="N68" s="7">
        <f t="shared" si="34"/>
        <v>-4.7142015321112106E-5</v>
      </c>
      <c r="O68" s="11"/>
      <c r="P68" s="6">
        <v>4242.4799999999996</v>
      </c>
      <c r="Q68" s="2"/>
      <c r="R68" s="7">
        <f t="shared" si="35"/>
        <v>6.0744632564645282E-4</v>
      </c>
      <c r="S68" s="2"/>
      <c r="T68" s="6">
        <v>4242.5</v>
      </c>
      <c r="U68" s="2"/>
      <c r="V68" s="7">
        <f t="shared" si="36"/>
        <v>4.7444395635210884E-4</v>
      </c>
      <c r="W68" s="2"/>
      <c r="X68" s="6">
        <f t="shared" si="37"/>
        <v>-2.0000000000436557E-2</v>
      </c>
      <c r="Y68" s="2"/>
      <c r="Z68" s="7">
        <f t="shared" si="38"/>
        <v>-4.7142015322183987E-6</v>
      </c>
    </row>
    <row r="69" spans="1:26" s="25" customFormat="1" outlineLevel="1" collapsed="1" x14ac:dyDescent="0.25">
      <c r="A69" s="26"/>
      <c r="B69" s="13" t="str">
        <f>CONCATENATE("     ","Discounts and Markdowns                           ")</f>
        <v xml:space="preserve">     Discounts and Markdowns                           </v>
      </c>
      <c r="C69" s="13"/>
      <c r="D69" s="1">
        <f>SUM(OSRRefD22_6x_0)</f>
        <v>0</v>
      </c>
      <c r="E69" s="1"/>
      <c r="F69" s="5">
        <f t="shared" ref="F69:F79" si="39">IF(D$12=0,0,D69/D$12)</f>
        <v>0</v>
      </c>
      <c r="G69" s="1"/>
      <c r="H69" s="1">
        <f>SUM(OSRRefH22_6x_0)</f>
        <v>9.9</v>
      </c>
      <c r="I69" s="1"/>
      <c r="J69" s="5">
        <f t="shared" ref="J69:J79" si="40">IF(H$12=0,0,H69/H$12)</f>
        <v>7.8789184995358961E-6</v>
      </c>
      <c r="K69" s="1"/>
      <c r="L69" s="1">
        <f t="shared" ref="L69:L79" si="41">+D69-H69</f>
        <v>-9.9</v>
      </c>
      <c r="M69" s="1"/>
      <c r="N69" s="5">
        <f t="shared" ref="N69:N79" si="42">IF(H69=0,0,L69/H69)</f>
        <v>-1</v>
      </c>
      <c r="O69" s="13"/>
      <c r="P69" s="1">
        <f>SUM(OSRRefP22_6x_0)</f>
        <v>125.96</v>
      </c>
      <c r="Q69" s="1"/>
      <c r="R69" s="5">
        <f t="shared" ref="R69:R79" si="43">IF(P$12=0,0,P69/P$12)</f>
        <v>1.8035191486684015E-5</v>
      </c>
      <c r="S69" s="1"/>
      <c r="T69" s="1">
        <f>SUM(OSRRefT22_6x_0)</f>
        <v>128.21</v>
      </c>
      <c r="U69" s="1"/>
      <c r="V69" s="5">
        <f t="shared" ref="V69:V79" si="44">IF(T$12=0,0,T69/T$12)</f>
        <v>1.4337880882475869E-5</v>
      </c>
      <c r="W69" s="1"/>
      <c r="X69" s="1">
        <f t="shared" ref="X69:X79" si="45">+P69-T69</f>
        <v>-2.2500000000000142</v>
      </c>
      <c r="Y69" s="1"/>
      <c r="Z69" s="5">
        <f t="shared" ref="Z69:Z79" si="46">IF(T69=0,0,X69/T69)</f>
        <v>-1.7549333125341345E-2</v>
      </c>
    </row>
    <row r="70" spans="1:26" s="24" customFormat="1" hidden="1" outlineLevel="2" x14ac:dyDescent="0.25">
      <c r="A70" s="27"/>
      <c r="B70" s="11" t="str">
        <f>CONCATENATE("          ", "6382", " - ", "DISCOUNTS/MARK DOWNS")</f>
        <v xml:space="preserve">          6382 - DISCOUNTS/MARK DOWNS</v>
      </c>
      <c r="C70" s="11"/>
      <c r="D70" s="6"/>
      <c r="E70" s="2"/>
      <c r="F70" s="7">
        <f t="shared" si="39"/>
        <v>0</v>
      </c>
      <c r="G70" s="2"/>
      <c r="H70" s="6">
        <v>9.9</v>
      </c>
      <c r="I70" s="2"/>
      <c r="J70" s="7">
        <f t="shared" si="40"/>
        <v>7.8789184995358961E-6</v>
      </c>
      <c r="K70" s="2"/>
      <c r="L70" s="6">
        <f t="shared" si="41"/>
        <v>-9.9</v>
      </c>
      <c r="M70" s="2"/>
      <c r="N70" s="7">
        <f t="shared" si="42"/>
        <v>-1</v>
      </c>
      <c r="O70" s="11"/>
      <c r="P70" s="6">
        <v>125.96</v>
      </c>
      <c r="Q70" s="2"/>
      <c r="R70" s="7">
        <f t="shared" si="43"/>
        <v>1.8035191486684015E-5</v>
      </c>
      <c r="S70" s="2"/>
      <c r="T70" s="6">
        <v>128.21</v>
      </c>
      <c r="U70" s="2"/>
      <c r="V70" s="7">
        <f t="shared" si="44"/>
        <v>1.4337880882475869E-5</v>
      </c>
      <c r="W70" s="2"/>
      <c r="X70" s="6">
        <f t="shared" si="45"/>
        <v>-2.2500000000000142</v>
      </c>
      <c r="Y70" s="2"/>
      <c r="Z70" s="7">
        <f t="shared" si="46"/>
        <v>-1.7549333125341345E-2</v>
      </c>
    </row>
    <row r="71" spans="1:26" s="25" customFormat="1" outlineLevel="1" collapsed="1" x14ac:dyDescent="0.25">
      <c r="A71" s="26"/>
      <c r="B71" s="13" t="str">
        <f>CONCATENATE("     ","Donations                                         ")</f>
        <v xml:space="preserve">     Donations                                         </v>
      </c>
      <c r="C71" s="13"/>
      <c r="D71" s="1">
        <f>SUM(OSRRefD22_7x_0)</f>
        <v>0</v>
      </c>
      <c r="E71" s="1"/>
      <c r="F71" s="5">
        <f t="shared" si="39"/>
        <v>0</v>
      </c>
      <c r="G71" s="1"/>
      <c r="H71" s="1">
        <f>SUM(OSRRefH22_7x_0)</f>
        <v>0</v>
      </c>
      <c r="I71" s="1"/>
      <c r="J71" s="5">
        <f t="shared" si="40"/>
        <v>0</v>
      </c>
      <c r="K71" s="1"/>
      <c r="L71" s="1">
        <f t="shared" si="41"/>
        <v>0</v>
      </c>
      <c r="M71" s="1"/>
      <c r="N71" s="5">
        <f t="shared" si="42"/>
        <v>0</v>
      </c>
      <c r="O71" s="13"/>
      <c r="P71" s="1">
        <f>SUM(OSRRefP22_7x_0)</f>
        <v>236.68</v>
      </c>
      <c r="Q71" s="1"/>
      <c r="R71" s="5">
        <f t="shared" si="43"/>
        <v>3.3888290894477402E-5</v>
      </c>
      <c r="S71" s="1"/>
      <c r="T71" s="1">
        <f>SUM(OSRRefT22_7x_0)</f>
        <v>938.48</v>
      </c>
      <c r="U71" s="1"/>
      <c r="V71" s="5">
        <f t="shared" si="44"/>
        <v>1.0495136456271706E-4</v>
      </c>
      <c r="W71" s="1"/>
      <c r="X71" s="1">
        <f t="shared" si="45"/>
        <v>-701.8</v>
      </c>
      <c r="Y71" s="1"/>
      <c r="Z71" s="5">
        <f t="shared" si="46"/>
        <v>-0.74780496121387774</v>
      </c>
    </row>
    <row r="72" spans="1:26" s="24" customFormat="1" hidden="1" outlineLevel="2" x14ac:dyDescent="0.25">
      <c r="A72" s="27"/>
      <c r="B72" s="11" t="str">
        <f>CONCATENATE("          ", "6399", " - ", "DONATION-ON CAMPUS")</f>
        <v xml:space="preserve">          6399 - DONATION-ON CAMPUS</v>
      </c>
      <c r="C72" s="11"/>
      <c r="D72" s="6"/>
      <c r="E72" s="2"/>
      <c r="F72" s="7">
        <f t="shared" si="39"/>
        <v>0</v>
      </c>
      <c r="G72" s="2"/>
      <c r="H72" s="6"/>
      <c r="I72" s="2"/>
      <c r="J72" s="7">
        <f t="shared" si="40"/>
        <v>0</v>
      </c>
      <c r="K72" s="2"/>
      <c r="L72" s="6">
        <f t="shared" si="41"/>
        <v>0</v>
      </c>
      <c r="M72" s="2"/>
      <c r="N72" s="7">
        <f t="shared" si="42"/>
        <v>0</v>
      </c>
      <c r="O72" s="11"/>
      <c r="P72" s="6">
        <v>236.68</v>
      </c>
      <c r="Q72" s="2"/>
      <c r="R72" s="7">
        <f t="shared" si="43"/>
        <v>3.3888290894477402E-5</v>
      </c>
      <c r="S72" s="2"/>
      <c r="T72" s="6">
        <v>938.48</v>
      </c>
      <c r="U72" s="2"/>
      <c r="V72" s="7">
        <f t="shared" si="44"/>
        <v>1.0495136456271706E-4</v>
      </c>
      <c r="W72" s="2"/>
      <c r="X72" s="6">
        <f t="shared" si="45"/>
        <v>-701.8</v>
      </c>
      <c r="Y72" s="2"/>
      <c r="Z72" s="7">
        <f t="shared" si="46"/>
        <v>-0.74780496121387774</v>
      </c>
    </row>
    <row r="73" spans="1:26" s="25" customFormat="1" outlineLevel="1" collapsed="1" x14ac:dyDescent="0.25">
      <c r="A73" s="26"/>
      <c r="B73" s="13" t="str">
        <f>CONCATENATE("     ","Employees' Appreciation                           ")</f>
        <v xml:space="preserve">     Employees' Appreciation                           </v>
      </c>
      <c r="C73" s="13"/>
      <c r="D73" s="1">
        <f>SUM(OSRRefD22_8x_0)</f>
        <v>0</v>
      </c>
      <c r="E73" s="1"/>
      <c r="F73" s="5">
        <f t="shared" si="39"/>
        <v>0</v>
      </c>
      <c r="G73" s="1"/>
      <c r="H73" s="1">
        <f>SUM(OSRRefH22_8x_0)</f>
        <v>183.27</v>
      </c>
      <c r="I73" s="1"/>
      <c r="J73" s="5">
        <f t="shared" si="40"/>
        <v>1.4585549428383269E-4</v>
      </c>
      <c r="K73" s="1"/>
      <c r="L73" s="1">
        <f t="shared" si="41"/>
        <v>-183.27</v>
      </c>
      <c r="M73" s="1"/>
      <c r="N73" s="5">
        <f t="shared" si="42"/>
        <v>-1</v>
      </c>
      <c r="O73" s="13"/>
      <c r="P73" s="1">
        <f>SUM(OSRRefP22_8x_0)</f>
        <v>1836.65</v>
      </c>
      <c r="Q73" s="1"/>
      <c r="R73" s="5">
        <f t="shared" si="43"/>
        <v>2.6297502734215787E-4</v>
      </c>
      <c r="S73" s="1"/>
      <c r="T73" s="1">
        <f>SUM(OSRRefT22_8x_0)</f>
        <v>3270.12</v>
      </c>
      <c r="U73" s="1"/>
      <c r="V73" s="5">
        <f t="shared" si="44"/>
        <v>3.6570151338742677E-4</v>
      </c>
      <c r="W73" s="1"/>
      <c r="X73" s="1">
        <f t="shared" si="45"/>
        <v>-1433.4699999999998</v>
      </c>
      <c r="Y73" s="1"/>
      <c r="Z73" s="5">
        <f t="shared" si="46"/>
        <v>-0.43835394419776641</v>
      </c>
    </row>
    <row r="74" spans="1:26" s="24" customFormat="1" hidden="1" outlineLevel="2" x14ac:dyDescent="0.25">
      <c r="A74" s="27"/>
      <c r="B74" s="11" t="str">
        <f>CONCATENATE("          ", "6277", " - ", "EMPLOYEE APPRECIATION")</f>
        <v xml:space="preserve">          6277 - EMPLOYEE APPRECIATION</v>
      </c>
      <c r="C74" s="11"/>
      <c r="D74" s="6"/>
      <c r="E74" s="2"/>
      <c r="F74" s="7">
        <f t="shared" si="39"/>
        <v>0</v>
      </c>
      <c r="G74" s="2"/>
      <c r="H74" s="6">
        <v>183.27</v>
      </c>
      <c r="I74" s="2"/>
      <c r="J74" s="7">
        <f t="shared" si="40"/>
        <v>1.4585549428383269E-4</v>
      </c>
      <c r="K74" s="2"/>
      <c r="L74" s="6">
        <f t="shared" si="41"/>
        <v>-183.27</v>
      </c>
      <c r="M74" s="2"/>
      <c r="N74" s="7">
        <f t="shared" si="42"/>
        <v>-1</v>
      </c>
      <c r="O74" s="11"/>
      <c r="P74" s="6">
        <v>1836.65</v>
      </c>
      <c r="Q74" s="2"/>
      <c r="R74" s="7">
        <f t="shared" si="43"/>
        <v>2.6297502734215787E-4</v>
      </c>
      <c r="S74" s="2"/>
      <c r="T74" s="6">
        <v>3270.12</v>
      </c>
      <c r="U74" s="2"/>
      <c r="V74" s="7">
        <f t="shared" si="44"/>
        <v>3.6570151338742677E-4</v>
      </c>
      <c r="W74" s="2"/>
      <c r="X74" s="6">
        <f t="shared" si="45"/>
        <v>-1433.4699999999998</v>
      </c>
      <c r="Y74" s="2"/>
      <c r="Z74" s="7">
        <f t="shared" si="46"/>
        <v>-0.43835394419776641</v>
      </c>
    </row>
    <row r="75" spans="1:26" s="25" customFormat="1" outlineLevel="1" collapsed="1" x14ac:dyDescent="0.25">
      <c r="A75" s="26"/>
      <c r="B75" s="13" t="str">
        <f>CONCATENATE("     ","Equipment Rental                                  ")</f>
        <v xml:space="preserve">     Equipment Rental                                  </v>
      </c>
      <c r="C75" s="13"/>
      <c r="D75" s="1">
        <f>SUM(OSRRefD22_9x_0)</f>
        <v>1292.8</v>
      </c>
      <c r="E75" s="1"/>
      <c r="F75" s="5">
        <f t="shared" si="39"/>
        <v>28.532332818362395</v>
      </c>
      <c r="G75" s="1"/>
      <c r="H75" s="1">
        <f>SUM(OSRRefH22_9x_0)</f>
        <v>2067.6999999999998</v>
      </c>
      <c r="I75" s="1"/>
      <c r="J75" s="5">
        <f t="shared" si="40"/>
        <v>1.645579775908118E-3</v>
      </c>
      <c r="K75" s="1"/>
      <c r="L75" s="1">
        <f t="shared" si="41"/>
        <v>-774.89999999999986</v>
      </c>
      <c r="M75" s="1"/>
      <c r="N75" s="5">
        <f t="shared" si="42"/>
        <v>-0.37476423078783183</v>
      </c>
      <c r="O75" s="13"/>
      <c r="P75" s="1">
        <f>SUM(OSRRefP22_9x_0)</f>
        <v>26045.57</v>
      </c>
      <c r="Q75" s="1"/>
      <c r="R75" s="5">
        <f t="shared" si="43"/>
        <v>3.7292540674010214E-3</v>
      </c>
      <c r="S75" s="1"/>
      <c r="T75" s="1">
        <f>SUM(OSRRefT22_9x_0)</f>
        <v>17868.2</v>
      </c>
      <c r="U75" s="1"/>
      <c r="V75" s="5">
        <f t="shared" si="44"/>
        <v>1.9982226283773133E-3</v>
      </c>
      <c r="W75" s="1"/>
      <c r="X75" s="1">
        <f t="shared" si="45"/>
        <v>8177.369999999999</v>
      </c>
      <c r="Y75" s="1"/>
      <c r="Z75" s="5">
        <f t="shared" si="46"/>
        <v>0.45764934352648834</v>
      </c>
    </row>
    <row r="76" spans="1:26" s="24" customFormat="1" hidden="1" outlineLevel="2" x14ac:dyDescent="0.25">
      <c r="A76" s="27"/>
      <c r="B76" s="11" t="str">
        <f>CONCATENATE("          ", "6351", " - ", "EQUIPMENT RENTAL")</f>
        <v xml:space="preserve">          6351 - EQUIPMENT RENTAL</v>
      </c>
      <c r="C76" s="11"/>
      <c r="D76" s="6">
        <v>1292.8</v>
      </c>
      <c r="E76" s="2"/>
      <c r="F76" s="7">
        <f t="shared" si="39"/>
        <v>28.532332818362395</v>
      </c>
      <c r="G76" s="2"/>
      <c r="H76" s="6">
        <v>2067.6999999999998</v>
      </c>
      <c r="I76" s="2"/>
      <c r="J76" s="7">
        <f t="shared" si="40"/>
        <v>1.645579775908118E-3</v>
      </c>
      <c r="K76" s="2"/>
      <c r="L76" s="6">
        <f t="shared" si="41"/>
        <v>-774.89999999999986</v>
      </c>
      <c r="M76" s="2"/>
      <c r="N76" s="7">
        <f t="shared" si="42"/>
        <v>-0.37476423078783183</v>
      </c>
      <c r="O76" s="11"/>
      <c r="P76" s="6">
        <v>26045.57</v>
      </c>
      <c r="Q76" s="2"/>
      <c r="R76" s="7">
        <f t="shared" si="43"/>
        <v>3.7292540674010214E-3</v>
      </c>
      <c r="S76" s="2"/>
      <c r="T76" s="6">
        <v>17868.2</v>
      </c>
      <c r="U76" s="2"/>
      <c r="V76" s="7">
        <f t="shared" si="44"/>
        <v>1.9982226283773133E-3</v>
      </c>
      <c r="W76" s="2"/>
      <c r="X76" s="6">
        <f t="shared" si="45"/>
        <v>8177.369999999999</v>
      </c>
      <c r="Y76" s="2"/>
      <c r="Z76" s="7">
        <f t="shared" si="46"/>
        <v>0.45764934352648834</v>
      </c>
    </row>
    <row r="77" spans="1:26" s="25" customFormat="1" outlineLevel="1" collapsed="1" x14ac:dyDescent="0.25">
      <c r="A77" s="26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SUM(OSRRefD22_10x_0)</f>
        <v>20.010000000000002</v>
      </c>
      <c r="E77" s="1"/>
      <c r="F77" s="5">
        <f t="shared" si="39"/>
        <v>0.44162436548223361</v>
      </c>
      <c r="G77" s="1"/>
      <c r="H77" s="1">
        <f>SUM(OSRRefH22_10x_0)</f>
        <v>34.24</v>
      </c>
      <c r="I77" s="1"/>
      <c r="J77" s="5">
        <f t="shared" si="40"/>
        <v>2.7249916103445361E-5</v>
      </c>
      <c r="K77" s="1"/>
      <c r="L77" s="1">
        <f t="shared" si="41"/>
        <v>-14.23</v>
      </c>
      <c r="M77" s="1"/>
      <c r="N77" s="5">
        <f t="shared" si="42"/>
        <v>-0.41559579439252337</v>
      </c>
      <c r="O77" s="13"/>
      <c r="P77" s="1">
        <f>SUM(OSRRefP22_10x_0)</f>
        <v>331.18</v>
      </c>
      <c r="Q77" s="1"/>
      <c r="R77" s="5">
        <f t="shared" si="43"/>
        <v>4.7418979966338626E-5</v>
      </c>
      <c r="S77" s="1"/>
      <c r="T77" s="1">
        <f>SUM(OSRRefT22_10x_0)</f>
        <v>510.49</v>
      </c>
      <c r="U77" s="1"/>
      <c r="V77" s="5">
        <f t="shared" si="44"/>
        <v>5.7088720159855753E-5</v>
      </c>
      <c r="W77" s="1"/>
      <c r="X77" s="1">
        <f t="shared" si="45"/>
        <v>-179.31</v>
      </c>
      <c r="Y77" s="1"/>
      <c r="Z77" s="5">
        <f t="shared" si="46"/>
        <v>-0.35125075907461456</v>
      </c>
    </row>
    <row r="78" spans="1:26" s="24" customFormat="1" hidden="1" outlineLevel="2" x14ac:dyDescent="0.25">
      <c r="A78" s="27"/>
      <c r="B78" s="11" t="str">
        <f>CONCATENATE("          ", "6305", " - ", "FREIGHT OUT")</f>
        <v xml:space="preserve">          6305 - FREIGHT OUT</v>
      </c>
      <c r="C78" s="11"/>
      <c r="D78" s="6">
        <v>20.010000000000002</v>
      </c>
      <c r="E78" s="2"/>
      <c r="F78" s="7">
        <f t="shared" si="39"/>
        <v>0.44162436548223361</v>
      </c>
      <c r="G78" s="2"/>
      <c r="H78" s="6">
        <v>34.24</v>
      </c>
      <c r="I78" s="2"/>
      <c r="J78" s="7">
        <f t="shared" si="40"/>
        <v>2.7249916103445361E-5</v>
      </c>
      <c r="K78" s="2"/>
      <c r="L78" s="6">
        <f t="shared" si="41"/>
        <v>-14.23</v>
      </c>
      <c r="M78" s="2"/>
      <c r="N78" s="7">
        <f t="shared" si="42"/>
        <v>-0.41559579439252337</v>
      </c>
      <c r="O78" s="11"/>
      <c r="P78" s="6">
        <v>331.18</v>
      </c>
      <c r="Q78" s="2"/>
      <c r="R78" s="7">
        <f t="shared" si="43"/>
        <v>4.7418979966338626E-5</v>
      </c>
      <c r="S78" s="2"/>
      <c r="T78" s="6">
        <v>509.41</v>
      </c>
      <c r="U78" s="2"/>
      <c r="V78" s="7">
        <f t="shared" si="44"/>
        <v>5.6967942440855098E-5</v>
      </c>
      <c r="W78" s="2"/>
      <c r="X78" s="6">
        <f t="shared" si="45"/>
        <v>-178.23000000000002</v>
      </c>
      <c r="Y78" s="2"/>
      <c r="Z78" s="7">
        <f t="shared" si="46"/>
        <v>-0.34987534598849651</v>
      </c>
    </row>
    <row r="79" spans="1:26" s="24" customFormat="1" hidden="1" outlineLevel="2" x14ac:dyDescent="0.25">
      <c r="A79" s="27"/>
      <c r="B79" s="11" t="str">
        <f>CONCATENATE("          ", "6307", " - ", "POSTAGE")</f>
        <v xml:space="preserve">          6307 - POSTAGE</v>
      </c>
      <c r="C79" s="11"/>
      <c r="D79" s="6"/>
      <c r="E79" s="2"/>
      <c r="F79" s="7">
        <f t="shared" si="39"/>
        <v>0</v>
      </c>
      <c r="G79" s="2"/>
      <c r="H79" s="6"/>
      <c r="I79" s="2"/>
      <c r="J79" s="7">
        <f t="shared" si="40"/>
        <v>0</v>
      </c>
      <c r="K79" s="2"/>
      <c r="L79" s="6">
        <f t="shared" si="41"/>
        <v>0</v>
      </c>
      <c r="M79" s="2"/>
      <c r="N79" s="7">
        <f t="shared" si="42"/>
        <v>0</v>
      </c>
      <c r="O79" s="11"/>
      <c r="P79" s="6"/>
      <c r="Q79" s="2"/>
      <c r="R79" s="7">
        <f t="shared" si="43"/>
        <v>0</v>
      </c>
      <c r="S79" s="2"/>
      <c r="T79" s="6">
        <v>1.08</v>
      </c>
      <c r="U79" s="2"/>
      <c r="V79" s="7">
        <f t="shared" si="44"/>
        <v>1.2077771900065469E-7</v>
      </c>
      <c r="W79" s="2"/>
      <c r="X79" s="6">
        <f t="shared" si="45"/>
        <v>-1.08</v>
      </c>
      <c r="Y79" s="2"/>
      <c r="Z79" s="7">
        <f t="shared" si="46"/>
        <v>-1</v>
      </c>
    </row>
    <row r="80" spans="1:26" s="25" customFormat="1" outlineLevel="1" collapsed="1" x14ac:dyDescent="0.25">
      <c r="A80" s="26"/>
      <c r="B80" s="13" t="str">
        <f>CONCATENATE("     ","General                                           ")</f>
        <v xml:space="preserve">     General                                           </v>
      </c>
      <c r="C80" s="13"/>
      <c r="D80" s="1">
        <f>SUM(OSRRefD22_11x_0)</f>
        <v>519.42999999999995</v>
      </c>
      <c r="E80" s="1"/>
      <c r="F80" s="5">
        <f t="shared" ref="F80:F82" si="47">IF(D$12=0,0,D80/D$12)</f>
        <v>11.46391525049658</v>
      </c>
      <c r="G80" s="1"/>
      <c r="H80" s="1">
        <f>SUM(OSRRefH22_11x_0)</f>
        <v>6936.05</v>
      </c>
      <c r="I80" s="1"/>
      <c r="J80" s="5">
        <f t="shared" ref="J80:J82" si="48">IF(H$12=0,0,H80/H$12)</f>
        <v>5.5200578443137319E-3</v>
      </c>
      <c r="K80" s="1"/>
      <c r="L80" s="1">
        <f t="shared" ref="L80:L82" si="49">+D80-H80</f>
        <v>-6416.62</v>
      </c>
      <c r="M80" s="1"/>
      <c r="N80" s="5">
        <f t="shared" ref="N80:N82" si="50">IF(H80=0,0,L80/H80)</f>
        <v>-0.92511155484749963</v>
      </c>
      <c r="O80" s="13"/>
      <c r="P80" s="1">
        <f>SUM(OSRRefP22_11x_0)</f>
        <v>95568.49</v>
      </c>
      <c r="Q80" s="1"/>
      <c r="R80" s="5">
        <f t="shared" ref="R80:R82" si="51">IF(P$12=0,0,P80/P$12)</f>
        <v>1.3683677494786018E-2</v>
      </c>
      <c r="S80" s="1"/>
      <c r="T80" s="1">
        <f>SUM(OSRRefT22_11x_0)</f>
        <v>65607.64</v>
      </c>
      <c r="U80" s="1"/>
      <c r="V80" s="5">
        <f t="shared" ref="V80:V82" si="52">IF(T$12=0,0,T80/T$12)</f>
        <v>7.3369825076075122E-3</v>
      </c>
      <c r="W80" s="1"/>
      <c r="X80" s="1">
        <f t="shared" ref="X80:X82" si="53">+P80-T80</f>
        <v>29960.850000000006</v>
      </c>
      <c r="Y80" s="1"/>
      <c r="Z80" s="5">
        <f t="shared" ref="Z80:Z82" si="54">IF(T80=0,0,X80/T80)</f>
        <v>0.45666708938166356</v>
      </c>
    </row>
    <row r="81" spans="1:26" s="24" customFormat="1" hidden="1" outlineLevel="2" x14ac:dyDescent="0.25">
      <c r="A81" s="27"/>
      <c r="B81" s="11" t="str">
        <f>CONCATENATE("          ", "6269", " - ", "ENTERTAINMENT")</f>
        <v xml:space="preserve">          6269 - ENTERTAINMENT</v>
      </c>
      <c r="C81" s="11"/>
      <c r="D81" s="6"/>
      <c r="E81" s="2"/>
      <c r="F81" s="7">
        <f t="shared" si="47"/>
        <v>0</v>
      </c>
      <c r="G81" s="2"/>
      <c r="H81" s="6">
        <v>1700</v>
      </c>
      <c r="I81" s="2"/>
      <c r="J81" s="7">
        <f t="shared" si="48"/>
        <v>1.3529456009304063E-3</v>
      </c>
      <c r="K81" s="2"/>
      <c r="L81" s="6">
        <f t="shared" si="49"/>
        <v>-1700</v>
      </c>
      <c r="M81" s="2"/>
      <c r="N81" s="7">
        <f t="shared" si="50"/>
        <v>-1</v>
      </c>
      <c r="O81" s="11"/>
      <c r="P81" s="6">
        <v>10050</v>
      </c>
      <c r="Q81" s="2"/>
      <c r="R81" s="7">
        <f t="shared" si="51"/>
        <v>1.4389780441503206E-3</v>
      </c>
      <c r="S81" s="2"/>
      <c r="T81" s="6">
        <v>10660</v>
      </c>
      <c r="U81" s="2"/>
      <c r="V81" s="7">
        <f t="shared" si="52"/>
        <v>1.1921208190249805E-3</v>
      </c>
      <c r="W81" s="2"/>
      <c r="X81" s="6">
        <f t="shared" si="53"/>
        <v>-610</v>
      </c>
      <c r="Y81" s="2"/>
      <c r="Z81" s="7">
        <f t="shared" si="54"/>
        <v>-5.7223264540337708E-2</v>
      </c>
    </row>
    <row r="82" spans="1:26" s="24" customFormat="1" hidden="1" outlineLevel="2" x14ac:dyDescent="0.25">
      <c r="A82" s="27"/>
      <c r="B82" s="11" t="str">
        <f>CONCATENATE("          ", "6279", " - ", "GENERAL EXPENSE")</f>
        <v xml:space="preserve">          6279 - GENERAL EXPENSE</v>
      </c>
      <c r="C82" s="11"/>
      <c r="D82" s="6">
        <v>519.42999999999995</v>
      </c>
      <c r="E82" s="2"/>
      <c r="F82" s="7">
        <f t="shared" si="47"/>
        <v>11.46391525049658</v>
      </c>
      <c r="G82" s="2"/>
      <c r="H82" s="6">
        <v>5236.05</v>
      </c>
      <c r="I82" s="2"/>
      <c r="J82" s="7">
        <f t="shared" si="48"/>
        <v>4.1671122433833254E-3</v>
      </c>
      <c r="K82" s="2"/>
      <c r="L82" s="6">
        <f t="shared" si="49"/>
        <v>-4716.62</v>
      </c>
      <c r="M82" s="2"/>
      <c r="N82" s="7">
        <f t="shared" si="50"/>
        <v>-0.90079735678612693</v>
      </c>
      <c r="O82" s="11"/>
      <c r="P82" s="6">
        <v>85518.49</v>
      </c>
      <c r="Q82" s="2"/>
      <c r="R82" s="7">
        <f t="shared" si="51"/>
        <v>1.2244699450635697E-2</v>
      </c>
      <c r="S82" s="2"/>
      <c r="T82" s="6">
        <v>54947.64</v>
      </c>
      <c r="U82" s="2"/>
      <c r="V82" s="7">
        <f t="shared" si="52"/>
        <v>6.144861688582531E-3</v>
      </c>
      <c r="W82" s="2"/>
      <c r="X82" s="6">
        <f t="shared" si="53"/>
        <v>30570.850000000006</v>
      </c>
      <c r="Y82" s="2"/>
      <c r="Z82" s="7">
        <f t="shared" si="54"/>
        <v>0.55636329421973363</v>
      </c>
    </row>
    <row r="83" spans="1:26" s="25" customFormat="1" outlineLevel="1" collapsed="1" x14ac:dyDescent="0.25">
      <c r="A83" s="26"/>
      <c r="B83" s="13" t="str">
        <f>CONCATENATE("     ","Insurance                                         ")</f>
        <v xml:space="preserve">     Insurance                                         </v>
      </c>
      <c r="C83" s="13"/>
      <c r="D83" s="1">
        <f>SUM(OSRRefD22_12x_0)</f>
        <v>4483.67</v>
      </c>
      <c r="E83" s="1"/>
      <c r="F83" s="5">
        <f t="shared" ref="F83:F95" si="55">IF(D$12=0,0,D83/D$12)</f>
        <v>98.955418229971315</v>
      </c>
      <c r="G83" s="1"/>
      <c r="H83" s="1">
        <f>SUM(OSRRefH22_12x_0)</f>
        <v>4222.62</v>
      </c>
      <c r="I83" s="1"/>
      <c r="J83" s="5">
        <f t="shared" ref="J83:J95" si="56">IF(H$12=0,0,H83/H$12)</f>
        <v>3.3605736196475012E-3</v>
      </c>
      <c r="K83" s="1"/>
      <c r="L83" s="1">
        <f t="shared" ref="L83:L95" si="57">+D83-H83</f>
        <v>261.05000000000018</v>
      </c>
      <c r="M83" s="1"/>
      <c r="N83" s="5">
        <f t="shared" ref="N83:N95" si="58">IF(H83=0,0,L83/H83)</f>
        <v>6.1821807313942573E-2</v>
      </c>
      <c r="O83" s="13"/>
      <c r="P83" s="1">
        <f>SUM(OSRRefP22_12x_0)</f>
        <v>50597.7</v>
      </c>
      <c r="Q83" s="1"/>
      <c r="R83" s="5">
        <f t="shared" ref="R83:R95" si="59">IF(P$12=0,0,P83/P$12)</f>
        <v>7.2446745656223549E-3</v>
      </c>
      <c r="S83" s="1"/>
      <c r="T83" s="1">
        <f>SUM(OSRRefT22_12x_0)</f>
        <v>39301.5</v>
      </c>
      <c r="U83" s="1"/>
      <c r="V83" s="5">
        <f t="shared" ref="V83:V95" si="60">IF(T$12=0,0,T83/T$12)</f>
        <v>4.3951347438002135E-3</v>
      </c>
      <c r="W83" s="1"/>
      <c r="X83" s="1">
        <f t="shared" ref="X83:X95" si="61">+P83-T83</f>
        <v>11296.199999999997</v>
      </c>
      <c r="Y83" s="1"/>
      <c r="Z83" s="5">
        <f t="shared" ref="Z83:Z95" si="62">IF(T83=0,0,X83/T83)</f>
        <v>0.28742414411663669</v>
      </c>
    </row>
    <row r="84" spans="1:26" s="24" customFormat="1" hidden="1" outlineLevel="2" x14ac:dyDescent="0.25">
      <c r="A84" s="27"/>
      <c r="B84" s="11" t="str">
        <f>CONCATENATE("          ", "6314", " - ", "LIABILITY INSURANCE")</f>
        <v xml:space="preserve">          6314 - LIABILITY INSURANCE</v>
      </c>
      <c r="C84" s="11"/>
      <c r="D84" s="6">
        <v>4483.67</v>
      </c>
      <c r="E84" s="2"/>
      <c r="F84" s="7">
        <f t="shared" si="55"/>
        <v>98.955418229971315</v>
      </c>
      <c r="G84" s="2"/>
      <c r="H84" s="6">
        <v>4222.62</v>
      </c>
      <c r="I84" s="2"/>
      <c r="J84" s="7">
        <f t="shared" si="56"/>
        <v>3.3605736196475012E-3</v>
      </c>
      <c r="K84" s="2"/>
      <c r="L84" s="6">
        <f t="shared" si="57"/>
        <v>261.05000000000018</v>
      </c>
      <c r="M84" s="2"/>
      <c r="N84" s="7">
        <f t="shared" si="58"/>
        <v>6.1821807313942573E-2</v>
      </c>
      <c r="O84" s="11"/>
      <c r="P84" s="6">
        <v>50597.7</v>
      </c>
      <c r="Q84" s="2"/>
      <c r="R84" s="7">
        <f t="shared" si="59"/>
        <v>7.2446745656223549E-3</v>
      </c>
      <c r="S84" s="2"/>
      <c r="T84" s="6">
        <v>39301.5</v>
      </c>
      <c r="U84" s="2"/>
      <c r="V84" s="7">
        <f t="shared" si="60"/>
        <v>4.3951347438002135E-3</v>
      </c>
      <c r="W84" s="2"/>
      <c r="X84" s="6">
        <f t="shared" si="61"/>
        <v>11296.199999999997</v>
      </c>
      <c r="Y84" s="2"/>
      <c r="Z84" s="7">
        <f t="shared" si="62"/>
        <v>0.28742414411663669</v>
      </c>
    </row>
    <row r="85" spans="1:26" s="25" customFormat="1" outlineLevel="1" collapsed="1" x14ac:dyDescent="0.25">
      <c r="A85" s="26"/>
      <c r="B85" s="13" t="str">
        <f>CONCATENATE("     ","Interest                                          ")</f>
        <v xml:space="preserve">     Interest                                          </v>
      </c>
      <c r="C85" s="13"/>
      <c r="D85" s="1">
        <f>SUM(OSRRefD22_13x_0)</f>
        <v>8928.0499999999993</v>
      </c>
      <c r="E85" s="1"/>
      <c r="F85" s="5">
        <f t="shared" si="55"/>
        <v>197.0436989627014</v>
      </c>
      <c r="G85" s="1"/>
      <c r="H85" s="1">
        <f>SUM(OSRRefH22_13x_0)</f>
        <v>10430</v>
      </c>
      <c r="I85" s="1"/>
      <c r="J85" s="5">
        <f t="shared" si="56"/>
        <v>8.300719186884787E-3</v>
      </c>
      <c r="K85" s="1"/>
      <c r="L85" s="1">
        <f t="shared" si="57"/>
        <v>-1501.9500000000007</v>
      </c>
      <c r="M85" s="1"/>
      <c r="N85" s="5">
        <f t="shared" si="58"/>
        <v>-0.14400287631831263</v>
      </c>
      <c r="O85" s="13"/>
      <c r="P85" s="1">
        <f>SUM(OSRRefP22_13x_0)</f>
        <v>115690.05</v>
      </c>
      <c r="Q85" s="1"/>
      <c r="R85" s="5">
        <f t="shared" si="59"/>
        <v>1.6564720584741573E-2</v>
      </c>
      <c r="S85" s="1"/>
      <c r="T85" s="1">
        <f>SUM(OSRRefT22_13x_0)</f>
        <v>119876</v>
      </c>
      <c r="U85" s="1"/>
      <c r="V85" s="5">
        <f t="shared" si="60"/>
        <v>1.3405879484187483E-2</v>
      </c>
      <c r="W85" s="1"/>
      <c r="X85" s="1">
        <f t="shared" si="61"/>
        <v>-4185.9499999999971</v>
      </c>
      <c r="Y85" s="1"/>
      <c r="Z85" s="5">
        <f t="shared" si="62"/>
        <v>-3.4918999632954029E-2</v>
      </c>
    </row>
    <row r="86" spans="1:26" s="24" customFormat="1" hidden="1" outlineLevel="2" x14ac:dyDescent="0.25">
      <c r="A86" s="27"/>
      <c r="B86" s="11" t="str">
        <f>CONCATENATE("          ", "6401", " - ", "INTEREST EXPENSE")</f>
        <v xml:space="preserve">          6401 - INTEREST EXPENSE</v>
      </c>
      <c r="C86" s="11"/>
      <c r="D86" s="6">
        <v>8928.0499999999993</v>
      </c>
      <c r="E86" s="2"/>
      <c r="F86" s="7">
        <f t="shared" si="55"/>
        <v>197.0436989627014</v>
      </c>
      <c r="G86" s="2"/>
      <c r="H86" s="6">
        <v>10430</v>
      </c>
      <c r="I86" s="2"/>
      <c r="J86" s="7">
        <f t="shared" si="56"/>
        <v>8.300719186884787E-3</v>
      </c>
      <c r="K86" s="2"/>
      <c r="L86" s="6">
        <f t="shared" si="57"/>
        <v>-1501.9500000000007</v>
      </c>
      <c r="M86" s="2"/>
      <c r="N86" s="7">
        <f t="shared" si="58"/>
        <v>-0.14400287631831263</v>
      </c>
      <c r="O86" s="11"/>
      <c r="P86" s="6">
        <v>115690.05</v>
      </c>
      <c r="Q86" s="2"/>
      <c r="R86" s="7">
        <f t="shared" si="59"/>
        <v>1.6564720584741573E-2</v>
      </c>
      <c r="S86" s="2"/>
      <c r="T86" s="6">
        <v>119876</v>
      </c>
      <c r="U86" s="2"/>
      <c r="V86" s="7">
        <f t="shared" si="60"/>
        <v>1.3405879484187483E-2</v>
      </c>
      <c r="W86" s="2"/>
      <c r="X86" s="6">
        <f t="shared" si="61"/>
        <v>-4185.9499999999971</v>
      </c>
      <c r="Y86" s="2"/>
      <c r="Z86" s="7">
        <f t="shared" si="62"/>
        <v>-3.4918999632954029E-2</v>
      </c>
    </row>
    <row r="87" spans="1:26" s="25" customFormat="1" outlineLevel="1" collapsed="1" x14ac:dyDescent="0.25">
      <c r="A87" s="26"/>
      <c r="B87" s="13" t="str">
        <f>CONCATENATE("     ","Professional Services                             ")</f>
        <v xml:space="preserve">     Professional Services                             </v>
      </c>
      <c r="C87" s="13"/>
      <c r="D87" s="1">
        <f>SUM(OSRRefD22_14x_0)</f>
        <v>0</v>
      </c>
      <c r="E87" s="1"/>
      <c r="F87" s="5">
        <f t="shared" si="55"/>
        <v>0</v>
      </c>
      <c r="G87" s="1"/>
      <c r="H87" s="1">
        <f>SUM(OSRRefH22_14x_0)</f>
        <v>0</v>
      </c>
      <c r="I87" s="1"/>
      <c r="J87" s="5">
        <f t="shared" si="56"/>
        <v>0</v>
      </c>
      <c r="K87" s="1"/>
      <c r="L87" s="1">
        <f t="shared" si="57"/>
        <v>0</v>
      </c>
      <c r="M87" s="1"/>
      <c r="N87" s="5">
        <f t="shared" si="58"/>
        <v>0</v>
      </c>
      <c r="O87" s="13"/>
      <c r="P87" s="1">
        <f>SUM(OSRRefP22_14x_0)</f>
        <v>125</v>
      </c>
      <c r="Q87" s="1"/>
      <c r="R87" s="5">
        <f t="shared" si="59"/>
        <v>1.78977368675413E-5</v>
      </c>
      <c r="S87" s="1"/>
      <c r="T87" s="1">
        <f>SUM(OSRRefT22_14x_0)</f>
        <v>0</v>
      </c>
      <c r="U87" s="1"/>
      <c r="V87" s="5">
        <f t="shared" si="60"/>
        <v>0</v>
      </c>
      <c r="W87" s="1"/>
      <c r="X87" s="1">
        <f t="shared" si="61"/>
        <v>125</v>
      </c>
      <c r="Y87" s="1"/>
      <c r="Z87" s="5">
        <f t="shared" si="62"/>
        <v>0</v>
      </c>
    </row>
    <row r="88" spans="1:26" s="24" customFormat="1" hidden="1" outlineLevel="2" x14ac:dyDescent="0.25">
      <c r="A88" s="27"/>
      <c r="B88" s="11" t="str">
        <f>CONCATENATE("          ", "6336", " - ", "PROFESSIONAL SERVICES")</f>
        <v xml:space="preserve">          6336 - PROFESSIONAL SERVICES</v>
      </c>
      <c r="C88" s="11"/>
      <c r="D88" s="6"/>
      <c r="E88" s="2"/>
      <c r="F88" s="7">
        <f t="shared" si="55"/>
        <v>0</v>
      </c>
      <c r="G88" s="2"/>
      <c r="H88" s="6"/>
      <c r="I88" s="2"/>
      <c r="J88" s="7">
        <f t="shared" si="56"/>
        <v>0</v>
      </c>
      <c r="K88" s="2"/>
      <c r="L88" s="6">
        <f t="shared" si="57"/>
        <v>0</v>
      </c>
      <c r="M88" s="2"/>
      <c r="N88" s="7">
        <f t="shared" si="58"/>
        <v>0</v>
      </c>
      <c r="O88" s="11"/>
      <c r="P88" s="6">
        <v>125</v>
      </c>
      <c r="Q88" s="2"/>
      <c r="R88" s="7">
        <f t="shared" si="59"/>
        <v>1.78977368675413E-5</v>
      </c>
      <c r="S88" s="2"/>
      <c r="T88" s="6"/>
      <c r="U88" s="2"/>
      <c r="V88" s="7">
        <f t="shared" si="60"/>
        <v>0</v>
      </c>
      <c r="W88" s="2"/>
      <c r="X88" s="6">
        <f t="shared" si="61"/>
        <v>125</v>
      </c>
      <c r="Y88" s="2"/>
      <c r="Z88" s="7">
        <f t="shared" si="62"/>
        <v>0</v>
      </c>
    </row>
    <row r="89" spans="1:26" s="25" customFormat="1" outlineLevel="1" collapsed="1" x14ac:dyDescent="0.25">
      <c r="A89" s="26"/>
      <c r="B89" s="13" t="str">
        <f>CONCATENATE("     ","Rent                                              ")</f>
        <v xml:space="preserve">     Rent                                              </v>
      </c>
      <c r="C89" s="13"/>
      <c r="D89" s="1">
        <f>SUM(OSRRefD22_15x_0)</f>
        <v>3000</v>
      </c>
      <c r="E89" s="1"/>
      <c r="F89" s="5">
        <f t="shared" si="55"/>
        <v>66.210549547561257</v>
      </c>
      <c r="G89" s="1"/>
      <c r="H89" s="1">
        <f>SUM(OSRRefH22_15x_0)</f>
        <v>3000</v>
      </c>
      <c r="I89" s="1"/>
      <c r="J89" s="5">
        <f t="shared" si="56"/>
        <v>2.3875510604654229E-3</v>
      </c>
      <c r="K89" s="1"/>
      <c r="L89" s="1">
        <f t="shared" si="57"/>
        <v>0</v>
      </c>
      <c r="M89" s="1"/>
      <c r="N89" s="5">
        <f t="shared" si="58"/>
        <v>0</v>
      </c>
      <c r="O89" s="13"/>
      <c r="P89" s="1">
        <f>SUM(OSRRefP22_15x_0)</f>
        <v>30000</v>
      </c>
      <c r="Q89" s="1"/>
      <c r="R89" s="5">
        <f t="shared" si="59"/>
        <v>4.2954568482099116E-3</v>
      </c>
      <c r="S89" s="1"/>
      <c r="T89" s="1">
        <f>SUM(OSRRefT22_15x_0)</f>
        <v>30000</v>
      </c>
      <c r="U89" s="1"/>
      <c r="V89" s="5">
        <f t="shared" si="60"/>
        <v>3.3549366389070746E-3</v>
      </c>
      <c r="W89" s="1"/>
      <c r="X89" s="1">
        <f t="shared" si="61"/>
        <v>0</v>
      </c>
      <c r="Y89" s="1"/>
      <c r="Z89" s="5">
        <f t="shared" si="62"/>
        <v>0</v>
      </c>
    </row>
    <row r="90" spans="1:26" s="24" customFormat="1" hidden="1" outlineLevel="2" x14ac:dyDescent="0.25">
      <c r="A90" s="27"/>
      <c r="B90" s="11" t="str">
        <f>CONCATENATE("          ", "6273", " - ", "RENT")</f>
        <v xml:space="preserve">          6273 - RENT</v>
      </c>
      <c r="C90" s="11"/>
      <c r="D90" s="6">
        <v>3000</v>
      </c>
      <c r="E90" s="2"/>
      <c r="F90" s="7">
        <f t="shared" si="55"/>
        <v>66.210549547561257</v>
      </c>
      <c r="G90" s="2"/>
      <c r="H90" s="6">
        <v>3000</v>
      </c>
      <c r="I90" s="2"/>
      <c r="J90" s="7">
        <f t="shared" si="56"/>
        <v>2.3875510604654229E-3</v>
      </c>
      <c r="K90" s="2"/>
      <c r="L90" s="6">
        <f t="shared" si="57"/>
        <v>0</v>
      </c>
      <c r="M90" s="2"/>
      <c r="N90" s="7">
        <f t="shared" si="58"/>
        <v>0</v>
      </c>
      <c r="O90" s="11"/>
      <c r="P90" s="6">
        <v>30000</v>
      </c>
      <c r="Q90" s="2"/>
      <c r="R90" s="7">
        <f t="shared" si="59"/>
        <v>4.2954568482099116E-3</v>
      </c>
      <c r="S90" s="2"/>
      <c r="T90" s="6">
        <v>30000</v>
      </c>
      <c r="U90" s="2"/>
      <c r="V90" s="7">
        <f t="shared" si="60"/>
        <v>3.3549366389070746E-3</v>
      </c>
      <c r="W90" s="2"/>
      <c r="X90" s="6">
        <f t="shared" si="61"/>
        <v>0</v>
      </c>
      <c r="Y90" s="2"/>
      <c r="Z90" s="7">
        <f t="shared" si="62"/>
        <v>0</v>
      </c>
    </row>
    <row r="91" spans="1:26" s="25" customFormat="1" outlineLevel="1" collapsed="1" x14ac:dyDescent="0.25">
      <c r="A91" s="26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SUM(OSRRefD22_16x_0)</f>
        <v>16213.880000000001</v>
      </c>
      <c r="E91" s="1"/>
      <c r="F91" s="5">
        <f t="shared" si="55"/>
        <v>357.84330169940415</v>
      </c>
      <c r="G91" s="1"/>
      <c r="H91" s="1">
        <f>SUM(OSRRefH22_16x_0)</f>
        <v>22884</v>
      </c>
      <c r="I91" s="1"/>
      <c r="J91" s="5">
        <f t="shared" si="56"/>
        <v>1.8212239489230245E-2</v>
      </c>
      <c r="K91" s="1"/>
      <c r="L91" s="1">
        <f t="shared" si="57"/>
        <v>-6670.119999999999</v>
      </c>
      <c r="M91" s="1"/>
      <c r="N91" s="5">
        <f t="shared" si="58"/>
        <v>-0.29147526656178985</v>
      </c>
      <c r="O91" s="13"/>
      <c r="P91" s="1">
        <f>SUM(OSRRefP22_16x_0)</f>
        <v>236086.02000000002</v>
      </c>
      <c r="Q91" s="1"/>
      <c r="R91" s="5">
        <f t="shared" si="59"/>
        <v>3.3803243712520747E-2</v>
      </c>
      <c r="S91" s="1"/>
      <c r="T91" s="1">
        <f>SUM(OSRRefT22_16x_0)</f>
        <v>280376.40000000002</v>
      </c>
      <c r="U91" s="1"/>
      <c r="V91" s="5">
        <f t="shared" si="60"/>
        <v>3.1354835234828855E-2</v>
      </c>
      <c r="W91" s="1"/>
      <c r="X91" s="1">
        <f t="shared" si="61"/>
        <v>-44290.380000000005</v>
      </c>
      <c r="Y91" s="1"/>
      <c r="Z91" s="5">
        <f t="shared" si="62"/>
        <v>-0.15796757501701283</v>
      </c>
    </row>
    <row r="92" spans="1:26" s="24" customFormat="1" hidden="1" outlineLevel="2" x14ac:dyDescent="0.25">
      <c r="A92" s="27"/>
      <c r="B92" s="11" t="str">
        <f>CONCATENATE("          ", "6371", " - ", "COMPUTER SOFTWARE MAINTENANCE")</f>
        <v xml:space="preserve">          6371 - COMPUTER SOFTWARE MAINTENANCE</v>
      </c>
      <c r="C92" s="11"/>
      <c r="D92" s="6"/>
      <c r="E92" s="2"/>
      <c r="F92" s="7">
        <f t="shared" si="55"/>
        <v>0</v>
      </c>
      <c r="G92" s="2"/>
      <c r="H92" s="6"/>
      <c r="I92" s="2"/>
      <c r="J92" s="7">
        <f t="shared" si="56"/>
        <v>0</v>
      </c>
      <c r="K92" s="2"/>
      <c r="L92" s="6">
        <f t="shared" si="57"/>
        <v>0</v>
      </c>
      <c r="M92" s="2"/>
      <c r="N92" s="7">
        <f t="shared" si="58"/>
        <v>0</v>
      </c>
      <c r="O92" s="11"/>
      <c r="P92" s="6">
        <v>12244.62</v>
      </c>
      <c r="Q92" s="2"/>
      <c r="R92" s="7">
        <f t="shared" si="59"/>
        <v>1.7532078944242685E-3</v>
      </c>
      <c r="S92" s="2"/>
      <c r="T92" s="6">
        <v>17809.09</v>
      </c>
      <c r="U92" s="2"/>
      <c r="V92" s="7">
        <f t="shared" si="60"/>
        <v>1.9916122848864532E-3</v>
      </c>
      <c r="W92" s="2"/>
      <c r="X92" s="6">
        <f t="shared" si="61"/>
        <v>-5564.4699999999993</v>
      </c>
      <c r="Y92" s="2"/>
      <c r="Z92" s="7">
        <f t="shared" si="62"/>
        <v>-0.31245111344824467</v>
      </c>
    </row>
    <row r="93" spans="1:26" s="24" customFormat="1" hidden="1" outlineLevel="2" x14ac:dyDescent="0.25">
      <c r="A93" s="27"/>
      <c r="B93" s="11" t="str">
        <f>CONCATENATE("          ", "6372", " - ", "COMPUTER HARDWARE MAINTENANCE")</f>
        <v xml:space="preserve">          6372 - COMPUTER HARDWARE MAINTENANCE</v>
      </c>
      <c r="C93" s="11"/>
      <c r="D93" s="6">
        <v>8142.88</v>
      </c>
      <c r="E93" s="2"/>
      <c r="F93" s="7">
        <f t="shared" si="55"/>
        <v>179.71485323328187</v>
      </c>
      <c r="G93" s="2"/>
      <c r="H93" s="6"/>
      <c r="I93" s="2"/>
      <c r="J93" s="7">
        <f t="shared" si="56"/>
        <v>0</v>
      </c>
      <c r="K93" s="2"/>
      <c r="L93" s="6">
        <f t="shared" si="57"/>
        <v>8142.88</v>
      </c>
      <c r="M93" s="2"/>
      <c r="N93" s="7">
        <f t="shared" si="58"/>
        <v>0</v>
      </c>
      <c r="O93" s="11"/>
      <c r="P93" s="6">
        <v>8142.87</v>
      </c>
      <c r="Q93" s="2"/>
      <c r="R93" s="7">
        <f t="shared" si="59"/>
        <v>1.1659115568527683E-3</v>
      </c>
      <c r="S93" s="2"/>
      <c r="T93" s="6">
        <v>880.96</v>
      </c>
      <c r="U93" s="2"/>
      <c r="V93" s="7">
        <f t="shared" si="60"/>
        <v>9.8518832713719221E-5</v>
      </c>
      <c r="W93" s="2"/>
      <c r="X93" s="6">
        <f t="shared" si="61"/>
        <v>7261.91</v>
      </c>
      <c r="Y93" s="2"/>
      <c r="Z93" s="7">
        <f t="shared" si="62"/>
        <v>8.2431778968398106</v>
      </c>
    </row>
    <row r="94" spans="1:26" s="24" customFormat="1" hidden="1" outlineLevel="2" x14ac:dyDescent="0.25">
      <c r="A94" s="27"/>
      <c r="B94" s="11" t="str">
        <f>CONCATENATE("          ", "6373", " - ", "MAINTENANCE CONTRACTS")</f>
        <v xml:space="preserve">          6373 - MAINTENANCE CONTRACTS</v>
      </c>
      <c r="C94" s="11"/>
      <c r="D94" s="6">
        <v>6800.21</v>
      </c>
      <c r="E94" s="2"/>
      <c r="F94" s="7">
        <f t="shared" si="55"/>
        <v>150.08188037960716</v>
      </c>
      <c r="G94" s="2"/>
      <c r="H94" s="6">
        <v>8978.4</v>
      </c>
      <c r="I94" s="2"/>
      <c r="J94" s="7">
        <f t="shared" si="56"/>
        <v>7.1454628137609172E-3</v>
      </c>
      <c r="K94" s="2"/>
      <c r="L94" s="6">
        <f t="shared" si="57"/>
        <v>-2178.1899999999996</v>
      </c>
      <c r="M94" s="2"/>
      <c r="N94" s="7">
        <f t="shared" si="58"/>
        <v>-0.24260335917312659</v>
      </c>
      <c r="O94" s="11"/>
      <c r="P94" s="6">
        <v>87339.99</v>
      </c>
      <c r="Q94" s="2"/>
      <c r="R94" s="7">
        <f t="shared" si="59"/>
        <v>1.2505505272269509E-2</v>
      </c>
      <c r="S94" s="2"/>
      <c r="T94" s="6">
        <v>109737.98000000001</v>
      </c>
      <c r="U94" s="2"/>
      <c r="V94" s="7">
        <f t="shared" si="60"/>
        <v>1.2272132326055061E-2</v>
      </c>
      <c r="W94" s="2"/>
      <c r="X94" s="6">
        <f t="shared" si="61"/>
        <v>-22397.990000000005</v>
      </c>
      <c r="Y94" s="2"/>
      <c r="Z94" s="7">
        <f t="shared" si="62"/>
        <v>-0.20410426727373698</v>
      </c>
    </row>
    <row r="95" spans="1:26" s="24" customFormat="1" hidden="1" outlineLevel="2" x14ac:dyDescent="0.25">
      <c r="A95" s="27"/>
      <c r="B95" s="11" t="str">
        <f>CONCATENATE("          ", "6375", " - ", "OUTSIDE REPAIRS &amp; MAINTENANCE")</f>
        <v xml:space="preserve">          6375 - OUTSIDE REPAIRS &amp; MAINTENANCE</v>
      </c>
      <c r="C95" s="11"/>
      <c r="D95" s="6">
        <v>1270.79</v>
      </c>
      <c r="E95" s="2"/>
      <c r="F95" s="7">
        <f t="shared" si="55"/>
        <v>28.046568086515119</v>
      </c>
      <c r="G95" s="2"/>
      <c r="H95" s="6">
        <v>13905.6</v>
      </c>
      <c r="I95" s="2"/>
      <c r="J95" s="7">
        <f t="shared" si="56"/>
        <v>1.1066776675469328E-2</v>
      </c>
      <c r="K95" s="2"/>
      <c r="L95" s="6">
        <f t="shared" si="57"/>
        <v>-12634.810000000001</v>
      </c>
      <c r="M95" s="2"/>
      <c r="N95" s="7">
        <f t="shared" si="58"/>
        <v>-0.90861307674605918</v>
      </c>
      <c r="O95" s="11"/>
      <c r="P95" s="6">
        <v>128358.54000000001</v>
      </c>
      <c r="Q95" s="2"/>
      <c r="R95" s="7">
        <f t="shared" si="59"/>
        <v>1.8378618988974197E-2</v>
      </c>
      <c r="S95" s="2"/>
      <c r="T95" s="6">
        <v>151948.37</v>
      </c>
      <c r="U95" s="2"/>
      <c r="V95" s="7">
        <f t="shared" si="60"/>
        <v>1.6992571791173618E-2</v>
      </c>
      <c r="W95" s="2"/>
      <c r="X95" s="6">
        <f t="shared" si="61"/>
        <v>-23589.829999999987</v>
      </c>
      <c r="Y95" s="2"/>
      <c r="Z95" s="7">
        <f t="shared" si="62"/>
        <v>-0.15524898358567446</v>
      </c>
    </row>
    <row r="96" spans="1:26" s="25" customFormat="1" outlineLevel="1" collapsed="1" x14ac:dyDescent="0.25">
      <c r="A96" s="26"/>
      <c r="B96" s="13" t="str">
        <f>CONCATENATE("     ","Royalty &amp; Commissions                             ")</f>
        <v xml:space="preserve">     Royalty &amp; Commissions                             </v>
      </c>
      <c r="C96" s="13"/>
      <c r="D96" s="1">
        <f>SUM(OSRRefD22_17x_0)</f>
        <v>0</v>
      </c>
      <c r="E96" s="1"/>
      <c r="F96" s="5">
        <f t="shared" ref="F96:F98" si="63">IF(D$12=0,0,D96/D$12)</f>
        <v>0</v>
      </c>
      <c r="G96" s="1"/>
      <c r="H96" s="1">
        <f>SUM(OSRRefH22_17x_0)</f>
        <v>52962.569999999992</v>
      </c>
      <c r="I96" s="1"/>
      <c r="J96" s="5">
        <f t="shared" ref="J96:J98" si="64">IF(H$12=0,0,H96/H$12)</f>
        <v>4.2150280056158056E-2</v>
      </c>
      <c r="K96" s="1"/>
      <c r="L96" s="1">
        <f t="shared" ref="L96:L98" si="65">+D96-H96</f>
        <v>-52962.569999999992</v>
      </c>
      <c r="M96" s="1"/>
      <c r="N96" s="5">
        <f t="shared" ref="N96:N98" si="66">IF(H96=0,0,L96/H96)</f>
        <v>-1</v>
      </c>
      <c r="O96" s="13"/>
      <c r="P96" s="1">
        <f>SUM(OSRRefP22_17x_0)</f>
        <v>258319.61</v>
      </c>
      <c r="Q96" s="1"/>
      <c r="R96" s="5">
        <f t="shared" ref="R96:R98" si="67">IF(P$12=0,0,P96/P$12)</f>
        <v>3.6986691260047118E-2</v>
      </c>
      <c r="S96" s="1"/>
      <c r="T96" s="1">
        <f>SUM(OSRRefT22_17x_0)</f>
        <v>347973.02</v>
      </c>
      <c r="U96" s="1"/>
      <c r="V96" s="5">
        <f t="shared" ref="V96:V98" si="68">IF(T$12=0,0,T96/T$12)</f>
        <v>3.8914247804971477E-2</v>
      </c>
      <c r="W96" s="1"/>
      <c r="X96" s="1">
        <f t="shared" ref="X96:X98" si="69">+P96-T96</f>
        <v>-89653.410000000033</v>
      </c>
      <c r="Y96" s="1"/>
      <c r="Z96" s="5">
        <f t="shared" ref="Z96:Z98" si="70">IF(T96=0,0,X96/T96)</f>
        <v>-0.25764471624840346</v>
      </c>
    </row>
    <row r="97" spans="1:26" s="24" customFormat="1" hidden="1" outlineLevel="2" x14ac:dyDescent="0.25">
      <c r="A97" s="27"/>
      <c r="B97" s="11" t="str">
        <f>CONCATENATE("          ", "6254", " - ", "ROYALTY &amp; COMMISSIONS")</f>
        <v xml:space="preserve">          6254 - ROYALTY &amp; COMMISSIONS</v>
      </c>
      <c r="C97" s="11"/>
      <c r="D97" s="6"/>
      <c r="E97" s="2"/>
      <c r="F97" s="7">
        <f t="shared" si="63"/>
        <v>0</v>
      </c>
      <c r="G97" s="2"/>
      <c r="H97" s="6">
        <v>35303.449999999997</v>
      </c>
      <c r="I97" s="2"/>
      <c r="J97" s="7">
        <f t="shared" si="64"/>
        <v>2.8096263161862676E-2</v>
      </c>
      <c r="K97" s="2"/>
      <c r="L97" s="6">
        <f t="shared" si="65"/>
        <v>-35303.449999999997</v>
      </c>
      <c r="M97" s="2"/>
      <c r="N97" s="7">
        <f t="shared" si="66"/>
        <v>-1</v>
      </c>
      <c r="O97" s="11"/>
      <c r="P97" s="6">
        <v>153649.65</v>
      </c>
      <c r="Q97" s="2"/>
      <c r="R97" s="7">
        <f t="shared" si="67"/>
        <v>2.1999848043918538E-2</v>
      </c>
      <c r="S97" s="2"/>
      <c r="T97" s="6">
        <v>216372.38</v>
      </c>
      <c r="U97" s="2"/>
      <c r="V97" s="7">
        <f t="shared" si="68"/>
        <v>2.4197187510317478E-2</v>
      </c>
      <c r="W97" s="2"/>
      <c r="X97" s="6">
        <f t="shared" si="69"/>
        <v>-62722.73000000001</v>
      </c>
      <c r="Y97" s="2"/>
      <c r="Z97" s="7">
        <f t="shared" si="70"/>
        <v>-0.28988325589430597</v>
      </c>
    </row>
    <row r="98" spans="1:26" s="24" customFormat="1" hidden="1" outlineLevel="2" x14ac:dyDescent="0.25">
      <c r="A98" s="27"/>
      <c r="B98" s="11" t="str">
        <f>CONCATENATE("          ", "6259", " - ", "ROYALTY &amp; COMMISSIONS")</f>
        <v xml:space="preserve">          6259 - ROYALTY &amp; COMMISSIONS</v>
      </c>
      <c r="C98" s="11"/>
      <c r="D98" s="6"/>
      <c r="E98" s="2"/>
      <c r="F98" s="7">
        <f t="shared" si="63"/>
        <v>0</v>
      </c>
      <c r="G98" s="2"/>
      <c r="H98" s="6">
        <v>17659.12</v>
      </c>
      <c r="I98" s="2"/>
      <c r="J98" s="7">
        <f t="shared" si="64"/>
        <v>1.4054016894295385E-2</v>
      </c>
      <c r="K98" s="2"/>
      <c r="L98" s="6">
        <f t="shared" si="65"/>
        <v>-17659.12</v>
      </c>
      <c r="M98" s="2"/>
      <c r="N98" s="7">
        <f t="shared" si="66"/>
        <v>-1</v>
      </c>
      <c r="O98" s="11"/>
      <c r="P98" s="6">
        <v>104669.95999999999</v>
      </c>
      <c r="Q98" s="2"/>
      <c r="R98" s="7">
        <f t="shared" si="67"/>
        <v>1.4986843216128583E-2</v>
      </c>
      <c r="S98" s="2"/>
      <c r="T98" s="6">
        <v>131600.64000000001</v>
      </c>
      <c r="U98" s="2"/>
      <c r="V98" s="7">
        <f t="shared" si="68"/>
        <v>1.4717060294654E-2</v>
      </c>
      <c r="W98" s="2"/>
      <c r="X98" s="6">
        <f t="shared" si="69"/>
        <v>-26930.680000000022</v>
      </c>
      <c r="Y98" s="2"/>
      <c r="Z98" s="7">
        <f t="shared" si="70"/>
        <v>-0.20463943032495904</v>
      </c>
    </row>
    <row r="99" spans="1:26" s="25" customFormat="1" outlineLevel="1" collapsed="1" x14ac:dyDescent="0.25">
      <c r="A99" s="26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SUM(OSRRefD22_18x_0)</f>
        <v>5991.6600000000008</v>
      </c>
      <c r="E99" s="1"/>
      <c r="F99" s="5">
        <f t="shared" ref="F99:F104" si="71">IF(D$12=0,0,D99/D$12)</f>
        <v>132.2370337673803</v>
      </c>
      <c r="G99" s="1"/>
      <c r="H99" s="1">
        <f>SUM(OSRRefH22_18x_0)</f>
        <v>24803.19</v>
      </c>
      <c r="I99" s="1"/>
      <c r="J99" s="5">
        <f t="shared" ref="J99:J104" si="72">IF(H$12=0,0,H99/H$12)</f>
        <v>1.9739627529141789E-2</v>
      </c>
      <c r="K99" s="1"/>
      <c r="L99" s="1">
        <f t="shared" ref="L99:L104" si="73">+D99-H99</f>
        <v>-18811.53</v>
      </c>
      <c r="M99" s="1"/>
      <c r="N99" s="5">
        <f t="shared" ref="N99:N104" si="74">IF(H99=0,0,L99/H99)</f>
        <v>-0.75843187912522547</v>
      </c>
      <c r="O99" s="13"/>
      <c r="P99" s="1">
        <f>SUM(OSRRefP22_18x_0)</f>
        <v>228966.55</v>
      </c>
      <c r="Q99" s="1"/>
      <c r="R99" s="5">
        <f t="shared" ref="R99:R104" si="75">IF(P$12=0,0,P99/P$12)</f>
        <v>3.2783864506949909E-2</v>
      </c>
      <c r="S99" s="1"/>
      <c r="T99" s="1">
        <f>SUM(OSRRefT22_18x_0)</f>
        <v>244689.28</v>
      </c>
      <c r="U99" s="1"/>
      <c r="V99" s="5">
        <f t="shared" ref="V99:V104" si="76">IF(T$12=0,0,T99/T$12)</f>
        <v>2.7363901020659737E-2</v>
      </c>
      <c r="W99" s="1"/>
      <c r="X99" s="1">
        <f t="shared" ref="X99:X104" si="77">+P99-T99</f>
        <v>-15722.73000000001</v>
      </c>
      <c r="Y99" s="1"/>
      <c r="Z99" s="5">
        <f t="shared" ref="Z99:Z104" si="78">IF(T99=0,0,X99/T99)</f>
        <v>-6.425590038108743E-2</v>
      </c>
    </row>
    <row r="100" spans="1:26" s="24" customFormat="1" hidden="1" outlineLevel="2" x14ac:dyDescent="0.25">
      <c r="A100" s="27"/>
      <c r="B100" s="11" t="str">
        <f>CONCATENATE("          ", "6282", " - ", "JANITORIAL/EXTERMINATOR EXPENS")</f>
        <v xml:space="preserve">          6282 - JANITORIAL/EXTERMINATOR EXPENS</v>
      </c>
      <c r="C100" s="11"/>
      <c r="D100" s="6">
        <v>41</v>
      </c>
      <c r="E100" s="2"/>
      <c r="F100" s="7">
        <f t="shared" si="71"/>
        <v>0.90487751048333709</v>
      </c>
      <c r="G100" s="2"/>
      <c r="H100" s="6">
        <v>1918.16</v>
      </c>
      <c r="I100" s="2"/>
      <c r="J100" s="7">
        <f t="shared" si="72"/>
        <v>1.5265683140474517E-3</v>
      </c>
      <c r="K100" s="2"/>
      <c r="L100" s="6">
        <f t="shared" si="73"/>
        <v>-1877.16</v>
      </c>
      <c r="M100" s="2"/>
      <c r="N100" s="7">
        <f t="shared" si="74"/>
        <v>-0.97862534929307254</v>
      </c>
      <c r="O100" s="11"/>
      <c r="P100" s="6">
        <v>18724.830000000002</v>
      </c>
      <c r="Q100" s="2"/>
      <c r="R100" s="7">
        <f t="shared" si="75"/>
        <v>2.6810566418355472E-3</v>
      </c>
      <c r="S100" s="2"/>
      <c r="T100" s="6">
        <v>17181.02</v>
      </c>
      <c r="U100" s="2"/>
      <c r="V100" s="7">
        <f t="shared" si="76"/>
        <v>1.9213744497265078E-3</v>
      </c>
      <c r="W100" s="2"/>
      <c r="X100" s="6">
        <f t="shared" si="77"/>
        <v>1543.8100000000013</v>
      </c>
      <c r="Y100" s="2"/>
      <c r="Z100" s="7">
        <f t="shared" si="78"/>
        <v>8.9855549903323631E-2</v>
      </c>
    </row>
    <row r="101" spans="1:26" s="24" customFormat="1" hidden="1" outlineLevel="2" x14ac:dyDescent="0.25">
      <c r="A101" s="27"/>
      <c r="B101" s="11" t="str">
        <f>CONCATENATE("          ", "6283", " - ", "PLANT SERVICE")</f>
        <v xml:space="preserve">          6283 - PLANT SERVICE</v>
      </c>
      <c r="C101" s="11"/>
      <c r="D101" s="6">
        <v>399.56</v>
      </c>
      <c r="E101" s="2"/>
      <c r="F101" s="7">
        <f t="shared" si="71"/>
        <v>8.8183623924078578</v>
      </c>
      <c r="G101" s="2"/>
      <c r="H101" s="6">
        <v>176</v>
      </c>
      <c r="I101" s="2"/>
      <c r="J101" s="7">
        <f t="shared" si="72"/>
        <v>1.4006966221397147E-4</v>
      </c>
      <c r="K101" s="2"/>
      <c r="L101" s="6">
        <f t="shared" si="73"/>
        <v>223.56</v>
      </c>
      <c r="M101" s="2"/>
      <c r="N101" s="7">
        <f t="shared" si="74"/>
        <v>1.2702272727272728</v>
      </c>
      <c r="O101" s="11"/>
      <c r="P101" s="6">
        <v>1798.02</v>
      </c>
      <c r="Q101" s="2"/>
      <c r="R101" s="7">
        <f t="shared" si="75"/>
        <v>2.5744391074061286E-4</v>
      </c>
      <c r="S101" s="2"/>
      <c r="T101" s="6">
        <v>1760</v>
      </c>
      <c r="U101" s="2"/>
      <c r="V101" s="7">
        <f t="shared" si="76"/>
        <v>1.9682294948254839E-4</v>
      </c>
      <c r="W101" s="2"/>
      <c r="X101" s="6">
        <f t="shared" si="77"/>
        <v>38.019999999999982</v>
      </c>
      <c r="Y101" s="2"/>
      <c r="Z101" s="7">
        <f t="shared" si="78"/>
        <v>2.1602272727272716E-2</v>
      </c>
    </row>
    <row r="102" spans="1:26" s="24" customFormat="1" hidden="1" outlineLevel="2" x14ac:dyDescent="0.25">
      <c r="A102" s="27"/>
      <c r="B102" s="11" t="str">
        <f>CONCATENATE("          ", "6284", " - ", "TRASH REMOVAL EXPENSE")</f>
        <v xml:space="preserve">          6284 - TRASH REMOVAL EXPENSE</v>
      </c>
      <c r="C102" s="11"/>
      <c r="D102" s="6">
        <v>5417</v>
      </c>
      <c r="E102" s="2"/>
      <c r="F102" s="7">
        <f t="shared" si="71"/>
        <v>119.5541822997131</v>
      </c>
      <c r="G102" s="2"/>
      <c r="H102" s="6">
        <v>3813</v>
      </c>
      <c r="I102" s="2"/>
      <c r="J102" s="7">
        <f t="shared" si="72"/>
        <v>3.0345773978515522E-3</v>
      </c>
      <c r="K102" s="2"/>
      <c r="L102" s="6">
        <f t="shared" si="73"/>
        <v>1604</v>
      </c>
      <c r="M102" s="2"/>
      <c r="N102" s="7">
        <f t="shared" si="74"/>
        <v>0.42066614214529241</v>
      </c>
      <c r="O102" s="11"/>
      <c r="P102" s="6">
        <v>46300</v>
      </c>
      <c r="Q102" s="2"/>
      <c r="R102" s="7">
        <f t="shared" si="75"/>
        <v>6.629321735737298E-3</v>
      </c>
      <c r="S102" s="2"/>
      <c r="T102" s="6">
        <v>53720</v>
      </c>
      <c r="U102" s="2"/>
      <c r="V102" s="7">
        <f t="shared" si="76"/>
        <v>6.0075732080696019E-3</v>
      </c>
      <c r="W102" s="2"/>
      <c r="X102" s="6">
        <f t="shared" si="77"/>
        <v>-7420</v>
      </c>
      <c r="Y102" s="2"/>
      <c r="Z102" s="7">
        <f t="shared" si="78"/>
        <v>-0.13812360387192851</v>
      </c>
    </row>
    <row r="103" spans="1:26" s="24" customFormat="1" hidden="1" outlineLevel="2" x14ac:dyDescent="0.25">
      <c r="A103" s="27"/>
      <c r="B103" s="11" t="str">
        <f>CONCATENATE("          ", "6285", " - ", "JANITORIAL SERVICES")</f>
        <v xml:space="preserve">          6285 - JANITORIAL SERVICES</v>
      </c>
      <c r="C103" s="11"/>
      <c r="D103" s="6">
        <v>134.1</v>
      </c>
      <c r="E103" s="2"/>
      <c r="F103" s="7">
        <f t="shared" si="71"/>
        <v>2.959611564775988</v>
      </c>
      <c r="G103" s="2"/>
      <c r="H103" s="6">
        <v>13519.69</v>
      </c>
      <c r="I103" s="2"/>
      <c r="J103" s="7">
        <f t="shared" si="72"/>
        <v>1.075965006555459E-2</v>
      </c>
      <c r="K103" s="2"/>
      <c r="L103" s="6">
        <f t="shared" si="73"/>
        <v>-13385.59</v>
      </c>
      <c r="M103" s="2"/>
      <c r="N103" s="7">
        <f t="shared" si="74"/>
        <v>-0.99008113351711469</v>
      </c>
      <c r="O103" s="11"/>
      <c r="P103" s="6">
        <v>129075.45</v>
      </c>
      <c r="Q103" s="2"/>
      <c r="R103" s="7">
        <f t="shared" si="75"/>
        <v>1.8481267521275869E-2</v>
      </c>
      <c r="S103" s="2"/>
      <c r="T103" s="6">
        <v>129167.05000000002</v>
      </c>
      <c r="U103" s="2"/>
      <c r="V103" s="7">
        <f t="shared" si="76"/>
        <v>1.444490895281807E-2</v>
      </c>
      <c r="W103" s="2"/>
      <c r="X103" s="6">
        <f t="shared" si="77"/>
        <v>-91.600000000020373</v>
      </c>
      <c r="Y103" s="2"/>
      <c r="Z103" s="7">
        <f t="shared" si="78"/>
        <v>-7.0915918572128384E-4</v>
      </c>
    </row>
    <row r="104" spans="1:26" s="24" customFormat="1" hidden="1" outlineLevel="2" x14ac:dyDescent="0.25">
      <c r="A104" s="27"/>
      <c r="B104" s="11" t="str">
        <f>CONCATENATE("          ", "6286", " - ", "LAUNDRY EXPENSE")</f>
        <v xml:space="preserve">          6286 - LAUNDRY EXPENSE</v>
      </c>
      <c r="C104" s="11"/>
      <c r="D104" s="6"/>
      <c r="E104" s="2"/>
      <c r="F104" s="7">
        <f t="shared" si="71"/>
        <v>0</v>
      </c>
      <c r="G104" s="2"/>
      <c r="H104" s="6">
        <v>5376.34</v>
      </c>
      <c r="I104" s="2"/>
      <c r="J104" s="7">
        <f t="shared" si="72"/>
        <v>4.2787620894742242E-3</v>
      </c>
      <c r="K104" s="2"/>
      <c r="L104" s="6">
        <f t="shared" si="73"/>
        <v>-5376.34</v>
      </c>
      <c r="M104" s="2"/>
      <c r="N104" s="7">
        <f t="shared" si="74"/>
        <v>-1</v>
      </c>
      <c r="O104" s="11"/>
      <c r="P104" s="6">
        <v>33068.25</v>
      </c>
      <c r="Q104" s="2"/>
      <c r="R104" s="7">
        <f t="shared" si="75"/>
        <v>4.7347746973605805E-3</v>
      </c>
      <c r="S104" s="2"/>
      <c r="T104" s="6">
        <v>42861.21</v>
      </c>
      <c r="U104" s="2"/>
      <c r="V104" s="7">
        <f t="shared" si="76"/>
        <v>4.7932214605630099E-3</v>
      </c>
      <c r="W104" s="2"/>
      <c r="X104" s="6">
        <f t="shared" si="77"/>
        <v>-9792.9599999999991</v>
      </c>
      <c r="Y104" s="2"/>
      <c r="Z104" s="7">
        <f t="shared" si="78"/>
        <v>-0.22848071717993962</v>
      </c>
    </row>
    <row r="105" spans="1:26" s="25" customFormat="1" outlineLevel="1" collapsed="1" x14ac:dyDescent="0.25">
      <c r="A105" s="26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SUM(OSRRefD22_19x_0)</f>
        <v>4.25</v>
      </c>
      <c r="E105" s="1"/>
      <c r="F105" s="5">
        <f t="shared" ref="F105:F107" si="79">IF(D$12=0,0,D105/D$12)</f>
        <v>9.3798278525711778E-2</v>
      </c>
      <c r="G105" s="1"/>
      <c r="H105" s="1">
        <f>SUM(OSRRefH22_19x_0)</f>
        <v>569.82000000000005</v>
      </c>
      <c r="I105" s="1"/>
      <c r="J105" s="5">
        <f t="shared" ref="J105:J107" si="80">IF(H$12=0,0,H105/H$12)</f>
        <v>4.5349144842480243E-4</v>
      </c>
      <c r="K105" s="1"/>
      <c r="L105" s="1">
        <f t="shared" ref="L105:L107" si="81">+D105-H105</f>
        <v>-565.57000000000005</v>
      </c>
      <c r="M105" s="1"/>
      <c r="N105" s="5">
        <f t="shared" ref="N105:N107" si="82">IF(H105=0,0,L105/H105)</f>
        <v>-0.99254150433470223</v>
      </c>
      <c r="O105" s="13"/>
      <c r="P105" s="1">
        <f>SUM(OSRRefP22_19x_0)</f>
        <v>8711.75</v>
      </c>
      <c r="Q105" s="1"/>
      <c r="R105" s="5">
        <f t="shared" ref="R105:R107" si="83">IF(P$12=0,0,P105/P$12)</f>
        <v>1.2473648732464235E-3</v>
      </c>
      <c r="S105" s="1"/>
      <c r="T105" s="1">
        <f>SUM(OSRRefT22_19x_0)</f>
        <v>6241.92</v>
      </c>
      <c r="U105" s="1"/>
      <c r="V105" s="5">
        <f t="shared" ref="V105:V107" si="84">IF(T$12=0,0,T105/T$12)</f>
        <v>6.9804153683756165E-4</v>
      </c>
      <c r="W105" s="1"/>
      <c r="X105" s="1">
        <f t="shared" ref="X105:X107" si="85">+P105-T105</f>
        <v>2469.83</v>
      </c>
      <c r="Y105" s="1"/>
      <c r="Z105" s="5">
        <f t="shared" ref="Z105:Z107" si="86">IF(T105=0,0,X105/T105)</f>
        <v>0.39568434071567721</v>
      </c>
    </row>
    <row r="106" spans="1:26" s="24" customFormat="1" hidden="1" outlineLevel="2" x14ac:dyDescent="0.25">
      <c r="A106" s="27"/>
      <c r="B106" s="11" t="str">
        <f>CONCATENATE("          ", "6258", " - ", "MEMBERSHIP DUES")</f>
        <v xml:space="preserve">          6258 - MEMBERSHIP DUES</v>
      </c>
      <c r="C106" s="11"/>
      <c r="D106" s="6"/>
      <c r="E106" s="2"/>
      <c r="F106" s="7">
        <f t="shared" si="79"/>
        <v>0</v>
      </c>
      <c r="G106" s="2"/>
      <c r="H106" s="6"/>
      <c r="I106" s="2"/>
      <c r="J106" s="7">
        <f t="shared" si="80"/>
        <v>0</v>
      </c>
      <c r="K106" s="2"/>
      <c r="L106" s="6">
        <f t="shared" si="81"/>
        <v>0</v>
      </c>
      <c r="M106" s="2"/>
      <c r="N106" s="7">
        <f t="shared" si="82"/>
        <v>0</v>
      </c>
      <c r="O106" s="11"/>
      <c r="P106" s="6">
        <v>3730</v>
      </c>
      <c r="Q106" s="2"/>
      <c r="R106" s="7">
        <f t="shared" si="83"/>
        <v>5.3406846812743239E-4</v>
      </c>
      <c r="S106" s="2"/>
      <c r="T106" s="6">
        <v>383.2</v>
      </c>
      <c r="U106" s="2"/>
      <c r="V106" s="7">
        <f t="shared" si="84"/>
        <v>4.2853724000973036E-5</v>
      </c>
      <c r="W106" s="2"/>
      <c r="X106" s="6">
        <f t="shared" si="85"/>
        <v>3346.8</v>
      </c>
      <c r="Y106" s="2"/>
      <c r="Z106" s="7">
        <f t="shared" si="86"/>
        <v>8.7338204592901878</v>
      </c>
    </row>
    <row r="107" spans="1:26" s="24" customFormat="1" hidden="1" outlineLevel="2" x14ac:dyDescent="0.25">
      <c r="A107" s="27"/>
      <c r="B107" s="11" t="str">
        <f>CONCATENATE("          ", "6275", " - ", "SUBSCRIPTIONS")</f>
        <v xml:space="preserve">          6275 - SUBSCRIPTIONS</v>
      </c>
      <c r="C107" s="11"/>
      <c r="D107" s="6">
        <v>4.25</v>
      </c>
      <c r="E107" s="2"/>
      <c r="F107" s="7">
        <f t="shared" si="79"/>
        <v>9.3798278525711778E-2</v>
      </c>
      <c r="G107" s="2"/>
      <c r="H107" s="6">
        <v>569.82000000000005</v>
      </c>
      <c r="I107" s="2"/>
      <c r="J107" s="7">
        <f t="shared" si="80"/>
        <v>4.5349144842480243E-4</v>
      </c>
      <c r="K107" s="2"/>
      <c r="L107" s="6">
        <f t="shared" si="81"/>
        <v>-565.57000000000005</v>
      </c>
      <c r="M107" s="2"/>
      <c r="N107" s="7">
        <f t="shared" si="82"/>
        <v>-0.99254150433470223</v>
      </c>
      <c r="O107" s="11"/>
      <c r="P107" s="6">
        <v>4981.75</v>
      </c>
      <c r="Q107" s="2"/>
      <c r="R107" s="7">
        <f t="shared" si="83"/>
        <v>7.1329640511899096E-4</v>
      </c>
      <c r="S107" s="2"/>
      <c r="T107" s="6">
        <v>5858.72</v>
      </c>
      <c r="U107" s="2"/>
      <c r="V107" s="7">
        <f t="shared" si="84"/>
        <v>6.5518781283658862E-4</v>
      </c>
      <c r="W107" s="2"/>
      <c r="X107" s="6">
        <f t="shared" si="85"/>
        <v>-876.97000000000025</v>
      </c>
      <c r="Y107" s="2"/>
      <c r="Z107" s="7">
        <f t="shared" si="86"/>
        <v>-0.14968627959690858</v>
      </c>
    </row>
    <row r="108" spans="1:26" s="25" customFormat="1" outlineLevel="1" collapsed="1" x14ac:dyDescent="0.25">
      <c r="A108" s="26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SUM(OSRRefD22_20x_0)</f>
        <v>1709.0199999999998</v>
      </c>
      <c r="E108" s="1"/>
      <c r="F108" s="5">
        <f t="shared" ref="F108:F117" si="87">IF(D$12=0,0,D108/D$12)</f>
        <v>37.71838446259104</v>
      </c>
      <c r="G108" s="1"/>
      <c r="H108" s="1">
        <f>SUM(OSRRefH22_20x_0)</f>
        <v>24232.210000000003</v>
      </c>
      <c r="I108" s="1"/>
      <c r="J108" s="5">
        <f t="shared" ref="J108:J117" si="88">IF(H$12=0,0,H108/H$12)</f>
        <v>1.9285212894306944E-2</v>
      </c>
      <c r="K108" s="1"/>
      <c r="L108" s="1">
        <f t="shared" ref="L108:L117" si="89">+D108-H108</f>
        <v>-22523.190000000002</v>
      </c>
      <c r="M108" s="1"/>
      <c r="N108" s="5">
        <f t="shared" ref="N108:N117" si="90">IF(H108=0,0,L108/H108)</f>
        <v>-0.9294732094183733</v>
      </c>
      <c r="O108" s="13"/>
      <c r="P108" s="1">
        <f>SUM(OSRRefP22_20x_0)</f>
        <v>217438.3</v>
      </c>
      <c r="Q108" s="1"/>
      <c r="R108" s="5">
        <f t="shared" ref="R108:R117" si="91">IF(P$12=0,0,P108/P$12)</f>
        <v>3.1133227826604042E-2</v>
      </c>
      <c r="S108" s="1"/>
      <c r="T108" s="1">
        <f>SUM(OSRRefT22_20x_0)</f>
        <v>234637.96999999997</v>
      </c>
      <c r="U108" s="1"/>
      <c r="V108" s="5">
        <f t="shared" ref="V108:V117" si="92">IF(T$12=0,0,T108/T$12)</f>
        <v>2.6239850747725967E-2</v>
      </c>
      <c r="W108" s="1"/>
      <c r="X108" s="1">
        <f t="shared" ref="X108:X117" si="93">+P108-T108</f>
        <v>-17199.669999999984</v>
      </c>
      <c r="Y108" s="1"/>
      <c r="Z108" s="5">
        <f t="shared" ref="Z108:Z117" si="94">IF(T108=0,0,X108/T108)</f>
        <v>-7.3303012295921177E-2</v>
      </c>
    </row>
    <row r="109" spans="1:26" s="24" customFormat="1" hidden="1" outlineLevel="2" x14ac:dyDescent="0.25">
      <c r="A109" s="27"/>
      <c r="B109" s="11" t="str">
        <f>CONCATENATE("          ", "6234", " - ", "EXPENDABLE SUPPLIES &amp; EQUIPMEN")</f>
        <v xml:space="preserve">          6234 - EXPENDABLE SUPPLIES &amp; EQUIPMEN</v>
      </c>
      <c r="C109" s="11"/>
      <c r="D109" s="6">
        <v>142.07</v>
      </c>
      <c r="E109" s="2"/>
      <c r="F109" s="7">
        <f t="shared" si="87"/>
        <v>3.1355109247406756</v>
      </c>
      <c r="G109" s="2"/>
      <c r="H109" s="6">
        <v>288.20999999999998</v>
      </c>
      <c r="I109" s="2"/>
      <c r="J109" s="7">
        <f t="shared" si="88"/>
        <v>2.2937203037891316E-4</v>
      </c>
      <c r="K109" s="2"/>
      <c r="L109" s="6">
        <f t="shared" si="89"/>
        <v>-146.13999999999999</v>
      </c>
      <c r="M109" s="2"/>
      <c r="N109" s="7">
        <f t="shared" si="90"/>
        <v>-0.50706082370493732</v>
      </c>
      <c r="O109" s="11"/>
      <c r="P109" s="6">
        <v>15778.950000000003</v>
      </c>
      <c r="Q109" s="2"/>
      <c r="R109" s="7">
        <f t="shared" si="91"/>
        <v>2.2592599611687266E-3</v>
      </c>
      <c r="S109" s="2"/>
      <c r="T109" s="6">
        <v>8676.2199999999993</v>
      </c>
      <c r="U109" s="2"/>
      <c r="V109" s="7">
        <f t="shared" si="92"/>
        <v>9.702722788406113E-4</v>
      </c>
      <c r="W109" s="2"/>
      <c r="X109" s="6">
        <f t="shared" si="93"/>
        <v>7102.7300000000032</v>
      </c>
      <c r="Y109" s="2"/>
      <c r="Z109" s="7">
        <f t="shared" si="94"/>
        <v>0.81864337234417794</v>
      </c>
    </row>
    <row r="110" spans="1:26" s="24" customFormat="1" hidden="1" outlineLevel="2" x14ac:dyDescent="0.25">
      <c r="A110" s="27"/>
      <c r="B110" s="11" t="str">
        <f>CONCATENATE("          ", "6237", " - ", "JANITORIAL SUPPLIES")</f>
        <v xml:space="preserve">          6237 - JANITORIAL SUPPLIES</v>
      </c>
      <c r="C110" s="11"/>
      <c r="D110" s="6"/>
      <c r="E110" s="2"/>
      <c r="F110" s="7">
        <f t="shared" si="87"/>
        <v>0</v>
      </c>
      <c r="G110" s="2"/>
      <c r="H110" s="6">
        <v>6658.29</v>
      </c>
      <c r="I110" s="2"/>
      <c r="J110" s="7">
        <f t="shared" si="88"/>
        <v>5.2990024501287734E-3</v>
      </c>
      <c r="K110" s="2"/>
      <c r="L110" s="6">
        <f t="shared" si="89"/>
        <v>-6658.29</v>
      </c>
      <c r="M110" s="2"/>
      <c r="N110" s="7">
        <f t="shared" si="90"/>
        <v>-1</v>
      </c>
      <c r="O110" s="11"/>
      <c r="P110" s="6">
        <v>52852.57</v>
      </c>
      <c r="Q110" s="2"/>
      <c r="R110" s="7">
        <f t="shared" si="91"/>
        <v>7.5675311250664587E-3</v>
      </c>
      <c r="S110" s="2"/>
      <c r="T110" s="6">
        <v>56001.07</v>
      </c>
      <c r="U110" s="2"/>
      <c r="V110" s="7">
        <f t="shared" si="92"/>
        <v>6.2626680520333272E-3</v>
      </c>
      <c r="W110" s="2"/>
      <c r="X110" s="6">
        <f t="shared" si="93"/>
        <v>-3148.5</v>
      </c>
      <c r="Y110" s="2"/>
      <c r="Z110" s="7">
        <f t="shared" si="94"/>
        <v>-5.6222140041252783E-2</v>
      </c>
    </row>
    <row r="111" spans="1:26" s="24" customFormat="1" hidden="1" outlineLevel="2" x14ac:dyDescent="0.25">
      <c r="A111" s="27"/>
      <c r="B111" s="11" t="str">
        <f>CONCATENATE("          ", "6239", " - ", "KITCHEN SUPPLIES")</f>
        <v xml:space="preserve">          6239 - KITCHEN SUPPLIES</v>
      </c>
      <c r="C111" s="11"/>
      <c r="D111" s="6">
        <v>390.29</v>
      </c>
      <c r="E111" s="2"/>
      <c r="F111" s="7">
        <f t="shared" si="87"/>
        <v>8.6137717943058938</v>
      </c>
      <c r="G111" s="2"/>
      <c r="H111" s="6">
        <v>6365.95</v>
      </c>
      <c r="I111" s="2"/>
      <c r="J111" s="7">
        <f t="shared" si="88"/>
        <v>5.0663435577899523E-3</v>
      </c>
      <c r="K111" s="2"/>
      <c r="L111" s="6">
        <f t="shared" si="89"/>
        <v>-5975.66</v>
      </c>
      <c r="M111" s="2"/>
      <c r="N111" s="7">
        <f t="shared" si="90"/>
        <v>-0.93869100448479803</v>
      </c>
      <c r="O111" s="11"/>
      <c r="P111" s="6">
        <v>45966.83</v>
      </c>
      <c r="Q111" s="2"/>
      <c r="R111" s="7">
        <f t="shared" si="91"/>
        <v>6.5816178238000279E-3</v>
      </c>
      <c r="S111" s="2"/>
      <c r="T111" s="6">
        <v>46501.950000000004</v>
      </c>
      <c r="U111" s="2"/>
      <c r="V111" s="7">
        <f t="shared" si="92"/>
        <v>5.2003698611874953E-3</v>
      </c>
      <c r="W111" s="2"/>
      <c r="X111" s="6">
        <f t="shared" si="93"/>
        <v>-535.12000000000262</v>
      </c>
      <c r="Y111" s="2"/>
      <c r="Z111" s="7">
        <f t="shared" si="94"/>
        <v>-1.1507474417739527E-2</v>
      </c>
    </row>
    <row r="112" spans="1:26" s="24" customFormat="1" hidden="1" outlineLevel="2" x14ac:dyDescent="0.25">
      <c r="A112" s="27"/>
      <c r="B112" s="11" t="str">
        <f>CONCATENATE("          ", "6241", " - ", "OFFICE EXPENSE")</f>
        <v xml:space="preserve">          6241 - OFFICE EXPENSE</v>
      </c>
      <c r="C112" s="11"/>
      <c r="D112" s="6">
        <v>1030.8399999999999</v>
      </c>
      <c r="E112" s="2"/>
      <c r="F112" s="7">
        <f t="shared" si="87"/>
        <v>22.750827631869345</v>
      </c>
      <c r="G112" s="2"/>
      <c r="H112" s="6">
        <v>1734.78</v>
      </c>
      <c r="I112" s="2"/>
      <c r="J112" s="7">
        <f t="shared" si="88"/>
        <v>1.3806252762247353E-3</v>
      </c>
      <c r="K112" s="2"/>
      <c r="L112" s="6">
        <f t="shared" si="89"/>
        <v>-703.94</v>
      </c>
      <c r="M112" s="2"/>
      <c r="N112" s="7">
        <f t="shared" si="90"/>
        <v>-0.4057805600710177</v>
      </c>
      <c r="O112" s="11"/>
      <c r="P112" s="6">
        <v>20136.28</v>
      </c>
      <c r="Q112" s="2"/>
      <c r="R112" s="7">
        <f t="shared" si="91"/>
        <v>2.8831507274490759E-3</v>
      </c>
      <c r="S112" s="2"/>
      <c r="T112" s="6">
        <v>30751.870000000003</v>
      </c>
      <c r="U112" s="2"/>
      <c r="V112" s="7">
        <f t="shared" si="92"/>
        <v>3.4390191792635773E-3</v>
      </c>
      <c r="W112" s="2"/>
      <c r="X112" s="6">
        <f t="shared" si="93"/>
        <v>-10615.590000000004</v>
      </c>
      <c r="Y112" s="2"/>
      <c r="Z112" s="7">
        <f t="shared" si="94"/>
        <v>-0.34520144628603083</v>
      </c>
    </row>
    <row r="113" spans="1:26" s="24" customFormat="1" hidden="1" outlineLevel="2" x14ac:dyDescent="0.25">
      <c r="A113" s="27"/>
      <c r="B113" s="11" t="str">
        <f>CONCATENATE("          ", "6243", " - ", "PAPER SUPPLIES")</f>
        <v xml:space="preserve">          6243 - PAPER SUPPLIES</v>
      </c>
      <c r="C113" s="11"/>
      <c r="D113" s="6"/>
      <c r="E113" s="2"/>
      <c r="F113" s="7">
        <f t="shared" si="87"/>
        <v>0</v>
      </c>
      <c r="G113" s="2"/>
      <c r="H113" s="6">
        <v>6193.99</v>
      </c>
      <c r="I113" s="2"/>
      <c r="J113" s="7">
        <f t="shared" si="88"/>
        <v>4.9294891310040743E-3</v>
      </c>
      <c r="K113" s="2"/>
      <c r="L113" s="6">
        <f t="shared" si="89"/>
        <v>-6193.99</v>
      </c>
      <c r="M113" s="2"/>
      <c r="N113" s="7">
        <f t="shared" si="90"/>
        <v>-1</v>
      </c>
      <c r="O113" s="11"/>
      <c r="P113" s="6">
        <v>34117.769999999997</v>
      </c>
      <c r="Q113" s="2"/>
      <c r="R113" s="7">
        <f t="shared" si="91"/>
        <v>4.8850469597383562E-3</v>
      </c>
      <c r="S113" s="2"/>
      <c r="T113" s="6">
        <v>53879.77</v>
      </c>
      <c r="U113" s="2"/>
      <c r="V113" s="7">
        <f t="shared" si="92"/>
        <v>6.0254404822962073E-3</v>
      </c>
      <c r="W113" s="2"/>
      <c r="X113" s="6">
        <f t="shared" si="93"/>
        <v>-19762</v>
      </c>
      <c r="Y113" s="2"/>
      <c r="Z113" s="7">
        <f t="shared" si="94"/>
        <v>-0.36677959092995388</v>
      </c>
    </row>
    <row r="114" spans="1:26" s="24" customFormat="1" hidden="1" outlineLevel="2" x14ac:dyDescent="0.25">
      <c r="A114" s="27"/>
      <c r="B114" s="11" t="str">
        <f>CONCATENATE("          ", "6245", " - ", "PRINTING")</f>
        <v xml:space="preserve">          6245 - PRINTING</v>
      </c>
      <c r="C114" s="11"/>
      <c r="D114" s="6"/>
      <c r="E114" s="2"/>
      <c r="F114" s="7">
        <f t="shared" si="87"/>
        <v>0</v>
      </c>
      <c r="G114" s="2"/>
      <c r="H114" s="6"/>
      <c r="I114" s="2"/>
      <c r="J114" s="7">
        <f t="shared" si="88"/>
        <v>0</v>
      </c>
      <c r="K114" s="2"/>
      <c r="L114" s="6">
        <f t="shared" si="89"/>
        <v>0</v>
      </c>
      <c r="M114" s="2"/>
      <c r="N114" s="7">
        <f t="shared" si="90"/>
        <v>0</v>
      </c>
      <c r="O114" s="11"/>
      <c r="P114" s="6">
        <v>613.02</v>
      </c>
      <c r="Q114" s="2"/>
      <c r="R114" s="7">
        <f t="shared" si="91"/>
        <v>8.7773365236321345E-5</v>
      </c>
      <c r="S114" s="2"/>
      <c r="T114" s="6">
        <v>344.21</v>
      </c>
      <c r="U114" s="2"/>
      <c r="V114" s="7">
        <f t="shared" si="92"/>
        <v>3.8493424682606802E-5</v>
      </c>
      <c r="W114" s="2"/>
      <c r="X114" s="6">
        <f t="shared" si="93"/>
        <v>268.81</v>
      </c>
      <c r="Y114" s="2"/>
      <c r="Z114" s="7">
        <f t="shared" si="94"/>
        <v>0.78094767729002645</v>
      </c>
    </row>
    <row r="115" spans="1:26" s="24" customFormat="1" hidden="1" outlineLevel="2" x14ac:dyDescent="0.25">
      <c r="A115" s="27"/>
      <c r="B115" s="11" t="str">
        <f>CONCATENATE("          ", "6246", " - ", "REPLACEMENTS")</f>
        <v xml:space="preserve">          6246 - REPLACEMENTS</v>
      </c>
      <c r="C115" s="11"/>
      <c r="D115" s="6"/>
      <c r="E115" s="2"/>
      <c r="F115" s="7">
        <f t="shared" si="87"/>
        <v>0</v>
      </c>
      <c r="G115" s="2"/>
      <c r="H115" s="6"/>
      <c r="I115" s="2"/>
      <c r="J115" s="7">
        <f t="shared" si="88"/>
        <v>0</v>
      </c>
      <c r="K115" s="2"/>
      <c r="L115" s="6">
        <f t="shared" si="89"/>
        <v>0</v>
      </c>
      <c r="M115" s="2"/>
      <c r="N115" s="7">
        <f t="shared" si="90"/>
        <v>0</v>
      </c>
      <c r="O115" s="11"/>
      <c r="P115" s="6">
        <v>25.87</v>
      </c>
      <c r="Q115" s="2"/>
      <c r="R115" s="7">
        <f t="shared" si="91"/>
        <v>3.7041156221063475E-6</v>
      </c>
      <c r="S115" s="2"/>
      <c r="T115" s="6"/>
      <c r="U115" s="2"/>
      <c r="V115" s="7">
        <f t="shared" si="92"/>
        <v>0</v>
      </c>
      <c r="W115" s="2"/>
      <c r="X115" s="6">
        <f t="shared" si="93"/>
        <v>25.87</v>
      </c>
      <c r="Y115" s="2"/>
      <c r="Z115" s="7">
        <f t="shared" si="94"/>
        <v>0</v>
      </c>
    </row>
    <row r="116" spans="1:26" s="24" customFormat="1" hidden="1" outlineLevel="2" x14ac:dyDescent="0.25">
      <c r="A116" s="27"/>
      <c r="B116" s="11" t="str">
        <f>CONCATENATE("          ", "6247", " - ", "STORE SUPPLIES")</f>
        <v xml:space="preserve">          6247 - STORE SUPPLIES</v>
      </c>
      <c r="C116" s="11"/>
      <c r="D116" s="6">
        <v>145.82</v>
      </c>
      <c r="E116" s="2"/>
      <c r="F116" s="7">
        <f t="shared" si="87"/>
        <v>3.218274111675127</v>
      </c>
      <c r="G116" s="2"/>
      <c r="H116" s="6">
        <v>2432.9</v>
      </c>
      <c r="I116" s="2"/>
      <c r="J116" s="7">
        <f t="shared" si="88"/>
        <v>1.9362243250021091E-3</v>
      </c>
      <c r="K116" s="2"/>
      <c r="L116" s="6">
        <f t="shared" si="89"/>
        <v>-2287.08</v>
      </c>
      <c r="M116" s="2"/>
      <c r="N116" s="7">
        <f t="shared" si="90"/>
        <v>-0.94006329894364749</v>
      </c>
      <c r="O116" s="11"/>
      <c r="P116" s="6">
        <v>43070.009999999995</v>
      </c>
      <c r="Q116" s="2"/>
      <c r="R116" s="7">
        <f t="shared" si="91"/>
        <v>6.1668456468989786E-3</v>
      </c>
      <c r="S116" s="2"/>
      <c r="T116" s="6">
        <v>28161.489999999998</v>
      </c>
      <c r="U116" s="2"/>
      <c r="V116" s="7">
        <f t="shared" si="92"/>
        <v>3.1493338202405064E-3</v>
      </c>
      <c r="W116" s="2"/>
      <c r="X116" s="6">
        <f t="shared" si="93"/>
        <v>14908.519999999997</v>
      </c>
      <c r="Y116" s="2"/>
      <c r="Z116" s="7">
        <f t="shared" si="94"/>
        <v>0.52939386374797637</v>
      </c>
    </row>
    <row r="117" spans="1:26" s="24" customFormat="1" hidden="1" outlineLevel="2" x14ac:dyDescent="0.25">
      <c r="A117" s="27"/>
      <c r="B117" s="11" t="str">
        <f>CONCATENATE("          ", "6248", " - ", "UNIFORMS")</f>
        <v xml:space="preserve">          6248 - UNIFORMS</v>
      </c>
      <c r="C117" s="11"/>
      <c r="D117" s="6"/>
      <c r="E117" s="2"/>
      <c r="F117" s="7">
        <f t="shared" si="87"/>
        <v>0</v>
      </c>
      <c r="G117" s="2"/>
      <c r="H117" s="6">
        <v>558.09</v>
      </c>
      <c r="I117" s="2"/>
      <c r="J117" s="7">
        <f t="shared" si="88"/>
        <v>4.4415612377838264E-4</v>
      </c>
      <c r="K117" s="2"/>
      <c r="L117" s="6">
        <f t="shared" si="89"/>
        <v>-558.09</v>
      </c>
      <c r="M117" s="2"/>
      <c r="N117" s="7">
        <f t="shared" si="90"/>
        <v>-1</v>
      </c>
      <c r="O117" s="11"/>
      <c r="P117" s="6">
        <v>4877</v>
      </c>
      <c r="Q117" s="2"/>
      <c r="R117" s="7">
        <f t="shared" si="91"/>
        <v>6.9829810162399131E-4</v>
      </c>
      <c r="S117" s="2"/>
      <c r="T117" s="6">
        <v>10321.39</v>
      </c>
      <c r="U117" s="2"/>
      <c r="V117" s="7">
        <f t="shared" si="92"/>
        <v>1.1542536491816364E-3</v>
      </c>
      <c r="W117" s="2"/>
      <c r="X117" s="6">
        <f t="shared" si="93"/>
        <v>-5444.3899999999994</v>
      </c>
      <c r="Y117" s="2"/>
      <c r="Z117" s="7">
        <f t="shared" si="94"/>
        <v>-0.52748612347755486</v>
      </c>
    </row>
    <row r="118" spans="1:26" s="25" customFormat="1" outlineLevel="1" collapsed="1" x14ac:dyDescent="0.25">
      <c r="A118" s="26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SUM(OSRRefD22_21x_0)</f>
        <v>2331.64</v>
      </c>
      <c r="E118" s="1"/>
      <c r="F118" s="5">
        <f t="shared" ref="F118:F125" si="95">IF(D$12=0,0,D118/D$12)</f>
        <v>51.459721915691901</v>
      </c>
      <c r="G118" s="1"/>
      <c r="H118" s="1">
        <f>SUM(OSRRefH22_21x_0)</f>
        <v>2324.1799999999998</v>
      </c>
      <c r="I118" s="1"/>
      <c r="J118" s="5">
        <f t="shared" ref="J118:J125" si="96">IF(H$12=0,0,H118/H$12)</f>
        <v>1.849699474570842E-3</v>
      </c>
      <c r="K118" s="1"/>
      <c r="L118" s="1">
        <f t="shared" ref="L118:L125" si="97">+D118-H118</f>
        <v>7.4600000000000364</v>
      </c>
      <c r="M118" s="1"/>
      <c r="N118" s="5">
        <f t="shared" ref="N118:N125" si="98">IF(H118=0,0,L118/H118)</f>
        <v>3.2097341858203913E-3</v>
      </c>
      <c r="O118" s="13"/>
      <c r="P118" s="1">
        <f>SUM(OSRRefP22_21x_0)</f>
        <v>22991.190000000002</v>
      </c>
      <c r="Q118" s="1"/>
      <c r="R118" s="5">
        <f t="shared" ref="R118:R125" si="99">IF(P$12=0,0,P118/P$12)</f>
        <v>3.2919221511331751E-3</v>
      </c>
      <c r="S118" s="1"/>
      <c r="T118" s="1">
        <f>SUM(OSRRefT22_21x_0)</f>
        <v>22656.16</v>
      </c>
      <c r="U118" s="1"/>
      <c r="V118" s="5">
        <f t="shared" ref="V118:V125" si="100">IF(T$12=0,0,T118/T$12)</f>
        <v>2.5336660426980304E-3</v>
      </c>
      <c r="W118" s="1"/>
      <c r="X118" s="1">
        <f t="shared" ref="X118:X125" si="101">+P118-T118</f>
        <v>335.03000000000247</v>
      </c>
      <c r="Y118" s="1"/>
      <c r="Z118" s="5">
        <f t="shared" ref="Z118:Z125" si="102">IF(T118=0,0,X118/T118)</f>
        <v>1.4787589776908465E-2</v>
      </c>
    </row>
    <row r="119" spans="1:26" s="24" customFormat="1" hidden="1" outlineLevel="2" x14ac:dyDescent="0.25">
      <c r="A119" s="27"/>
      <c r="B119" s="11" t="str">
        <f>CONCATENATE("          ", "6309", " - ", "TELEPHONE")</f>
        <v xml:space="preserve">          6309 - TELEPHONE</v>
      </c>
      <c r="C119" s="11"/>
      <c r="D119" s="6">
        <v>2331.64</v>
      </c>
      <c r="E119" s="2"/>
      <c r="F119" s="7">
        <f t="shared" si="95"/>
        <v>51.459721915691901</v>
      </c>
      <c r="G119" s="2"/>
      <c r="H119" s="6">
        <v>2324.1799999999998</v>
      </c>
      <c r="I119" s="2"/>
      <c r="J119" s="7">
        <f t="shared" si="96"/>
        <v>1.849699474570842E-3</v>
      </c>
      <c r="K119" s="2"/>
      <c r="L119" s="6">
        <f t="shared" si="97"/>
        <v>7.4600000000000364</v>
      </c>
      <c r="M119" s="2"/>
      <c r="N119" s="7">
        <f t="shared" si="98"/>
        <v>3.2097341858203913E-3</v>
      </c>
      <c r="O119" s="11"/>
      <c r="P119" s="6">
        <v>22991.190000000002</v>
      </c>
      <c r="Q119" s="2"/>
      <c r="R119" s="7">
        <f t="shared" si="99"/>
        <v>3.2919221511331751E-3</v>
      </c>
      <c r="S119" s="2"/>
      <c r="T119" s="6">
        <v>22656.16</v>
      </c>
      <c r="U119" s="2"/>
      <c r="V119" s="7">
        <f t="shared" si="100"/>
        <v>2.5336660426980304E-3</v>
      </c>
      <c r="W119" s="2"/>
      <c r="X119" s="6">
        <f t="shared" si="101"/>
        <v>335.03000000000247</v>
      </c>
      <c r="Y119" s="2"/>
      <c r="Z119" s="7">
        <f t="shared" si="102"/>
        <v>1.4787589776908465E-2</v>
      </c>
    </row>
    <row r="120" spans="1:26" s="25" customFormat="1" outlineLevel="1" collapsed="1" x14ac:dyDescent="0.25">
      <c r="A120" s="26"/>
      <c r="B120" s="13" t="str">
        <f>CONCATENATE("     ","Training                                          ")</f>
        <v xml:space="preserve">     Training                                          </v>
      </c>
      <c r="C120" s="13"/>
      <c r="D120" s="1">
        <f>SUM(OSRRefD22_22x_0)</f>
        <v>120</v>
      </c>
      <c r="E120" s="1"/>
      <c r="F120" s="5">
        <f t="shared" si="95"/>
        <v>2.6484219819024499</v>
      </c>
      <c r="G120" s="1"/>
      <c r="H120" s="1">
        <f>SUM(OSRRefH22_22x_0)</f>
        <v>0</v>
      </c>
      <c r="I120" s="1"/>
      <c r="J120" s="5">
        <f t="shared" si="96"/>
        <v>0</v>
      </c>
      <c r="K120" s="1"/>
      <c r="L120" s="1">
        <f t="shared" si="97"/>
        <v>120</v>
      </c>
      <c r="M120" s="1"/>
      <c r="N120" s="5">
        <f t="shared" si="98"/>
        <v>0</v>
      </c>
      <c r="O120" s="13"/>
      <c r="P120" s="1">
        <f>SUM(OSRRefP22_22x_0)</f>
        <v>2233.0100000000002</v>
      </c>
      <c r="Q120" s="1"/>
      <c r="R120" s="5">
        <f t="shared" si="99"/>
        <v>3.1972660322070721E-4</v>
      </c>
      <c r="S120" s="1"/>
      <c r="T120" s="1">
        <f>SUM(OSRRefT22_22x_0)</f>
        <v>1608.63</v>
      </c>
      <c r="U120" s="1"/>
      <c r="V120" s="5">
        <f t="shared" si="100"/>
        <v>1.7989505751483628E-4</v>
      </c>
      <c r="W120" s="1"/>
      <c r="X120" s="1">
        <f t="shared" si="101"/>
        <v>624.38000000000011</v>
      </c>
      <c r="Y120" s="1"/>
      <c r="Z120" s="5">
        <f t="shared" si="102"/>
        <v>0.3881439485773609</v>
      </c>
    </row>
    <row r="121" spans="1:26" s="24" customFormat="1" hidden="1" outlineLevel="2" x14ac:dyDescent="0.25">
      <c r="A121" s="27"/>
      <c r="B121" s="11" t="str">
        <f>CONCATENATE("          ", "6376", " - ", "TRAINING")</f>
        <v xml:space="preserve">          6376 - TRAINING</v>
      </c>
      <c r="C121" s="11"/>
      <c r="D121" s="6">
        <v>120</v>
      </c>
      <c r="E121" s="2"/>
      <c r="F121" s="7">
        <f t="shared" si="95"/>
        <v>2.6484219819024499</v>
      </c>
      <c r="G121" s="2"/>
      <c r="H121" s="6"/>
      <c r="I121" s="2"/>
      <c r="J121" s="7">
        <f t="shared" si="96"/>
        <v>0</v>
      </c>
      <c r="K121" s="2"/>
      <c r="L121" s="6">
        <f t="shared" si="97"/>
        <v>120</v>
      </c>
      <c r="M121" s="2"/>
      <c r="N121" s="7">
        <f t="shared" si="98"/>
        <v>0</v>
      </c>
      <c r="O121" s="11"/>
      <c r="P121" s="6">
        <v>2233.0100000000002</v>
      </c>
      <c r="Q121" s="2"/>
      <c r="R121" s="7">
        <f t="shared" si="99"/>
        <v>3.1972660322070721E-4</v>
      </c>
      <c r="S121" s="2"/>
      <c r="T121" s="6">
        <v>1608.63</v>
      </c>
      <c r="U121" s="2"/>
      <c r="V121" s="7">
        <f t="shared" si="100"/>
        <v>1.7989505751483628E-4</v>
      </c>
      <c r="W121" s="2"/>
      <c r="X121" s="6">
        <f t="shared" si="101"/>
        <v>624.38000000000011</v>
      </c>
      <c r="Y121" s="2"/>
      <c r="Z121" s="7">
        <f t="shared" si="102"/>
        <v>0.3881439485773609</v>
      </c>
    </row>
    <row r="122" spans="1:26" s="25" customFormat="1" outlineLevel="1" collapsed="1" x14ac:dyDescent="0.25">
      <c r="A122" s="26"/>
      <c r="B122" s="13" t="str">
        <f>CONCATENATE("     ","Travel                                            ")</f>
        <v xml:space="preserve">     Travel                                            </v>
      </c>
      <c r="C122" s="13"/>
      <c r="D122" s="1">
        <f>SUM(OSRRefD22_23x_0)</f>
        <v>1803.4299999999998</v>
      </c>
      <c r="E122" s="1"/>
      <c r="F122" s="5">
        <f t="shared" si="95"/>
        <v>39.802030456852791</v>
      </c>
      <c r="G122" s="1"/>
      <c r="H122" s="1">
        <f>SUM(OSRRefH22_23x_0)</f>
        <v>201.19</v>
      </c>
      <c r="I122" s="1"/>
      <c r="J122" s="5">
        <f t="shared" si="96"/>
        <v>1.6011713261834614E-4</v>
      </c>
      <c r="K122" s="1"/>
      <c r="L122" s="1">
        <f t="shared" si="97"/>
        <v>1602.2399999999998</v>
      </c>
      <c r="M122" s="1"/>
      <c r="N122" s="5">
        <f t="shared" si="98"/>
        <v>7.9638152989711211</v>
      </c>
      <c r="O122" s="13"/>
      <c r="P122" s="1">
        <f>SUM(OSRRefP22_23x_0)</f>
        <v>6407.32</v>
      </c>
      <c r="Q122" s="1"/>
      <c r="R122" s="5">
        <f t="shared" si="99"/>
        <v>9.1741221908907776E-4</v>
      </c>
      <c r="S122" s="1"/>
      <c r="T122" s="1">
        <f>SUM(OSRRefT22_23x_0)</f>
        <v>3811.66</v>
      </c>
      <c r="U122" s="1"/>
      <c r="V122" s="5">
        <f t="shared" si="100"/>
        <v>4.2626259296855133E-4</v>
      </c>
      <c r="W122" s="1"/>
      <c r="X122" s="1">
        <f t="shared" si="101"/>
        <v>2595.66</v>
      </c>
      <c r="Y122" s="1"/>
      <c r="Z122" s="5">
        <f t="shared" si="102"/>
        <v>0.68097889108682308</v>
      </c>
    </row>
    <row r="123" spans="1:26" s="24" customFormat="1" hidden="1" outlineLevel="2" x14ac:dyDescent="0.25">
      <c r="A123" s="27"/>
      <c r="B123" s="11" t="str">
        <f>CONCATENATE("          ", "6292", " - ", "TRAVEL/CONFERENCE")</f>
        <v xml:space="preserve">          6292 - TRAVEL/CONFERENCE</v>
      </c>
      <c r="C123" s="11"/>
      <c r="D123" s="6">
        <v>1547.08</v>
      </c>
      <c r="E123" s="2"/>
      <c r="F123" s="7">
        <f t="shared" si="95"/>
        <v>34.144338998013687</v>
      </c>
      <c r="G123" s="2"/>
      <c r="H123" s="6">
        <v>62.58</v>
      </c>
      <c r="I123" s="2"/>
      <c r="J123" s="7">
        <f t="shared" si="96"/>
        <v>4.9804315121308719E-5</v>
      </c>
      <c r="K123" s="2"/>
      <c r="L123" s="6">
        <f t="shared" si="97"/>
        <v>1484.5</v>
      </c>
      <c r="M123" s="2"/>
      <c r="N123" s="7">
        <f t="shared" si="98"/>
        <v>23.721636305528925</v>
      </c>
      <c r="O123" s="11"/>
      <c r="P123" s="6">
        <v>4995.68</v>
      </c>
      <c r="Q123" s="2"/>
      <c r="R123" s="7">
        <f t="shared" si="99"/>
        <v>7.1529092891550977E-4</v>
      </c>
      <c r="S123" s="2"/>
      <c r="T123" s="6">
        <v>1433.07</v>
      </c>
      <c r="U123" s="2"/>
      <c r="V123" s="7">
        <f t="shared" si="100"/>
        <v>1.6026196830395205E-4</v>
      </c>
      <c r="W123" s="2"/>
      <c r="X123" s="6">
        <f t="shared" si="101"/>
        <v>3562.6100000000006</v>
      </c>
      <c r="Y123" s="2"/>
      <c r="Z123" s="7">
        <f t="shared" si="102"/>
        <v>2.485998590438709</v>
      </c>
    </row>
    <row r="124" spans="1:26" s="24" customFormat="1" hidden="1" outlineLevel="2" x14ac:dyDescent="0.25">
      <c r="A124" s="27"/>
      <c r="B124" s="11" t="str">
        <f>CONCATENATE("          ", "6294", " - ", "TRAVEL OPERATIONAL")</f>
        <v xml:space="preserve">          6294 - TRAVEL OPERATIONAL</v>
      </c>
      <c r="C124" s="11"/>
      <c r="D124" s="6"/>
      <c r="E124" s="2"/>
      <c r="F124" s="7">
        <f t="shared" si="95"/>
        <v>0</v>
      </c>
      <c r="G124" s="2"/>
      <c r="H124" s="6"/>
      <c r="I124" s="2"/>
      <c r="J124" s="7">
        <f t="shared" si="96"/>
        <v>0</v>
      </c>
      <c r="K124" s="2"/>
      <c r="L124" s="6">
        <f t="shared" si="97"/>
        <v>0</v>
      </c>
      <c r="M124" s="2"/>
      <c r="N124" s="7">
        <f t="shared" si="98"/>
        <v>0</v>
      </c>
      <c r="O124" s="11"/>
      <c r="P124" s="6">
        <v>56.99</v>
      </c>
      <c r="Q124" s="2"/>
      <c r="R124" s="7">
        <f t="shared" si="99"/>
        <v>8.1599361926494291E-6</v>
      </c>
      <c r="S124" s="2"/>
      <c r="T124" s="6">
        <v>1299.02</v>
      </c>
      <c r="U124" s="2"/>
      <c r="V124" s="7">
        <f t="shared" si="100"/>
        <v>1.4527099308910227E-4</v>
      </c>
      <c r="W124" s="2"/>
      <c r="X124" s="6">
        <f t="shared" si="101"/>
        <v>-1242.03</v>
      </c>
      <c r="Y124" s="2"/>
      <c r="Z124" s="7">
        <f t="shared" si="102"/>
        <v>-0.95612846607442536</v>
      </c>
    </row>
    <row r="125" spans="1:26" s="24" customFormat="1" hidden="1" outlineLevel="2" x14ac:dyDescent="0.25">
      <c r="A125" s="27"/>
      <c r="B125" s="11" t="str">
        <f>CONCATENATE("          ", "6298", " - ", "VEHICLE MILEAGE")</f>
        <v xml:space="preserve">          6298 - VEHICLE MILEAGE</v>
      </c>
      <c r="C125" s="11"/>
      <c r="D125" s="6">
        <v>256.35000000000002</v>
      </c>
      <c r="E125" s="2"/>
      <c r="F125" s="7">
        <f t="shared" si="95"/>
        <v>5.6576914588391096</v>
      </c>
      <c r="G125" s="2"/>
      <c r="H125" s="6">
        <v>138.61000000000001</v>
      </c>
      <c r="I125" s="2"/>
      <c r="J125" s="7">
        <f t="shared" si="96"/>
        <v>1.1031281749703743E-4</v>
      </c>
      <c r="K125" s="2"/>
      <c r="L125" s="6">
        <f t="shared" si="97"/>
        <v>117.74000000000001</v>
      </c>
      <c r="M125" s="2"/>
      <c r="N125" s="7">
        <f t="shared" si="98"/>
        <v>0.84943366279489207</v>
      </c>
      <c r="O125" s="11"/>
      <c r="P125" s="6">
        <v>1354.65</v>
      </c>
      <c r="Q125" s="2"/>
      <c r="R125" s="7">
        <f t="shared" si="99"/>
        <v>1.9396135398091859E-4</v>
      </c>
      <c r="S125" s="2"/>
      <c r="T125" s="6">
        <v>1079.57</v>
      </c>
      <c r="U125" s="2"/>
      <c r="V125" s="7">
        <f t="shared" si="100"/>
        <v>1.2072963157549702E-4</v>
      </c>
      <c r="W125" s="2"/>
      <c r="X125" s="6">
        <f t="shared" si="101"/>
        <v>275.08000000000015</v>
      </c>
      <c r="Y125" s="2"/>
      <c r="Z125" s="7">
        <f t="shared" si="102"/>
        <v>0.25480515390386926</v>
      </c>
    </row>
    <row r="126" spans="1:26" s="25" customFormat="1" outlineLevel="1" collapsed="1" x14ac:dyDescent="0.25">
      <c r="A126" s="26"/>
      <c r="B126" s="13" t="str">
        <f>CONCATENATE("     ","Utilities                                         ")</f>
        <v xml:space="preserve">     Utilities                                         </v>
      </c>
      <c r="C126" s="13"/>
      <c r="D126" s="1">
        <f>SUM(OSRRefD22_24x_0)</f>
        <v>17274.62</v>
      </c>
      <c r="E126" s="1"/>
      <c r="F126" s="5">
        <f t="shared" ref="F126:F127" si="103">IF(D$12=0,0,D126/D$12)</f>
        <v>381.25402780843081</v>
      </c>
      <c r="G126" s="1"/>
      <c r="H126" s="1">
        <f>SUM(OSRRefH22_24x_0)</f>
        <v>15426</v>
      </c>
      <c r="I126" s="1"/>
      <c r="J126" s="5">
        <f t="shared" ref="J126:J127" si="104">IF(H$12=0,0,H126/H$12)</f>
        <v>1.2276787552913204E-2</v>
      </c>
      <c r="K126" s="1"/>
      <c r="L126" s="1">
        <f t="shared" ref="L126:L127" si="105">+D126-H126</f>
        <v>1848.619999999999</v>
      </c>
      <c r="M126" s="1"/>
      <c r="N126" s="5">
        <f t="shared" ref="N126:N127" si="106">IF(H126=0,0,L126/H126)</f>
        <v>0.11983793595228828</v>
      </c>
      <c r="O126" s="13"/>
      <c r="P126" s="1">
        <f>SUM(OSRRefP22_24x_0)</f>
        <v>169713.74</v>
      </c>
      <c r="Q126" s="1"/>
      <c r="R126" s="5">
        <f t="shared" ref="R126:R127" si="107">IF(P$12=0,0,P126/P$12)</f>
        <v>2.4299934890610549E-2</v>
      </c>
      <c r="S126" s="1"/>
      <c r="T126" s="1">
        <f>SUM(OSRRefT22_24x_0)</f>
        <v>122309.10999999999</v>
      </c>
      <c r="U126" s="1"/>
      <c r="V126" s="5">
        <f t="shared" ref="V126:V127" si="108">IF(T$12=0,0,T126/T$12)</f>
        <v>1.3677977147037187E-2</v>
      </c>
      <c r="W126" s="1"/>
      <c r="X126" s="1">
        <f t="shared" ref="X126:X127" si="109">+P126-T126</f>
        <v>47404.630000000005</v>
      </c>
      <c r="Y126" s="1"/>
      <c r="Z126" s="5">
        <f t="shared" ref="Z126:Z127" si="110">IF(T126=0,0,X126/T126)</f>
        <v>0.38758053263571302</v>
      </c>
    </row>
    <row r="127" spans="1:26" s="24" customFormat="1" hidden="1" outlineLevel="2" x14ac:dyDescent="0.25">
      <c r="A127" s="27"/>
      <c r="B127" s="11" t="str">
        <f>CONCATENATE("          ", "6274", " - ", "UTILITIES")</f>
        <v xml:space="preserve">          6274 - UTILITIES</v>
      </c>
      <c r="C127" s="11"/>
      <c r="D127" s="6">
        <v>17274.62</v>
      </c>
      <c r="E127" s="2"/>
      <c r="F127" s="7">
        <f t="shared" si="103"/>
        <v>381.25402780843081</v>
      </c>
      <c r="G127" s="2"/>
      <c r="H127" s="6">
        <v>15426</v>
      </c>
      <c r="I127" s="2"/>
      <c r="J127" s="7">
        <f t="shared" si="104"/>
        <v>1.2276787552913204E-2</v>
      </c>
      <c r="K127" s="2"/>
      <c r="L127" s="6">
        <f t="shared" si="105"/>
        <v>1848.619999999999</v>
      </c>
      <c r="M127" s="2"/>
      <c r="N127" s="7">
        <f t="shared" si="106"/>
        <v>0.11983793595228828</v>
      </c>
      <c r="O127" s="11"/>
      <c r="P127" s="6">
        <v>169713.74</v>
      </c>
      <c r="Q127" s="2"/>
      <c r="R127" s="7">
        <f t="shared" si="107"/>
        <v>2.4299934890610549E-2</v>
      </c>
      <c r="S127" s="2"/>
      <c r="T127" s="6">
        <v>122309.10999999999</v>
      </c>
      <c r="U127" s="2"/>
      <c r="V127" s="7">
        <f t="shared" si="108"/>
        <v>1.3677977147037187E-2</v>
      </c>
      <c r="W127" s="2"/>
      <c r="X127" s="6">
        <f t="shared" si="109"/>
        <v>47404.630000000005</v>
      </c>
      <c r="Y127" s="2"/>
      <c r="Z127" s="7">
        <f t="shared" si="110"/>
        <v>0.38758053263571302</v>
      </c>
    </row>
    <row r="128" spans="1:26" s="53" customFormat="1" x14ac:dyDescent="0.25">
      <c r="A128" s="37"/>
      <c r="B128" s="37"/>
      <c r="C128" s="37"/>
      <c r="D128" s="1"/>
      <c r="E128" s="1"/>
      <c r="F128" s="5"/>
      <c r="G128" s="1"/>
      <c r="H128" s="1"/>
      <c r="I128" s="1"/>
      <c r="J128" s="5"/>
      <c r="K128" s="1"/>
      <c r="L128" s="1"/>
      <c r="M128" s="1"/>
      <c r="N128" s="5"/>
      <c r="O128" s="37"/>
      <c r="P128" s="1"/>
      <c r="Q128" s="1"/>
      <c r="R128" s="5"/>
      <c r="S128" s="1"/>
      <c r="T128" s="1"/>
      <c r="U128" s="1"/>
      <c r="V128" s="5"/>
      <c r="W128" s="1"/>
      <c r="X128" s="1"/>
      <c r="Y128" s="1"/>
      <c r="Z128" s="5"/>
    </row>
    <row r="129" spans="1:26" s="23" customFormat="1" collapsed="1" x14ac:dyDescent="0.25">
      <c r="A129" s="10"/>
      <c r="B129" s="29" t="s">
        <v>0</v>
      </c>
      <c r="C129" s="10"/>
      <c r="D129" s="4">
        <f>SUM(OSRRefD25x_0)</f>
        <v>24358.23</v>
      </c>
      <c r="E129" s="4"/>
      <c r="F129" s="12">
        <f t="shared" ref="F129:F132" si="111">IF(D$12=0,0,D129/D$12)</f>
        <v>537.59059810196425</v>
      </c>
      <c r="G129" s="4"/>
      <c r="H129" s="4">
        <f>SUM(OSRRefH25x_0)</f>
        <v>46352.67</v>
      </c>
      <c r="I129" s="4"/>
      <c r="J129" s="12">
        <f t="shared" ref="J129:J132" si="112">IF(H$12=0,0,H129/H$12)</f>
        <v>3.6889788804634595E-2</v>
      </c>
      <c r="K129" s="4"/>
      <c r="L129" s="4">
        <f t="shared" ref="L129:L132" si="113">+D129-H129</f>
        <v>-21994.44</v>
      </c>
      <c r="M129" s="4"/>
      <c r="N129" s="12">
        <f t="shared" ref="N129:N132" si="114">IF(H129=0,0,L129/H129)</f>
        <v>-0.47450211605933379</v>
      </c>
      <c r="O129" s="10"/>
      <c r="P129" s="4">
        <f>SUM(OSRRefP25x_0)</f>
        <v>680573.99</v>
      </c>
      <c r="Q129" s="4"/>
      <c r="R129" s="12">
        <f t="shared" ref="R129:R132" si="115">IF(P$12=0,0,P129/P$12)</f>
        <v>9.7445873535301472E-2</v>
      </c>
      <c r="S129" s="4"/>
      <c r="T129" s="4">
        <f>SUM(OSRRefT25x_0)</f>
        <v>629122.37</v>
      </c>
      <c r="U129" s="4"/>
      <c r="V129" s="12">
        <f t="shared" ref="V129:V132" si="116">IF(T$12=0,0,T129/T$12)</f>
        <v>7.0355522982301771E-2</v>
      </c>
      <c r="W129" s="4"/>
      <c r="X129" s="4">
        <f t="shared" ref="X129:X132" si="117">+P129-T129</f>
        <v>51451.619999999995</v>
      </c>
      <c r="Y129" s="4"/>
      <c r="Z129" s="12">
        <f t="shared" ref="Z129:Z132" si="118">IF(T129=0,0,X129/T129)</f>
        <v>8.1783167239785154E-2</v>
      </c>
    </row>
    <row r="130" spans="1:26" s="24" customFormat="1" hidden="1" outlineLevel="1" x14ac:dyDescent="0.25">
      <c r="A130" s="44"/>
      <c r="B130" s="11" t="str">
        <f>CONCATENATE("          ", "9150", " - ", "MISC. INCOME")</f>
        <v xml:space="preserve">          9150 - MISC. INCOME</v>
      </c>
      <c r="C130" s="11"/>
      <c r="D130" s="2">
        <f>--20725.38</f>
        <v>20725.38</v>
      </c>
      <c r="E130" s="2"/>
      <c r="F130" s="19">
        <f t="shared" si="111"/>
        <v>457.41293312734501</v>
      </c>
      <c r="G130" s="2"/>
      <c r="H130" s="2">
        <f>--31551.13</f>
        <v>31551.13</v>
      </c>
      <c r="I130" s="2"/>
      <c r="J130" s="19">
        <f t="shared" si="112"/>
        <v>2.5109977963460806E-2</v>
      </c>
      <c r="K130" s="2"/>
      <c r="L130" s="2">
        <f t="shared" si="113"/>
        <v>-10825.75</v>
      </c>
      <c r="M130" s="2"/>
      <c r="N130" s="19">
        <f t="shared" si="114"/>
        <v>-0.34311766329763782</v>
      </c>
      <c r="O130" s="11"/>
      <c r="P130" s="2">
        <f>--313984.54</f>
        <v>313984.53999999998</v>
      </c>
      <c r="Q130" s="2"/>
      <c r="R130" s="19">
        <f t="shared" si="115"/>
        <v>4.4956901419167965E-2</v>
      </c>
      <c r="S130" s="2"/>
      <c r="T130" s="2">
        <f>--302353.55</f>
        <v>302353.55</v>
      </c>
      <c r="U130" s="2"/>
      <c r="V130" s="19">
        <f t="shared" si="116"/>
        <v>3.3812566759954074E-2</v>
      </c>
      <c r="W130" s="2"/>
      <c r="X130" s="2">
        <f t="shared" si="117"/>
        <v>11630.989999999991</v>
      </c>
      <c r="Y130" s="2"/>
      <c r="Z130" s="19">
        <f t="shared" si="118"/>
        <v>3.8468177403572709E-2</v>
      </c>
    </row>
    <row r="131" spans="1:26" s="24" customFormat="1" hidden="1" outlineLevel="1" x14ac:dyDescent="0.25">
      <c r="A131" s="44"/>
      <c r="B131" s="11" t="str">
        <f>CONCATENATE("          ", "9160", " - ", "MISC. INCOME")</f>
        <v xml:space="preserve">          9160 - MISC. INCOME</v>
      </c>
      <c r="C131" s="11"/>
      <c r="D131" s="2">
        <f>0</f>
        <v>0</v>
      </c>
      <c r="E131" s="2"/>
      <c r="F131" s="19">
        <f t="shared" si="111"/>
        <v>0</v>
      </c>
      <c r="G131" s="2"/>
      <c r="H131" s="2">
        <f>--9962.34</f>
        <v>9962.34</v>
      </c>
      <c r="I131" s="2"/>
      <c r="J131" s="19">
        <f t="shared" si="112"/>
        <v>7.928531810572367E-3</v>
      </c>
      <c r="K131" s="2"/>
      <c r="L131" s="2">
        <f t="shared" si="113"/>
        <v>-9962.34</v>
      </c>
      <c r="M131" s="2"/>
      <c r="N131" s="19">
        <f t="shared" si="114"/>
        <v>-1</v>
      </c>
      <c r="O131" s="11"/>
      <c r="P131" s="2">
        <f>--130089.32</f>
        <v>130089.32</v>
      </c>
      <c r="Q131" s="2"/>
      <c r="R131" s="19">
        <f t="shared" si="115"/>
        <v>1.8626435349099024E-2</v>
      </c>
      <c r="S131" s="2"/>
      <c r="T131" s="2">
        <f>--86579.56</f>
        <v>86579.56</v>
      </c>
      <c r="U131" s="2"/>
      <c r="V131" s="19">
        <f t="shared" si="116"/>
        <v>9.6822979341484473E-3</v>
      </c>
      <c r="W131" s="2"/>
      <c r="X131" s="2">
        <f t="shared" si="117"/>
        <v>43509.760000000009</v>
      </c>
      <c r="Y131" s="2"/>
      <c r="Z131" s="19">
        <f t="shared" si="118"/>
        <v>0.50254078445305117</v>
      </c>
    </row>
    <row r="132" spans="1:26" s="24" customFormat="1" hidden="1" outlineLevel="1" x14ac:dyDescent="0.25">
      <c r="A132" s="44"/>
      <c r="B132" s="11" t="str">
        <f>CONCATENATE("          ", "9165", " - ", "OTHER INCOME")</f>
        <v xml:space="preserve">          9165 - OTHER INCOME</v>
      </c>
      <c r="C132" s="11"/>
      <c r="D132" s="2">
        <f>--3632.85</f>
        <v>3632.85</v>
      </c>
      <c r="E132" s="2"/>
      <c r="F132" s="19">
        <f t="shared" si="111"/>
        <v>80.17766497461929</v>
      </c>
      <c r="G132" s="2"/>
      <c r="H132" s="2">
        <f>--4839.2</f>
        <v>4839.2</v>
      </c>
      <c r="I132" s="2"/>
      <c r="J132" s="19">
        <f t="shared" si="112"/>
        <v>3.8512790306014246E-3</v>
      </c>
      <c r="K132" s="2"/>
      <c r="L132" s="2">
        <f t="shared" si="113"/>
        <v>-1206.3499999999999</v>
      </c>
      <c r="M132" s="2"/>
      <c r="N132" s="19">
        <f t="shared" si="114"/>
        <v>-0.24928707224334601</v>
      </c>
      <c r="O132" s="11"/>
      <c r="P132" s="2">
        <f>--236500.13</f>
        <v>236500.13</v>
      </c>
      <c r="Q132" s="2"/>
      <c r="R132" s="19">
        <f t="shared" si="115"/>
        <v>3.3862536767034483E-2</v>
      </c>
      <c r="S132" s="2"/>
      <c r="T132" s="2">
        <f>--240189.26</f>
        <v>240189.26</v>
      </c>
      <c r="U132" s="2"/>
      <c r="V132" s="19">
        <f t="shared" si="116"/>
        <v>2.6860658288199252E-2</v>
      </c>
      <c r="W132" s="2"/>
      <c r="X132" s="2">
        <f t="shared" si="117"/>
        <v>-3689.1300000000047</v>
      </c>
      <c r="Y132" s="2"/>
      <c r="Z132" s="19">
        <f t="shared" si="118"/>
        <v>-1.5359262941232278E-2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8" t="s">
        <v>3</v>
      </c>
      <c r="C134" s="28"/>
      <c r="D134" s="21">
        <f>+D38-D40+D129</f>
        <v>-306341.68000000005</v>
      </c>
      <c r="E134" s="14"/>
      <c r="F134" s="20">
        <f>IF(D$12=0,0,D134/D$12)</f>
        <v>-6761.0169940410524</v>
      </c>
      <c r="G134" s="14"/>
      <c r="H134" s="21">
        <f>+H38-H40+H129</f>
        <v>260066.91000000009</v>
      </c>
      <c r="I134" s="14"/>
      <c r="J134" s="20">
        <f>IF(H$12=0,0,H134/H$12)</f>
        <v>0.20697434225415529</v>
      </c>
      <c r="K134" s="15"/>
      <c r="L134" s="21">
        <f>+D134-H134</f>
        <v>-566408.59000000008</v>
      </c>
      <c r="M134" s="15"/>
      <c r="N134" s="20">
        <f>IF(H134=0,0,L134/H134)</f>
        <v>-2.1779340939606655</v>
      </c>
      <c r="O134" s="29"/>
      <c r="P134" s="21">
        <f>+P38-P40+P129</f>
        <v>-749913.60000000219</v>
      </c>
      <c r="Q134" s="14"/>
      <c r="R134" s="20">
        <f>IF(P$12=0,0,P134/P$12)</f>
        <v>-0.10737405028952526</v>
      </c>
      <c r="S134" s="14"/>
      <c r="T134" s="21">
        <f>+T38-T40+T129</f>
        <v>624209.7999999997</v>
      </c>
      <c r="U134" s="14"/>
      <c r="V134" s="20">
        <f>IF(T$12=0,0,T134/T$12)</f>
        <v>6.9806144279495205E-2</v>
      </c>
      <c r="W134" s="15"/>
      <c r="X134" s="21">
        <f>+P134-T134</f>
        <v>-1374123.4000000018</v>
      </c>
      <c r="Y134" s="15"/>
      <c r="Z134" s="20">
        <f>IF(T134=0,0,X134/T134)</f>
        <v>-2.2013806896335213</v>
      </c>
    </row>
    <row r="135" spans="1:26" x14ac:dyDescent="0.25">
      <c r="A135" s="9"/>
      <c r="B135" s="10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51"/>
      <c r="B136" s="10" t="s">
        <v>13</v>
      </c>
      <c r="C136" s="10"/>
      <c r="D136" s="4">
        <v>44636.310000000005</v>
      </c>
      <c r="E136" s="4"/>
      <c r="F136" s="12">
        <f>IF(D$12=0,0,D136/D$12)</f>
        <v>985.13153829176804</v>
      </c>
      <c r="G136" s="4"/>
      <c r="H136" s="4">
        <v>138204.54999999999</v>
      </c>
      <c r="I136" s="4"/>
      <c r="J136" s="12">
        <f>IF(H$12=0,0,H136/H$12)</f>
        <v>0.10999013997121551</v>
      </c>
      <c r="K136" s="4"/>
      <c r="L136" s="4">
        <f>+D136-H136</f>
        <v>-93568.239999999991</v>
      </c>
      <c r="M136" s="4"/>
      <c r="N136" s="12">
        <f>IF(H136=0,0,L136/H136)</f>
        <v>-0.67702720351826329</v>
      </c>
      <c r="O136" s="10"/>
      <c r="P136" s="4">
        <v>792997.2</v>
      </c>
      <c r="Q136" s="4"/>
      <c r="R136" s="12">
        <f>IF(P$12=0,0,P136/P$12)</f>
        <v>0.11354284177837617</v>
      </c>
      <c r="S136" s="4"/>
      <c r="T136" s="4">
        <v>929602.22</v>
      </c>
      <c r="U136" s="4"/>
      <c r="V136" s="12">
        <f>IF(T$12=0,0,T136/T$12)</f>
        <v>0.10395855158291183</v>
      </c>
      <c r="W136" s="4"/>
      <c r="X136" s="4">
        <f>+P136-T136</f>
        <v>-136605.02000000002</v>
      </c>
      <c r="Y136" s="4"/>
      <c r="Z136" s="12">
        <f>IF(T136=0,0,X136/T136)</f>
        <v>-0.14694997178470595</v>
      </c>
    </row>
    <row r="137" spans="1:26" x14ac:dyDescent="0.25">
      <c r="A137" s="9"/>
      <c r="B137" s="10"/>
      <c r="C137" s="10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O137" s="10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8" t="s">
        <v>4</v>
      </c>
      <c r="C138" s="28"/>
      <c r="D138" s="30">
        <f>+D134-D136</f>
        <v>-350977.99000000005</v>
      </c>
      <c r="E138" s="14"/>
      <c r="F138" s="36">
        <f>IF(D$12=0,0,D138/D$12)</f>
        <v>-7746.1485323328207</v>
      </c>
      <c r="G138" s="14"/>
      <c r="H138" s="30">
        <f>+H134-H136</f>
        <v>121862.3600000001</v>
      </c>
      <c r="I138" s="14"/>
      <c r="J138" s="36">
        <f>IF(H$12=0,0,H138/H$12)</f>
        <v>9.6984202282939788E-2</v>
      </c>
      <c r="K138" s="15"/>
      <c r="L138" s="30">
        <f>D138-H138</f>
        <v>-472840.35000000015</v>
      </c>
      <c r="M138" s="15"/>
      <c r="N138" s="36">
        <f>IF(H138=0,0,L138/H138)</f>
        <v>-3.8801181103008324</v>
      </c>
      <c r="O138" s="29"/>
      <c r="P138" s="30">
        <f>+P134-P136</f>
        <v>-1542910.8000000021</v>
      </c>
      <c r="Q138" s="14"/>
      <c r="R138" s="36">
        <f>IF(P$12=0,0,P138/P$12)</f>
        <v>-0.22091689206790144</v>
      </c>
      <c r="S138" s="14"/>
      <c r="T138" s="30">
        <f>+T134-T136</f>
        <v>-305392.42000000027</v>
      </c>
      <c r="U138" s="14"/>
      <c r="V138" s="36">
        <f>IF(T$12=0,0,T138/T$12)</f>
        <v>-3.4152407303416621E-2</v>
      </c>
      <c r="W138" s="15"/>
      <c r="X138" s="30">
        <f>P138-T138</f>
        <v>-1237518.3800000018</v>
      </c>
      <c r="Y138" s="15"/>
      <c r="Z138" s="36">
        <f>IF(T138=0,0,X138/T138)</f>
        <v>4.0522236275543468</v>
      </c>
    </row>
    <row r="139" spans="1:26" ht="15.75" thickTop="1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x14ac:dyDescent="0.25">
      <c r="A140" s="9"/>
      <c r="B140" s="9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8" t="s">
        <v>5</v>
      </c>
      <c r="C141" s="28"/>
      <c r="D141" s="31">
        <f>SUM(D138:D140)</f>
        <v>-350977.99000000005</v>
      </c>
      <c r="E141" s="14"/>
      <c r="F141" s="32">
        <f>IF(D$12=0,0,D141/D$12)</f>
        <v>-7746.1485323328207</v>
      </c>
      <c r="G141" s="14"/>
      <c r="H141" s="31">
        <f>SUM(H138:H140)</f>
        <v>121862.3600000001</v>
      </c>
      <c r="I141" s="14"/>
      <c r="J141" s="32">
        <f>IF(H$12=0,0,H141/H$12)</f>
        <v>9.6984202282939788E-2</v>
      </c>
      <c r="K141" s="15"/>
      <c r="L141" s="31">
        <f>+D141-H141</f>
        <v>-472840.35000000015</v>
      </c>
      <c r="M141" s="15"/>
      <c r="N141" s="32">
        <f>IF(H141=0,0,L141/H141)</f>
        <v>-3.8801181103008324</v>
      </c>
      <c r="O141" s="29"/>
      <c r="P141" s="31">
        <f>SUM(P138:P140)</f>
        <v>-1542910.8000000021</v>
      </c>
      <c r="Q141" s="14"/>
      <c r="R141" s="32">
        <f>IF(P$12=0,0,P141/P$12)</f>
        <v>-0.22091689206790144</v>
      </c>
      <c r="S141" s="14"/>
      <c r="T141" s="31">
        <f>SUM(T138:T140)</f>
        <v>-305392.42000000027</v>
      </c>
      <c r="U141" s="14"/>
      <c r="V141" s="32">
        <f>IF(T$12=0,0,T141/T$12)</f>
        <v>-3.4152407303416621E-2</v>
      </c>
      <c r="W141" s="15"/>
      <c r="X141" s="31">
        <f>+P141-T141</f>
        <v>-1237518.3800000018</v>
      </c>
      <c r="Y141" s="15"/>
      <c r="Z141" s="32">
        <f>IF(T141=0,0,X141/T141)</f>
        <v>4.0522236275543468</v>
      </c>
    </row>
    <row r="142" spans="1:26" ht="15.75" thickTop="1" x14ac:dyDescent="0.25">
      <c r="A142" s="9"/>
      <c r="C142" s="9"/>
      <c r="D142" s="17"/>
      <c r="E142" s="17"/>
      <c r="G142" s="17"/>
      <c r="H142" s="17"/>
      <c r="I142" s="17"/>
      <c r="J142" s="43"/>
      <c r="K142" s="17"/>
      <c r="L142" s="17"/>
      <c r="M142" s="17"/>
      <c r="P142" s="17"/>
      <c r="Q142" s="17"/>
      <c r="R142" s="43"/>
      <c r="S142" s="17"/>
      <c r="T142" s="17"/>
      <c r="U142" s="17"/>
      <c r="V142" s="43"/>
      <c r="W142" s="17"/>
      <c r="X142" s="17"/>
    </row>
    <row r="143" spans="1:26" x14ac:dyDescent="0.25">
      <c r="A143" s="9"/>
      <c r="B143" s="54">
        <v>43965.470598263892</v>
      </c>
      <c r="D143" s="17"/>
      <c r="E143" s="17"/>
      <c r="G143" s="17"/>
      <c r="H143" s="17"/>
      <c r="I143" s="17"/>
      <c r="J143" s="43"/>
      <c r="K143" s="17"/>
      <c r="L143" s="17"/>
      <c r="M143" s="17"/>
      <c r="P143" s="17"/>
      <c r="Q143" s="17"/>
      <c r="R143" s="43"/>
      <c r="S143" s="17"/>
      <c r="T143" s="17"/>
      <c r="U143" s="17"/>
      <c r="V143" s="43"/>
      <c r="W143" s="17"/>
      <c r="X143" s="17"/>
    </row>
    <row r="144" spans="1:26" x14ac:dyDescent="0.25">
      <c r="A144" s="9"/>
      <c r="B144" s="59" t="s">
        <v>313</v>
      </c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  <row r="145" spans="1:24" x14ac:dyDescent="0.25">
      <c r="A145" s="9"/>
      <c r="B145" s="61"/>
      <c r="D145" s="17"/>
      <c r="E145" s="17"/>
      <c r="G145" s="17"/>
      <c r="H145" s="17"/>
      <c r="I145" s="17"/>
      <c r="J145" s="43"/>
      <c r="K145" s="17"/>
      <c r="L145" s="17"/>
      <c r="M145" s="17"/>
      <c r="P145" s="17"/>
      <c r="Q145" s="17"/>
      <c r="R145" s="43"/>
      <c r="S145" s="17"/>
      <c r="T145" s="17"/>
      <c r="U145" s="17"/>
      <c r="V145" s="43"/>
      <c r="W145" s="17"/>
      <c r="X145" s="17"/>
    </row>
    <row r="146" spans="1:24" x14ac:dyDescent="0.25">
      <c r="D146" s="17"/>
      <c r="E146" s="17"/>
      <c r="G146" s="17"/>
      <c r="H146" s="17"/>
      <c r="I146" s="17"/>
      <c r="J146" s="43"/>
      <c r="K146" s="17"/>
      <c r="L146" s="17"/>
      <c r="M146" s="17"/>
      <c r="P146" s="17"/>
      <c r="Q146" s="17"/>
      <c r="R146" s="43"/>
      <c r="S146" s="17"/>
      <c r="T146" s="17"/>
      <c r="U146" s="17"/>
      <c r="V146" s="43"/>
      <c r="W146" s="17"/>
      <c r="X146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913526.17</v>
      </c>
      <c r="I12" s="4"/>
      <c r="J12" s="12"/>
      <c r="K12" s="4"/>
      <c r="L12" s="4">
        <f t="shared" ref="L12:L24" si="0">+D12-H12</f>
        <v>-913526.17</v>
      </c>
      <c r="M12" s="4"/>
      <c r="N12" s="12">
        <f t="shared" ref="N12:N24" si="1">IF(H12=0,0,L12/H12)</f>
        <v>-1</v>
      </c>
      <c r="O12" s="10"/>
      <c r="P12" s="4">
        <f>SUM(OSRRefP13x_0)</f>
        <v>4619542.3499999996</v>
      </c>
      <c r="Q12" s="4"/>
      <c r="R12" s="12"/>
      <c r="S12" s="4"/>
      <c r="T12" s="4">
        <f>SUM(OSRRefT13x_0)</f>
        <v>6169651.4799999986</v>
      </c>
      <c r="U12" s="4"/>
      <c r="V12" s="12"/>
      <c r="W12" s="4"/>
      <c r="X12" s="4">
        <f t="shared" ref="X12:X24" si="2">+P12-T12</f>
        <v>-1550109.129999999</v>
      </c>
      <c r="Y12" s="4"/>
      <c r="Z12" s="12">
        <f t="shared" ref="Z12:Z24" si="3">IF(T12=0,0,X12/T12)</f>
        <v>-0.25124743837232105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24" si="4">0</f>
        <v>0</v>
      </c>
      <c r="E13" s="2"/>
      <c r="F13" s="19"/>
      <c r="G13" s="2"/>
      <c r="H13" s="2">
        <f>--74612.36</f>
        <v>74612.36</v>
      </c>
      <c r="I13" s="2"/>
      <c r="J13" s="19"/>
      <c r="K13" s="2"/>
      <c r="L13" s="2">
        <f t="shared" si="0"/>
        <v>-74612.36</v>
      </c>
      <c r="M13" s="2"/>
      <c r="N13" s="19">
        <f t="shared" si="1"/>
        <v>-1</v>
      </c>
      <c r="O13" s="11"/>
      <c r="P13" s="2">
        <f>--454738.68</f>
        <v>454738.68</v>
      </c>
      <c r="Q13" s="2"/>
      <c r="R13" s="19"/>
      <c r="S13" s="2"/>
      <c r="T13" s="2">
        <f>--597879.62</f>
        <v>597879.62</v>
      </c>
      <c r="U13" s="2"/>
      <c r="V13" s="19"/>
      <c r="W13" s="2"/>
      <c r="X13" s="2">
        <f t="shared" si="2"/>
        <v>-143140.94</v>
      </c>
      <c r="Y13" s="2"/>
      <c r="Z13" s="19">
        <f t="shared" si="3"/>
        <v>-0.23941431554398862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>
        <f>--249445.54</f>
        <v>249445.54</v>
      </c>
      <c r="I14" s="2"/>
      <c r="J14" s="19"/>
      <c r="K14" s="2"/>
      <c r="L14" s="2">
        <f t="shared" si="0"/>
        <v>-249445.54</v>
      </c>
      <c r="M14" s="2"/>
      <c r="N14" s="19">
        <f t="shared" si="1"/>
        <v>-1</v>
      </c>
      <c r="O14" s="11"/>
      <c r="P14" s="2">
        <f>--836487.29</f>
        <v>836487.29</v>
      </c>
      <c r="Q14" s="2"/>
      <c r="R14" s="19"/>
      <c r="S14" s="2"/>
      <c r="T14" s="2">
        <f>--1357340.2</f>
        <v>1357340.2</v>
      </c>
      <c r="U14" s="2"/>
      <c r="V14" s="19"/>
      <c r="W14" s="2"/>
      <c r="X14" s="2">
        <f t="shared" si="2"/>
        <v>-520852.90999999992</v>
      </c>
      <c r="Y14" s="2"/>
      <c r="Z14" s="19">
        <f t="shared" si="3"/>
        <v>-0.38373055627469072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>
        <f>--72290.37</f>
        <v>72290.37</v>
      </c>
      <c r="I15" s="2"/>
      <c r="J15" s="19"/>
      <c r="K15" s="2"/>
      <c r="L15" s="2">
        <f t="shared" si="0"/>
        <v>-72290.37</v>
      </c>
      <c r="M15" s="2"/>
      <c r="N15" s="19">
        <f t="shared" si="1"/>
        <v>-1</v>
      </c>
      <c r="O15" s="11"/>
      <c r="P15" s="2">
        <f>--253270.4</f>
        <v>253270.39999999999</v>
      </c>
      <c r="Q15" s="2"/>
      <c r="R15" s="19"/>
      <c r="S15" s="2"/>
      <c r="T15" s="2">
        <f>--288486.9</f>
        <v>288486.90000000002</v>
      </c>
      <c r="U15" s="2"/>
      <c r="V15" s="19"/>
      <c r="W15" s="2"/>
      <c r="X15" s="2">
        <f t="shared" si="2"/>
        <v>-35216.500000000029</v>
      </c>
      <c r="Y15" s="2"/>
      <c r="Z15" s="19">
        <f t="shared" si="3"/>
        <v>-0.12207313399672577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--77745.55</f>
        <v>77745.55</v>
      </c>
      <c r="I16" s="2"/>
      <c r="J16" s="19"/>
      <c r="K16" s="2"/>
      <c r="L16" s="2">
        <f t="shared" si="0"/>
        <v>-77745.55</v>
      </c>
      <c r="M16" s="2"/>
      <c r="N16" s="19">
        <f t="shared" si="1"/>
        <v>-1</v>
      </c>
      <c r="O16" s="11"/>
      <c r="P16" s="2">
        <f>--381406.04</f>
        <v>381406.04</v>
      </c>
      <c r="Q16" s="2"/>
      <c r="R16" s="19"/>
      <c r="S16" s="2"/>
      <c r="T16" s="2">
        <f>--565234.97</f>
        <v>565234.97</v>
      </c>
      <c r="U16" s="2"/>
      <c r="V16" s="19"/>
      <c r="W16" s="2"/>
      <c r="X16" s="2">
        <f t="shared" si="2"/>
        <v>-183828.93</v>
      </c>
      <c r="Y16" s="2"/>
      <c r="Z16" s="19">
        <f t="shared" si="3"/>
        <v>-0.32522568446180888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4"/>
        <v>0</v>
      </c>
      <c r="E18" s="2"/>
      <c r="F18" s="19"/>
      <c r="G18" s="2"/>
      <c r="H18" s="2">
        <f>--25564.27</f>
        <v>25564.27</v>
      </c>
      <c r="I18" s="2"/>
      <c r="J18" s="19"/>
      <c r="K18" s="2"/>
      <c r="L18" s="2">
        <f t="shared" si="0"/>
        <v>-25564.27</v>
      </c>
      <c r="M18" s="2"/>
      <c r="N18" s="19">
        <f t="shared" si="1"/>
        <v>-1</v>
      </c>
      <c r="O18" s="11"/>
      <c r="P18" s="2">
        <f>--117077.57</f>
        <v>117077.57</v>
      </c>
      <c r="Q18" s="2"/>
      <c r="R18" s="19"/>
      <c r="S18" s="2"/>
      <c r="T18" s="2">
        <f>--194463.42</f>
        <v>194463.42</v>
      </c>
      <c r="U18" s="2"/>
      <c r="V18" s="19"/>
      <c r="W18" s="2"/>
      <c r="X18" s="2">
        <f t="shared" si="2"/>
        <v>-77385.850000000006</v>
      </c>
      <c r="Y18" s="2"/>
      <c r="Z18" s="19">
        <f t="shared" si="3"/>
        <v>-0.3979455364921588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 t="shared" si="4"/>
        <v>0</v>
      </c>
      <c r="E19" s="2"/>
      <c r="F19" s="19"/>
      <c r="G19" s="2"/>
      <c r="H19" s="2">
        <f>--218715.65</f>
        <v>218715.65</v>
      </c>
      <c r="I19" s="2"/>
      <c r="J19" s="19"/>
      <c r="K19" s="2"/>
      <c r="L19" s="2">
        <f t="shared" si="0"/>
        <v>-218715.65</v>
      </c>
      <c r="M19" s="2"/>
      <c r="N19" s="19">
        <f t="shared" si="1"/>
        <v>-1</v>
      </c>
      <c r="O19" s="11"/>
      <c r="P19" s="2">
        <f>--1363402.11</f>
        <v>1363402.11</v>
      </c>
      <c r="Q19" s="2"/>
      <c r="R19" s="19"/>
      <c r="S19" s="2"/>
      <c r="T19" s="2">
        <f>--1687218.52</f>
        <v>1687218.52</v>
      </c>
      <c r="U19" s="2"/>
      <c r="V19" s="19"/>
      <c r="W19" s="2"/>
      <c r="X19" s="2">
        <f t="shared" si="2"/>
        <v>-323816.40999999992</v>
      </c>
      <c r="Y19" s="2"/>
      <c r="Z19" s="19">
        <f t="shared" si="3"/>
        <v>-0.19192321928756442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 t="shared" si="4"/>
        <v>0</v>
      </c>
      <c r="E20" s="2"/>
      <c r="F20" s="19"/>
      <c r="G20" s="2"/>
      <c r="H20" s="2">
        <f>--8154.41</f>
        <v>8154.41</v>
      </c>
      <c r="I20" s="2"/>
      <c r="J20" s="19"/>
      <c r="K20" s="2"/>
      <c r="L20" s="2">
        <f t="shared" si="0"/>
        <v>-8154.41</v>
      </c>
      <c r="M20" s="2"/>
      <c r="N20" s="19">
        <f t="shared" si="1"/>
        <v>-1</v>
      </c>
      <c r="O20" s="11"/>
      <c r="P20" s="2">
        <f>--51415.27</f>
        <v>51415.27</v>
      </c>
      <c r="Q20" s="2"/>
      <c r="R20" s="19"/>
      <c r="S20" s="2"/>
      <c r="T20" s="2">
        <f>--70563.55</f>
        <v>70563.55</v>
      </c>
      <c r="U20" s="2"/>
      <c r="V20" s="19"/>
      <c r="W20" s="2"/>
      <c r="X20" s="2">
        <f t="shared" si="2"/>
        <v>-19148.280000000006</v>
      </c>
      <c r="Y20" s="2"/>
      <c r="Z20" s="19">
        <f t="shared" si="3"/>
        <v>-0.27136219762186009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-498.41</f>
        <v>-498.41</v>
      </c>
      <c r="Q21" s="2"/>
      <c r="R21" s="19"/>
      <c r="S21" s="2"/>
      <c r="T21" s="2">
        <f>--527.13</f>
        <v>527.13</v>
      </c>
      <c r="U21" s="2"/>
      <c r="V21" s="19"/>
      <c r="W21" s="2"/>
      <c r="X21" s="2">
        <f t="shared" si="2"/>
        <v>-1025.54</v>
      </c>
      <c r="Y21" s="2"/>
      <c r="Z21" s="19">
        <f t="shared" si="3"/>
        <v>-1.9455162863050859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 t="shared" si="4"/>
        <v>0</v>
      </c>
      <c r="E22" s="2"/>
      <c r="F22" s="19"/>
      <c r="G22" s="2"/>
      <c r="H22" s="2">
        <f>--112129.52</f>
        <v>112129.52</v>
      </c>
      <c r="I22" s="2"/>
      <c r="J22" s="19"/>
      <c r="K22" s="2"/>
      <c r="L22" s="2">
        <f t="shared" si="0"/>
        <v>-112129.52</v>
      </c>
      <c r="M22" s="2"/>
      <c r="N22" s="19">
        <f t="shared" si="1"/>
        <v>-1</v>
      </c>
      <c r="O22" s="11"/>
      <c r="P22" s="2">
        <f>--687389.73</f>
        <v>687389.73</v>
      </c>
      <c r="Q22" s="2"/>
      <c r="R22" s="19"/>
      <c r="S22" s="2"/>
      <c r="T22" s="2">
        <f>--826375.78</f>
        <v>826375.78</v>
      </c>
      <c r="U22" s="2"/>
      <c r="V22" s="19"/>
      <c r="W22" s="2"/>
      <c r="X22" s="2">
        <f t="shared" si="2"/>
        <v>-138986.05000000005</v>
      </c>
      <c r="Y22" s="2"/>
      <c r="Z22" s="19">
        <f t="shared" si="3"/>
        <v>-0.16818746793377709</v>
      </c>
    </row>
    <row r="23" spans="1:26" s="24" customFormat="1" hidden="1" outlineLevel="1" x14ac:dyDescent="0.25">
      <c r="A23" s="44"/>
      <c r="B23" s="11" t="str">
        <f>CONCATENATE("          ", "4157", " - ", "NON-TAXABLE SALES-FOOD")</f>
        <v xml:space="preserve">          4157 - NON-TAXABLE SALES-FOOD</v>
      </c>
      <c r="C23" s="11"/>
      <c r="D23" s="2">
        <f t="shared" si="4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--208</f>
        <v>208</v>
      </c>
      <c r="U23" s="2"/>
      <c r="V23" s="19"/>
      <c r="W23" s="2"/>
      <c r="X23" s="2">
        <f t="shared" si="2"/>
        <v>-208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4"/>
        <v>0</v>
      </c>
      <c r="E24" s="2"/>
      <c r="F24" s="19"/>
      <c r="G24" s="2"/>
      <c r="H24" s="2">
        <f>--74868.5</f>
        <v>74868.5</v>
      </c>
      <c r="I24" s="2"/>
      <c r="J24" s="19"/>
      <c r="K24" s="2"/>
      <c r="L24" s="2">
        <f t="shared" si="0"/>
        <v>-74868.5</v>
      </c>
      <c r="M24" s="2"/>
      <c r="N24" s="19">
        <f t="shared" si="1"/>
        <v>-1</v>
      </c>
      <c r="O24" s="11"/>
      <c r="P24" s="2">
        <f>--474853.67</f>
        <v>474853.67</v>
      </c>
      <c r="Q24" s="2"/>
      <c r="R24" s="19"/>
      <c r="S24" s="2"/>
      <c r="T24" s="2">
        <f>--569847.31</f>
        <v>569847.31000000006</v>
      </c>
      <c r="U24" s="2"/>
      <c r="V24" s="19"/>
      <c r="W24" s="2"/>
      <c r="X24" s="2">
        <f t="shared" si="2"/>
        <v>-94993.640000000072</v>
      </c>
      <c r="Y24" s="2"/>
      <c r="Z24" s="19">
        <f t="shared" si="3"/>
        <v>-0.16670016394391696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97933.2</v>
      </c>
      <c r="E26" s="4"/>
      <c r="F26" s="12">
        <f t="shared" ref="F26:F28" si="5">IF(D$12=0,0,D26/D$12)</f>
        <v>0</v>
      </c>
      <c r="G26" s="4"/>
      <c r="H26" s="4">
        <f>SUM(OSRRefH16x_0)</f>
        <v>279184.36000000004</v>
      </c>
      <c r="I26" s="4"/>
      <c r="J26" s="12">
        <f t="shared" ref="J26:J28" si="6">IF(H$12=0,0,H26/H$12)</f>
        <v>0.30561178121476262</v>
      </c>
      <c r="K26" s="4"/>
      <c r="L26" s="4">
        <f t="shared" ref="L26:L28" si="7">+D26-H26</f>
        <v>-181251.16000000003</v>
      </c>
      <c r="M26" s="4"/>
      <c r="N26" s="12">
        <f t="shared" ref="N26:N28" si="8">IF(H26=0,0,L26/H26)</f>
        <v>-0.64921673979158434</v>
      </c>
      <c r="O26" s="10"/>
      <c r="P26" s="4">
        <f>SUM(OSRRefP16x_0)</f>
        <v>1627445.67</v>
      </c>
      <c r="Q26" s="4"/>
      <c r="R26" s="12">
        <f t="shared" ref="R26:R28" si="9">IF(P$12=0,0,P26/P$12)</f>
        <v>0.35229586541186275</v>
      </c>
      <c r="S26" s="4"/>
      <c r="T26" s="4">
        <f>SUM(OSRRefT16x_0)</f>
        <v>1929747.02</v>
      </c>
      <c r="U26" s="4"/>
      <c r="V26" s="12">
        <f t="shared" ref="V26:V28" si="10">IF(T$12=0,0,T26/T$12)</f>
        <v>0.31278055596099902</v>
      </c>
      <c r="W26" s="4"/>
      <c r="X26" s="4">
        <f t="shared" ref="X26:X28" si="11">+P26-T26</f>
        <v>-302301.35000000009</v>
      </c>
      <c r="Y26" s="4"/>
      <c r="Z26" s="12">
        <f t="shared" ref="Z26:Z28" si="12">IF(T26=0,0,X26/T26)</f>
        <v>-0.15665335759917384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13014.2</v>
      </c>
      <c r="E27" s="2"/>
      <c r="F27" s="19">
        <f t="shared" si="5"/>
        <v>0</v>
      </c>
      <c r="G27" s="2"/>
      <c r="H27" s="2">
        <v>281726.53000000003</v>
      </c>
      <c r="I27" s="2"/>
      <c r="J27" s="19">
        <f t="shared" si="6"/>
        <v>0.30839459147623544</v>
      </c>
      <c r="K27" s="2"/>
      <c r="L27" s="2">
        <f t="shared" si="7"/>
        <v>-268712.33</v>
      </c>
      <c r="M27" s="2"/>
      <c r="N27" s="19">
        <f t="shared" si="8"/>
        <v>-0.95380555746737794</v>
      </c>
      <c r="O27" s="11"/>
      <c r="P27" s="2">
        <v>1596745.68</v>
      </c>
      <c r="Q27" s="2"/>
      <c r="R27" s="19">
        <f t="shared" si="9"/>
        <v>0.3456501876208582</v>
      </c>
      <c r="S27" s="2"/>
      <c r="T27" s="2">
        <v>1982949.95</v>
      </c>
      <c r="U27" s="2"/>
      <c r="V27" s="19">
        <f t="shared" si="10"/>
        <v>0.32140388422718497</v>
      </c>
      <c r="W27" s="2"/>
      <c r="X27" s="2">
        <f t="shared" si="11"/>
        <v>-386204.27</v>
      </c>
      <c r="Y27" s="2"/>
      <c r="Z27" s="19">
        <f t="shared" si="12"/>
        <v>-0.19476249009714039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84919</v>
      </c>
      <c r="E28" s="2"/>
      <c r="F28" s="19">
        <f t="shared" si="5"/>
        <v>0</v>
      </c>
      <c r="G28" s="2"/>
      <c r="H28" s="2">
        <v>-2542.17</v>
      </c>
      <c r="I28" s="2"/>
      <c r="J28" s="19">
        <f t="shared" si="6"/>
        <v>-2.7828102614728596E-3</v>
      </c>
      <c r="K28" s="2"/>
      <c r="L28" s="2">
        <f t="shared" si="7"/>
        <v>87461.17</v>
      </c>
      <c r="M28" s="2"/>
      <c r="N28" s="19">
        <f t="shared" si="8"/>
        <v>-34.404138983624222</v>
      </c>
      <c r="O28" s="11"/>
      <c r="P28" s="2">
        <v>30699.99</v>
      </c>
      <c r="Q28" s="2"/>
      <c r="R28" s="19">
        <f t="shared" si="9"/>
        <v>6.6456777910045579E-3</v>
      </c>
      <c r="S28" s="2"/>
      <c r="T28" s="2">
        <v>-53202.93</v>
      </c>
      <c r="U28" s="2"/>
      <c r="V28" s="19">
        <f t="shared" si="10"/>
        <v>-8.6233282661859548E-3</v>
      </c>
      <c r="W28" s="2"/>
      <c r="X28" s="2">
        <f t="shared" si="11"/>
        <v>83902.92</v>
      </c>
      <c r="Y28" s="2"/>
      <c r="Z28" s="19">
        <f t="shared" si="12"/>
        <v>-1.5770357008533176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1">
        <f>D12-D26</f>
        <v>-97933.2</v>
      </c>
      <c r="E30" s="14"/>
      <c r="F30" s="20">
        <f>IF(D$12=0,0,D30/D$12)</f>
        <v>0</v>
      </c>
      <c r="G30" s="14"/>
      <c r="H30" s="21">
        <f>H12-H26</f>
        <v>634341.81000000006</v>
      </c>
      <c r="I30" s="14"/>
      <c r="J30" s="20">
        <f>IF(H$12=0,0,H30/H$12)</f>
        <v>0.69438821878523749</v>
      </c>
      <c r="K30" s="15"/>
      <c r="L30" s="21">
        <f>+D30-H30</f>
        <v>-732275.01</v>
      </c>
      <c r="M30" s="15"/>
      <c r="N30" s="20">
        <f>IF(H30=0,0,L30/H30)</f>
        <v>-1.1543855354576107</v>
      </c>
      <c r="O30" s="29"/>
      <c r="P30" s="21">
        <f>P12-P26</f>
        <v>2992096.6799999997</v>
      </c>
      <c r="Q30" s="14"/>
      <c r="R30" s="20">
        <f>IF(P$12=0,0,P30/P$12)</f>
        <v>0.64770413458813725</v>
      </c>
      <c r="S30" s="14"/>
      <c r="T30" s="21">
        <f>T12-T26</f>
        <v>4239904.459999999</v>
      </c>
      <c r="U30" s="14"/>
      <c r="V30" s="20">
        <f>IF(T$12=0,0,T30/T$12)</f>
        <v>0.68721944403900104</v>
      </c>
      <c r="W30" s="15"/>
      <c r="X30" s="21">
        <f>+P30-T30</f>
        <v>-1247807.7799999993</v>
      </c>
      <c r="Y30" s="15"/>
      <c r="Z30" s="20">
        <f>IF(T30=0,0,X30/T30)</f>
        <v>-0.29430091922401469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2">
        <f>SUM(OSRRefD22x_0)</f>
        <v>94425.29</v>
      </c>
      <c r="E32" s="22"/>
      <c r="F32" s="35">
        <f t="shared" ref="F32:F42" si="13">IF(D$12=0,0,D32/D$12)</f>
        <v>0</v>
      </c>
      <c r="G32" s="22"/>
      <c r="H32" s="22">
        <f>SUM(OSRRefH22x_0)</f>
        <v>497644.1100000001</v>
      </c>
      <c r="I32" s="22"/>
      <c r="J32" s="35">
        <f t="shared" ref="J32:J42" si="14">IF(H$12=0,0,H32/H$12)</f>
        <v>0.54475079788901948</v>
      </c>
      <c r="K32" s="4"/>
      <c r="L32" s="22">
        <f t="shared" ref="L32:L42" si="15">+D32-H32</f>
        <v>-403218.82000000012</v>
      </c>
      <c r="M32" s="4"/>
      <c r="N32" s="35">
        <f t="shared" ref="N32:N42" si="16">IF(H32=0,0,L32/H32)</f>
        <v>-0.81025538511849371</v>
      </c>
      <c r="O32" s="10"/>
      <c r="P32" s="22">
        <f>SUM(OSRRefP22x_0)</f>
        <v>4556869.12</v>
      </c>
      <c r="Q32" s="22"/>
      <c r="R32" s="35">
        <f t="shared" ref="R32:R42" si="17">IF(P$12=0,0,P32/P$12)</f>
        <v>0.98643302187715642</v>
      </c>
      <c r="S32" s="22"/>
      <c r="T32" s="22">
        <f>SUM(OSRRefT22x_0)</f>
        <v>4664534.4799999977</v>
      </c>
      <c r="U32" s="22"/>
      <c r="V32" s="35">
        <f t="shared" ref="V32:V42" si="18">IF(T$12=0,0,T32/T$12)</f>
        <v>0.75604505296950719</v>
      </c>
      <c r="W32" s="4"/>
      <c r="X32" s="22">
        <f t="shared" ref="X32:X42" si="19">+P32-T32</f>
        <v>-107665.35999999754</v>
      </c>
      <c r="Y32" s="4"/>
      <c r="Z32" s="35">
        <f t="shared" ref="Z32:Z42" si="20">IF(T32=0,0,X32/T32)</f>
        <v>-2.3081694531711897E-2</v>
      </c>
    </row>
    <row r="33" spans="1:26" s="25" customFormat="1" outlineLevel="1" collapsed="1" x14ac:dyDescent="0.25">
      <c r="A33" s="26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-27619.179999999997</v>
      </c>
      <c r="E33" s="1"/>
      <c r="F33" s="5">
        <f t="shared" si="13"/>
        <v>0</v>
      </c>
      <c r="G33" s="1"/>
      <c r="H33" s="1">
        <f>SUM(OSRRefH22_0x_0)</f>
        <v>58058.640000000007</v>
      </c>
      <c r="I33" s="1"/>
      <c r="J33" s="5">
        <f t="shared" si="14"/>
        <v>6.3554435446551039E-2</v>
      </c>
      <c r="K33" s="1"/>
      <c r="L33" s="1">
        <f t="shared" si="15"/>
        <v>-85677.82</v>
      </c>
      <c r="M33" s="1"/>
      <c r="N33" s="5">
        <f t="shared" si="16"/>
        <v>-1.4757117975894716</v>
      </c>
      <c r="O33" s="13"/>
      <c r="P33" s="1">
        <f>SUM(OSRRefP22_0x_0)</f>
        <v>592509.13000000012</v>
      </c>
      <c r="Q33" s="1"/>
      <c r="R33" s="5">
        <f t="shared" si="17"/>
        <v>0.12826143481507429</v>
      </c>
      <c r="S33" s="1"/>
      <c r="T33" s="1">
        <f>SUM(OSRRefT22_0x_0)</f>
        <v>597466.73</v>
      </c>
      <c r="U33" s="1"/>
      <c r="V33" s="5">
        <f t="shared" si="18"/>
        <v>9.6839624075491557E-2</v>
      </c>
      <c r="W33" s="1"/>
      <c r="X33" s="1">
        <f t="shared" si="19"/>
        <v>-4957.5999999998603</v>
      </c>
      <c r="Y33" s="1"/>
      <c r="Z33" s="5">
        <f t="shared" si="20"/>
        <v>-8.2977005263537608E-3</v>
      </c>
    </row>
    <row r="34" spans="1:26" s="24" customFormat="1" hidden="1" outlineLevel="2" x14ac:dyDescent="0.25">
      <c r="A34" s="27"/>
      <c r="B34" s="11" t="str">
        <f>CONCATENATE("          ", "6111", " - ", "F.I.C.A.")</f>
        <v xml:space="preserve">          6111 - F.I.C.A.</v>
      </c>
      <c r="C34" s="11"/>
      <c r="D34" s="6">
        <v>4659.51</v>
      </c>
      <c r="E34" s="2"/>
      <c r="F34" s="7">
        <f t="shared" si="13"/>
        <v>0</v>
      </c>
      <c r="G34" s="2"/>
      <c r="H34" s="6">
        <v>10292.41</v>
      </c>
      <c r="I34" s="2"/>
      <c r="J34" s="7">
        <f t="shared" si="14"/>
        <v>1.126668325221597E-2</v>
      </c>
      <c r="K34" s="2"/>
      <c r="L34" s="6">
        <f t="shared" si="15"/>
        <v>-5632.9</v>
      </c>
      <c r="M34" s="2"/>
      <c r="N34" s="7">
        <f t="shared" si="16"/>
        <v>-0.54728678705959044</v>
      </c>
      <c r="O34" s="11"/>
      <c r="P34" s="6">
        <v>131554.29999999999</v>
      </c>
      <c r="Q34" s="2"/>
      <c r="R34" s="7">
        <f t="shared" si="17"/>
        <v>2.8477777674232166E-2</v>
      </c>
      <c r="S34" s="2"/>
      <c r="T34" s="6">
        <v>110946.97</v>
      </c>
      <c r="U34" s="2"/>
      <c r="V34" s="7">
        <f t="shared" si="18"/>
        <v>1.7982696487743911E-2</v>
      </c>
      <c r="W34" s="2"/>
      <c r="X34" s="6">
        <f t="shared" si="19"/>
        <v>20607.329999999987</v>
      </c>
      <c r="Y34" s="2"/>
      <c r="Z34" s="7">
        <f t="shared" si="20"/>
        <v>0.18574035865963701</v>
      </c>
    </row>
    <row r="35" spans="1:26" s="24" customFormat="1" hidden="1" outlineLevel="2" x14ac:dyDescent="0.25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1079.5999999999999</v>
      </c>
      <c r="E35" s="2"/>
      <c r="F35" s="7">
        <f t="shared" si="13"/>
        <v>0</v>
      </c>
      <c r="G35" s="2"/>
      <c r="H35" s="6">
        <v>7348.71</v>
      </c>
      <c r="I35" s="2"/>
      <c r="J35" s="7">
        <f t="shared" si="14"/>
        <v>8.0443344058769538E-3</v>
      </c>
      <c r="K35" s="2"/>
      <c r="L35" s="6">
        <f t="shared" si="15"/>
        <v>-6269.1100000000006</v>
      </c>
      <c r="M35" s="2"/>
      <c r="N35" s="7">
        <f t="shared" si="16"/>
        <v>-0.85308986203020676</v>
      </c>
      <c r="O35" s="11"/>
      <c r="P35" s="6">
        <v>69936.58</v>
      </c>
      <c r="Q35" s="2"/>
      <c r="R35" s="7">
        <f t="shared" si="17"/>
        <v>1.5139287553019187E-2</v>
      </c>
      <c r="S35" s="2"/>
      <c r="T35" s="6">
        <v>66477.260000000009</v>
      </c>
      <c r="U35" s="2"/>
      <c r="V35" s="7">
        <f t="shared" si="18"/>
        <v>1.0774880917584672E-2</v>
      </c>
      <c r="W35" s="2"/>
      <c r="X35" s="6">
        <f t="shared" si="19"/>
        <v>3459.3199999999924</v>
      </c>
      <c r="Y35" s="2"/>
      <c r="Z35" s="7">
        <f t="shared" si="20"/>
        <v>5.2037644150796709E-2</v>
      </c>
    </row>
    <row r="36" spans="1:26" s="24" customFormat="1" hidden="1" outlineLevel="2" x14ac:dyDescent="0.25">
      <c r="A36" s="27"/>
      <c r="B36" s="11" t="str">
        <f>CONCATENATE("          ", "6113", " - ", "GROUP INSURANCE")</f>
        <v xml:space="preserve">          6113 - GROUP INSURANCE</v>
      </c>
      <c r="C36" s="11"/>
      <c r="D36" s="6">
        <v>13618.52</v>
      </c>
      <c r="E36" s="2"/>
      <c r="F36" s="7">
        <f t="shared" si="13"/>
        <v>0</v>
      </c>
      <c r="G36" s="2"/>
      <c r="H36" s="6">
        <v>21987.38</v>
      </c>
      <c r="I36" s="2"/>
      <c r="J36" s="7">
        <f t="shared" si="14"/>
        <v>2.4068691978468445E-2</v>
      </c>
      <c r="K36" s="2"/>
      <c r="L36" s="6">
        <f t="shared" si="15"/>
        <v>-8368.86</v>
      </c>
      <c r="M36" s="2"/>
      <c r="N36" s="7">
        <f t="shared" si="16"/>
        <v>-0.38062106535658186</v>
      </c>
      <c r="O36" s="11"/>
      <c r="P36" s="6">
        <v>222094.82</v>
      </c>
      <c r="Q36" s="2"/>
      <c r="R36" s="7">
        <f t="shared" si="17"/>
        <v>4.8077234317377787E-2</v>
      </c>
      <c r="S36" s="2"/>
      <c r="T36" s="6">
        <v>213065.38</v>
      </c>
      <c r="U36" s="2"/>
      <c r="V36" s="7">
        <f t="shared" si="18"/>
        <v>3.4534427218569572E-2</v>
      </c>
      <c r="W36" s="2"/>
      <c r="X36" s="6">
        <f t="shared" si="19"/>
        <v>9029.4400000000023</v>
      </c>
      <c r="Y36" s="2"/>
      <c r="Z36" s="7">
        <f t="shared" si="20"/>
        <v>4.2378729007969303E-2</v>
      </c>
    </row>
    <row r="37" spans="1:26" s="24" customFormat="1" hidden="1" outlineLevel="2" x14ac:dyDescent="0.25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113.19</v>
      </c>
      <c r="E37" s="2"/>
      <c r="F37" s="7">
        <f t="shared" si="13"/>
        <v>0</v>
      </c>
      <c r="G37" s="2"/>
      <c r="H37" s="6">
        <v>553.53</v>
      </c>
      <c r="I37" s="2"/>
      <c r="J37" s="7">
        <f t="shared" si="14"/>
        <v>6.0592681214595087E-4</v>
      </c>
      <c r="K37" s="2"/>
      <c r="L37" s="6">
        <f t="shared" si="15"/>
        <v>-440.34</v>
      </c>
      <c r="M37" s="2"/>
      <c r="N37" s="7">
        <f t="shared" si="16"/>
        <v>-0.79551243835022489</v>
      </c>
      <c r="O37" s="11"/>
      <c r="P37" s="6">
        <v>6005.79</v>
      </c>
      <c r="Q37" s="2"/>
      <c r="R37" s="7">
        <f t="shared" si="17"/>
        <v>1.3000833296830802E-3</v>
      </c>
      <c r="S37" s="2"/>
      <c r="T37" s="6">
        <v>5729</v>
      </c>
      <c r="U37" s="2"/>
      <c r="V37" s="7">
        <f t="shared" si="18"/>
        <v>9.2857757339641518E-4</v>
      </c>
      <c r="W37" s="2"/>
      <c r="X37" s="6">
        <f t="shared" si="19"/>
        <v>276.78999999999996</v>
      </c>
      <c r="Y37" s="2"/>
      <c r="Z37" s="7">
        <f t="shared" si="20"/>
        <v>4.8313841857217661E-2</v>
      </c>
    </row>
    <row r="38" spans="1:26" s="24" customFormat="1" hidden="1" outlineLevel="2" x14ac:dyDescent="0.25">
      <c r="A38" s="27"/>
      <c r="B38" s="11" t="str">
        <f>CONCATENATE("          ", "6115", " - ", "P.E.R.S.")</f>
        <v xml:space="preserve">          6115 - P.E.R.S.</v>
      </c>
      <c r="C38" s="11"/>
      <c r="D38" s="6">
        <v>5258.02</v>
      </c>
      <c r="E38" s="2"/>
      <c r="F38" s="7">
        <f t="shared" si="13"/>
        <v>0</v>
      </c>
      <c r="G38" s="2"/>
      <c r="H38" s="6">
        <v>6054.16</v>
      </c>
      <c r="I38" s="2"/>
      <c r="J38" s="7">
        <f t="shared" si="14"/>
        <v>6.6272430925542062E-3</v>
      </c>
      <c r="K38" s="2"/>
      <c r="L38" s="6">
        <f t="shared" si="15"/>
        <v>-796.13999999999942</v>
      </c>
      <c r="M38" s="2"/>
      <c r="N38" s="7">
        <f t="shared" si="16"/>
        <v>-0.13150296655522806</v>
      </c>
      <c r="O38" s="11"/>
      <c r="P38" s="6">
        <v>72868.53</v>
      </c>
      <c r="Q38" s="2"/>
      <c r="R38" s="7">
        <f t="shared" si="17"/>
        <v>1.5773971635956535E-2</v>
      </c>
      <c r="S38" s="2"/>
      <c r="T38" s="6">
        <v>69032.009999999995</v>
      </c>
      <c r="U38" s="2"/>
      <c r="V38" s="7">
        <f t="shared" si="18"/>
        <v>1.118896427517491E-2</v>
      </c>
      <c r="W38" s="2"/>
      <c r="X38" s="6">
        <f t="shared" si="19"/>
        <v>3836.5200000000041</v>
      </c>
      <c r="Y38" s="2"/>
      <c r="Z38" s="7">
        <f t="shared" si="20"/>
        <v>5.5575956719209021E-2</v>
      </c>
    </row>
    <row r="39" spans="1:26" s="24" customFormat="1" hidden="1" outlineLevel="2" x14ac:dyDescent="0.25">
      <c r="A39" s="27"/>
      <c r="B39" s="11" t="str">
        <f>CONCATENATE("          ", "6117", " - ", "RETIREMENT STAFF HOURLY")</f>
        <v xml:space="preserve">          6117 - RETIREMENT STAFF HOURLY</v>
      </c>
      <c r="C39" s="11"/>
      <c r="D39" s="6">
        <v>505.87</v>
      </c>
      <c r="E39" s="2"/>
      <c r="F39" s="7">
        <f t="shared" si="13"/>
        <v>0</v>
      </c>
      <c r="G39" s="2"/>
      <c r="H39" s="6">
        <v>84</v>
      </c>
      <c r="I39" s="2"/>
      <c r="J39" s="7">
        <f t="shared" si="14"/>
        <v>9.1951388759886317E-5</v>
      </c>
      <c r="K39" s="2"/>
      <c r="L39" s="6">
        <f t="shared" si="15"/>
        <v>421.87</v>
      </c>
      <c r="M39" s="2"/>
      <c r="N39" s="7">
        <f t="shared" si="16"/>
        <v>5.0222619047619048</v>
      </c>
      <c r="O39" s="11"/>
      <c r="P39" s="6">
        <v>1352.45</v>
      </c>
      <c r="Q39" s="2"/>
      <c r="R39" s="7">
        <f t="shared" si="17"/>
        <v>2.9276709629039339E-4</v>
      </c>
      <c r="S39" s="2"/>
      <c r="T39" s="6">
        <v>616</v>
      </c>
      <c r="U39" s="2"/>
      <c r="V39" s="7">
        <f t="shared" si="18"/>
        <v>9.9843565231662025E-5</v>
      </c>
      <c r="W39" s="2"/>
      <c r="X39" s="6">
        <f t="shared" si="19"/>
        <v>736.45</v>
      </c>
      <c r="Y39" s="2"/>
      <c r="Z39" s="7">
        <f t="shared" si="20"/>
        <v>1.1955357142857144</v>
      </c>
    </row>
    <row r="40" spans="1:26" s="24" customFormat="1" hidden="1" outlineLevel="2" x14ac:dyDescent="0.25">
      <c r="A40" s="27"/>
      <c r="B40" s="11" t="str">
        <f>CONCATENATE("          ", "6118", " - ", "VACATION")</f>
        <v xml:space="preserve">          6118 - VACATION</v>
      </c>
      <c r="C40" s="11"/>
      <c r="D40" s="6">
        <v>4237.8</v>
      </c>
      <c r="E40" s="2"/>
      <c r="F40" s="7">
        <f t="shared" si="13"/>
        <v>0</v>
      </c>
      <c r="G40" s="2"/>
      <c r="H40" s="6">
        <v>5252</v>
      </c>
      <c r="I40" s="2"/>
      <c r="J40" s="7">
        <f t="shared" si="14"/>
        <v>5.7491511162728924E-3</v>
      </c>
      <c r="K40" s="2"/>
      <c r="L40" s="6">
        <f t="shared" si="15"/>
        <v>-1014.1999999999998</v>
      </c>
      <c r="M40" s="2"/>
      <c r="N40" s="7">
        <f t="shared" si="16"/>
        <v>-0.19310738766184307</v>
      </c>
      <c r="O40" s="11"/>
      <c r="P40" s="6">
        <v>72889.119999999995</v>
      </c>
      <c r="Q40" s="2"/>
      <c r="R40" s="7">
        <f t="shared" si="17"/>
        <v>1.5778428787431725E-2</v>
      </c>
      <c r="S40" s="2"/>
      <c r="T40" s="6">
        <v>59182.680000000008</v>
      </c>
      <c r="U40" s="2"/>
      <c r="V40" s="7">
        <f t="shared" si="18"/>
        <v>9.5925483298126297E-3</v>
      </c>
      <c r="W40" s="2"/>
      <c r="X40" s="6">
        <f t="shared" si="19"/>
        <v>13706.439999999988</v>
      </c>
      <c r="Y40" s="2"/>
      <c r="Z40" s="7">
        <f t="shared" si="20"/>
        <v>0.23159546002310111</v>
      </c>
    </row>
    <row r="41" spans="1:26" s="24" customFormat="1" hidden="1" outlineLevel="2" x14ac:dyDescent="0.25">
      <c r="A41" s="27"/>
      <c r="B41" s="11" t="str">
        <f>CONCATENATE("          ", "6119", " - ", "SICK LEAVE")</f>
        <v xml:space="preserve">          6119 - SICK LEAVE</v>
      </c>
      <c r="C41" s="11"/>
      <c r="D41" s="6">
        <v>-57611.689999999995</v>
      </c>
      <c r="E41" s="2"/>
      <c r="F41" s="7">
        <f t="shared" si="13"/>
        <v>0</v>
      </c>
      <c r="G41" s="2"/>
      <c r="H41" s="6">
        <v>4038.94</v>
      </c>
      <c r="I41" s="2"/>
      <c r="J41" s="7">
        <f t="shared" si="14"/>
        <v>4.421263596641134E-3</v>
      </c>
      <c r="K41" s="2"/>
      <c r="L41" s="6">
        <f t="shared" si="15"/>
        <v>-61650.63</v>
      </c>
      <c r="M41" s="2"/>
      <c r="N41" s="7">
        <f t="shared" si="16"/>
        <v>-15.264061857814179</v>
      </c>
      <c r="O41" s="11"/>
      <c r="P41" s="6">
        <v>-9596.99</v>
      </c>
      <c r="Q41" s="2"/>
      <c r="R41" s="7">
        <f t="shared" si="17"/>
        <v>-2.0774763543405985E-3</v>
      </c>
      <c r="S41" s="2"/>
      <c r="T41" s="6">
        <v>45395.199999999997</v>
      </c>
      <c r="U41" s="2"/>
      <c r="V41" s="7">
        <f t="shared" si="18"/>
        <v>7.3578224227343241E-3</v>
      </c>
      <c r="W41" s="2"/>
      <c r="X41" s="6">
        <f t="shared" si="19"/>
        <v>-54992.189999999995</v>
      </c>
      <c r="Y41" s="2"/>
      <c r="Z41" s="7">
        <f t="shared" si="20"/>
        <v>-1.2114097966304807</v>
      </c>
    </row>
    <row r="42" spans="1:26" s="24" customFormat="1" hidden="1" outlineLevel="2" x14ac:dyDescent="0.25">
      <c r="A42" s="27"/>
      <c r="B42" s="11" t="str">
        <f>CONCATENATE("          ", "6156", " - ", "EMPLOYEE MEALS")</f>
        <v xml:space="preserve">          6156 - EMPLOYEE MEALS</v>
      </c>
      <c r="C42" s="11"/>
      <c r="D42" s="6">
        <v>520</v>
      </c>
      <c r="E42" s="2"/>
      <c r="F42" s="7">
        <f t="shared" si="13"/>
        <v>0</v>
      </c>
      <c r="G42" s="2"/>
      <c r="H42" s="6">
        <v>2447.5100000000002</v>
      </c>
      <c r="I42" s="2"/>
      <c r="J42" s="7">
        <f t="shared" si="14"/>
        <v>2.6791898036155879E-3</v>
      </c>
      <c r="K42" s="2"/>
      <c r="L42" s="6">
        <f t="shared" si="15"/>
        <v>-1927.5100000000002</v>
      </c>
      <c r="M42" s="2"/>
      <c r="N42" s="7">
        <f t="shared" si="16"/>
        <v>-0.78753917246507676</v>
      </c>
      <c r="O42" s="11"/>
      <c r="P42" s="6">
        <v>25404.53</v>
      </c>
      <c r="Q42" s="2"/>
      <c r="R42" s="7">
        <f t="shared" si="17"/>
        <v>5.4993607754239985E-3</v>
      </c>
      <c r="S42" s="2"/>
      <c r="T42" s="6">
        <v>27022.230000000003</v>
      </c>
      <c r="U42" s="2"/>
      <c r="V42" s="7">
        <f t="shared" si="18"/>
        <v>4.3798632852434655E-3</v>
      </c>
      <c r="W42" s="2"/>
      <c r="X42" s="6">
        <f t="shared" si="19"/>
        <v>-1617.7000000000044</v>
      </c>
      <c r="Y42" s="2"/>
      <c r="Z42" s="7">
        <f t="shared" si="20"/>
        <v>-5.9865525532126852E-2</v>
      </c>
    </row>
    <row r="43" spans="1:26" s="25" customFormat="1" outlineLevel="1" collapsed="1" x14ac:dyDescent="0.25">
      <c r="A43" s="26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24762.12</v>
      </c>
      <c r="E43" s="1"/>
      <c r="F43" s="5">
        <f t="shared" ref="F43:F50" si="21">IF(D$12=0,0,D43/D$12)</f>
        <v>0</v>
      </c>
      <c r="G43" s="1"/>
      <c r="H43" s="1">
        <f>SUM(OSRRefH22_1x_0)</f>
        <v>217613.63</v>
      </c>
      <c r="I43" s="1"/>
      <c r="J43" s="5">
        <f t="shared" ref="J43:J50" si="22">IF(H$12=0,0,H43/H$12)</f>
        <v>0.2382128034711912</v>
      </c>
      <c r="K43" s="1"/>
      <c r="L43" s="1">
        <f t="shared" ref="L43:L50" si="23">+D43-H43</f>
        <v>-192851.51</v>
      </c>
      <c r="M43" s="1"/>
      <c r="N43" s="5">
        <f t="shared" ref="N43:N50" si="24">IF(H43=0,0,L43/H43)</f>
        <v>-0.88621062017117225</v>
      </c>
      <c r="O43" s="13"/>
      <c r="P43" s="1">
        <f>SUM(OSRRefP22_1x_0)</f>
        <v>2104542.6800000002</v>
      </c>
      <c r="Q43" s="1"/>
      <c r="R43" s="5">
        <f t="shared" ref="R43:R50" si="25">IF(P$12=0,0,P43/P$12)</f>
        <v>0.45557384705002224</v>
      </c>
      <c r="S43" s="1"/>
      <c r="T43" s="1">
        <f>SUM(OSRRefT22_1x_0)</f>
        <v>2089118.8300000003</v>
      </c>
      <c r="U43" s="1"/>
      <c r="V43" s="5">
        <f t="shared" ref="V43:V50" si="26">IF(T$12=0,0,T43/T$12)</f>
        <v>0.33861213016201053</v>
      </c>
      <c r="W43" s="1"/>
      <c r="X43" s="1">
        <f t="shared" ref="X43:X50" si="27">+P43-T43</f>
        <v>15423.84999999986</v>
      </c>
      <c r="Y43" s="1"/>
      <c r="Z43" s="5">
        <f t="shared" ref="Z43:Z50" si="28">IF(T43=0,0,X43/T43)</f>
        <v>7.3829452774593282E-3</v>
      </c>
    </row>
    <row r="44" spans="1:26" s="24" customFormat="1" hidden="1" outlineLevel="2" x14ac:dyDescent="0.25">
      <c r="A44" s="27"/>
      <c r="B44" s="11" t="str">
        <f>CONCATENATE("          ", "6001", " - ", "ADMINISTRATIVE SALARIES")</f>
        <v xml:space="preserve">          6001 - ADMINISTRATIVE SALARIES</v>
      </c>
      <c r="C44" s="11"/>
      <c r="D44" s="6">
        <v>16603.919999999998</v>
      </c>
      <c r="E44" s="2"/>
      <c r="F44" s="7">
        <f t="shared" si="21"/>
        <v>0</v>
      </c>
      <c r="G44" s="2"/>
      <c r="H44" s="6">
        <v>13474.56</v>
      </c>
      <c r="I44" s="2"/>
      <c r="J44" s="7">
        <f t="shared" si="22"/>
        <v>1.4750053630100164E-2</v>
      </c>
      <c r="K44" s="2"/>
      <c r="L44" s="6">
        <f t="shared" si="23"/>
        <v>3129.3599999999988</v>
      </c>
      <c r="M44" s="2"/>
      <c r="N44" s="7">
        <f t="shared" si="24"/>
        <v>0.23224209176403526</v>
      </c>
      <c r="O44" s="11"/>
      <c r="P44" s="6">
        <v>169475.39</v>
      </c>
      <c r="Q44" s="2"/>
      <c r="R44" s="7">
        <f t="shared" si="25"/>
        <v>3.6686618967785849E-2</v>
      </c>
      <c r="S44" s="2"/>
      <c r="T44" s="6">
        <v>166047.81</v>
      </c>
      <c r="U44" s="2"/>
      <c r="V44" s="7">
        <f t="shared" si="26"/>
        <v>2.6913645047580554E-2</v>
      </c>
      <c r="W44" s="2"/>
      <c r="X44" s="6">
        <f t="shared" si="27"/>
        <v>3427.5800000000163</v>
      </c>
      <c r="Y44" s="2"/>
      <c r="Z44" s="7">
        <f t="shared" si="28"/>
        <v>2.0642127107849337E-2</v>
      </c>
    </row>
    <row r="45" spans="1:26" s="24" customFormat="1" hidden="1" outlineLevel="2" x14ac:dyDescent="0.25">
      <c r="A45" s="27"/>
      <c r="B45" s="11" t="str">
        <f>CONCATENATE("          ", "6002", " - ", "STAFF SALARIES")</f>
        <v xml:space="preserve">          6002 - STAFF SALARIES</v>
      </c>
      <c r="C45" s="11"/>
      <c r="D45" s="6">
        <v>5272.91</v>
      </c>
      <c r="E45" s="2"/>
      <c r="F45" s="7">
        <f t="shared" si="21"/>
        <v>0</v>
      </c>
      <c r="G45" s="2"/>
      <c r="H45" s="6">
        <v>54849.57</v>
      </c>
      <c r="I45" s="2"/>
      <c r="J45" s="7">
        <f t="shared" si="22"/>
        <v>6.0041596837888067E-2</v>
      </c>
      <c r="K45" s="2"/>
      <c r="L45" s="6">
        <f t="shared" si="23"/>
        <v>-49576.66</v>
      </c>
      <c r="M45" s="2"/>
      <c r="N45" s="7">
        <f t="shared" si="24"/>
        <v>-0.9038659737897673</v>
      </c>
      <c r="O45" s="11"/>
      <c r="P45" s="6">
        <v>584908.9800000001</v>
      </c>
      <c r="Q45" s="2"/>
      <c r="R45" s="7">
        <f t="shared" si="25"/>
        <v>0.12661621772987972</v>
      </c>
      <c r="S45" s="2"/>
      <c r="T45" s="6">
        <v>582682.94000000006</v>
      </c>
      <c r="U45" s="2"/>
      <c r="V45" s="7">
        <f t="shared" si="26"/>
        <v>9.4443412547510736E-2</v>
      </c>
      <c r="W45" s="2"/>
      <c r="X45" s="6">
        <f t="shared" si="27"/>
        <v>2226.0400000000373</v>
      </c>
      <c r="Y45" s="2"/>
      <c r="Z45" s="7">
        <f t="shared" si="28"/>
        <v>3.8203280844296508E-3</v>
      </c>
    </row>
    <row r="46" spans="1:26" s="24" customFormat="1" hidden="1" outlineLevel="2" x14ac:dyDescent="0.25">
      <c r="A46" s="27"/>
      <c r="B46" s="11" t="str">
        <f>CONCATENATE("          ", "6004", " - ", "STAFF HOURLY")</f>
        <v xml:space="preserve">          6004 - STAFF HOURLY</v>
      </c>
      <c r="C46" s="11"/>
      <c r="D46" s="6">
        <v>6319.45</v>
      </c>
      <c r="E46" s="2"/>
      <c r="F46" s="7">
        <f t="shared" si="21"/>
        <v>0</v>
      </c>
      <c r="G46" s="2"/>
      <c r="H46" s="6">
        <v>11663.23</v>
      </c>
      <c r="I46" s="2"/>
      <c r="J46" s="7">
        <f t="shared" si="22"/>
        <v>1.2767264237213916E-2</v>
      </c>
      <c r="K46" s="2"/>
      <c r="L46" s="6">
        <f t="shared" si="23"/>
        <v>-5343.78</v>
      </c>
      <c r="M46" s="2"/>
      <c r="N46" s="7">
        <f t="shared" si="24"/>
        <v>-0.45817325046320789</v>
      </c>
      <c r="O46" s="11"/>
      <c r="P46" s="6">
        <v>220904.82</v>
      </c>
      <c r="Q46" s="2"/>
      <c r="R46" s="7">
        <f t="shared" si="25"/>
        <v>4.7819633042221171E-2</v>
      </c>
      <c r="S46" s="2"/>
      <c r="T46" s="6">
        <v>136085.67000000001</v>
      </c>
      <c r="U46" s="2"/>
      <c r="V46" s="7">
        <f t="shared" si="26"/>
        <v>2.2057270243083495E-2</v>
      </c>
      <c r="W46" s="2"/>
      <c r="X46" s="6">
        <f t="shared" si="27"/>
        <v>84819.15</v>
      </c>
      <c r="Y46" s="2"/>
      <c r="Z46" s="7">
        <f t="shared" si="28"/>
        <v>0.62327760152850764</v>
      </c>
    </row>
    <row r="47" spans="1:26" s="24" customFormat="1" hidden="1" outlineLevel="2" x14ac:dyDescent="0.25">
      <c r="A47" s="27"/>
      <c r="B47" s="11" t="str">
        <f>CONCATENATE("          ", "6005", " - ", "TEMPORARY WAGES-HOURLY")</f>
        <v xml:space="preserve">          6005 - TEMPORARY WAGES-HOURLY</v>
      </c>
      <c r="C47" s="11"/>
      <c r="D47" s="6">
        <v>104.84</v>
      </c>
      <c r="E47" s="2"/>
      <c r="F47" s="7">
        <f t="shared" si="21"/>
        <v>0</v>
      </c>
      <c r="G47" s="2"/>
      <c r="H47" s="6">
        <v>44700.17</v>
      </c>
      <c r="I47" s="2"/>
      <c r="J47" s="7">
        <f t="shared" si="22"/>
        <v>4.89314608250358E-2</v>
      </c>
      <c r="K47" s="2"/>
      <c r="L47" s="6">
        <f t="shared" si="23"/>
        <v>-44595.33</v>
      </c>
      <c r="M47" s="2"/>
      <c r="N47" s="7">
        <f t="shared" si="24"/>
        <v>-0.9976545950496386</v>
      </c>
      <c r="O47" s="11"/>
      <c r="P47" s="6">
        <v>437740.4</v>
      </c>
      <c r="Q47" s="2"/>
      <c r="R47" s="7">
        <f t="shared" si="25"/>
        <v>9.4758390947536186E-2</v>
      </c>
      <c r="S47" s="2"/>
      <c r="T47" s="6">
        <v>387981.19</v>
      </c>
      <c r="U47" s="2"/>
      <c r="V47" s="7">
        <f t="shared" si="26"/>
        <v>6.2885430604582557E-2</v>
      </c>
      <c r="W47" s="2"/>
      <c r="X47" s="6">
        <f t="shared" si="27"/>
        <v>49759.210000000021</v>
      </c>
      <c r="Y47" s="2"/>
      <c r="Z47" s="7">
        <f t="shared" si="28"/>
        <v>0.12825160415637682</v>
      </c>
    </row>
    <row r="48" spans="1:26" s="24" customFormat="1" hidden="1" outlineLevel="2" x14ac:dyDescent="0.25">
      <c r="A48" s="27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21"/>
        <v>0</v>
      </c>
      <c r="G48" s="2"/>
      <c r="H48" s="6">
        <v>2263.02</v>
      </c>
      <c r="I48" s="2"/>
      <c r="J48" s="7">
        <f t="shared" si="22"/>
        <v>2.4772360927547373E-3</v>
      </c>
      <c r="K48" s="2"/>
      <c r="L48" s="6">
        <f t="shared" si="23"/>
        <v>-2263.02</v>
      </c>
      <c r="M48" s="2"/>
      <c r="N48" s="7">
        <f t="shared" si="24"/>
        <v>-1</v>
      </c>
      <c r="O48" s="11"/>
      <c r="P48" s="6">
        <v>11826.56</v>
      </c>
      <c r="Q48" s="2"/>
      <c r="R48" s="7">
        <f t="shared" si="25"/>
        <v>2.5601150728708009E-3</v>
      </c>
      <c r="S48" s="2"/>
      <c r="T48" s="6">
        <v>12345.02</v>
      </c>
      <c r="U48" s="2"/>
      <c r="V48" s="7">
        <f t="shared" si="26"/>
        <v>2.0009266390522279E-3</v>
      </c>
      <c r="W48" s="2"/>
      <c r="X48" s="6">
        <f t="shared" si="27"/>
        <v>-518.46000000000095</v>
      </c>
      <c r="Y48" s="2"/>
      <c r="Z48" s="7">
        <f t="shared" si="28"/>
        <v>-4.1997501826647583E-2</v>
      </c>
    </row>
    <row r="49" spans="1:26" s="24" customFormat="1" hidden="1" outlineLevel="2" x14ac:dyDescent="0.25">
      <c r="A49" s="27"/>
      <c r="B49" s="11" t="str">
        <f>CONCATENATE("          ", "6007", " - ", "STUDENT HOURLY")</f>
        <v xml:space="preserve">          6007 - STUDENT HOURLY</v>
      </c>
      <c r="C49" s="11"/>
      <c r="D49" s="6">
        <v>-3539</v>
      </c>
      <c r="E49" s="2"/>
      <c r="F49" s="7">
        <f t="shared" si="21"/>
        <v>0</v>
      </c>
      <c r="G49" s="2"/>
      <c r="H49" s="6">
        <v>85673.05</v>
      </c>
      <c r="I49" s="2"/>
      <c r="J49" s="7">
        <f t="shared" si="22"/>
        <v>9.3782808652323552E-2</v>
      </c>
      <c r="K49" s="2"/>
      <c r="L49" s="6">
        <f t="shared" si="23"/>
        <v>-89212.05</v>
      </c>
      <c r="M49" s="2"/>
      <c r="N49" s="7">
        <f t="shared" si="24"/>
        <v>-1.0413082060227807</v>
      </c>
      <c r="O49" s="11"/>
      <c r="P49" s="6">
        <v>643229.24</v>
      </c>
      <c r="Q49" s="2"/>
      <c r="R49" s="7">
        <f t="shared" si="25"/>
        <v>0.13924090121178348</v>
      </c>
      <c r="S49" s="2"/>
      <c r="T49" s="6">
        <v>744194.09</v>
      </c>
      <c r="U49" s="2"/>
      <c r="V49" s="7">
        <f t="shared" si="26"/>
        <v>0.12062173891222785</v>
      </c>
      <c r="W49" s="2"/>
      <c r="X49" s="6">
        <f t="shared" si="27"/>
        <v>-100964.84999999998</v>
      </c>
      <c r="Y49" s="2"/>
      <c r="Z49" s="7">
        <f t="shared" si="28"/>
        <v>-0.1356700508062352</v>
      </c>
    </row>
    <row r="50" spans="1:26" s="24" customFormat="1" hidden="1" outlineLevel="2" x14ac:dyDescent="0.25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6"/>
      <c r="E50" s="2"/>
      <c r="F50" s="7">
        <f t="shared" si="21"/>
        <v>0</v>
      </c>
      <c r="G50" s="2"/>
      <c r="H50" s="6">
        <v>4990.03</v>
      </c>
      <c r="I50" s="2"/>
      <c r="J50" s="7">
        <f t="shared" si="22"/>
        <v>5.4623831958749459E-3</v>
      </c>
      <c r="K50" s="2"/>
      <c r="L50" s="6">
        <f t="shared" si="23"/>
        <v>-4990.03</v>
      </c>
      <c r="M50" s="2"/>
      <c r="N50" s="7">
        <f t="shared" si="24"/>
        <v>-1</v>
      </c>
      <c r="O50" s="11"/>
      <c r="P50" s="6">
        <v>36457.29</v>
      </c>
      <c r="Q50" s="2"/>
      <c r="R50" s="7">
        <f t="shared" si="25"/>
        <v>7.89197007794506E-3</v>
      </c>
      <c r="S50" s="2"/>
      <c r="T50" s="6">
        <v>59782.109999999993</v>
      </c>
      <c r="U50" s="2"/>
      <c r="V50" s="7">
        <f t="shared" si="26"/>
        <v>9.6897061679730428E-3</v>
      </c>
      <c r="W50" s="2"/>
      <c r="X50" s="6">
        <f t="shared" si="27"/>
        <v>-23324.819999999992</v>
      </c>
      <c r="Y50" s="2"/>
      <c r="Z50" s="7">
        <f t="shared" si="28"/>
        <v>-0.39016388013069453</v>
      </c>
    </row>
    <row r="51" spans="1:26" s="25" customFormat="1" outlineLevel="1" collapsed="1" x14ac:dyDescent="0.25">
      <c r="A51" s="26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256.07</v>
      </c>
      <c r="E51" s="1"/>
      <c r="F51" s="5">
        <f t="shared" ref="F51:F60" si="29">IF(D$12=0,0,D51/D$12)</f>
        <v>0</v>
      </c>
      <c r="G51" s="1"/>
      <c r="H51" s="1">
        <f>SUM(OSRRefH22_2x_0)</f>
        <v>3693.56</v>
      </c>
      <c r="I51" s="1"/>
      <c r="J51" s="5">
        <f t="shared" ref="J51:J60" si="30">IF(H$12=0,0,H51/H$12)</f>
        <v>4.0431901365234014E-3</v>
      </c>
      <c r="K51" s="1"/>
      <c r="L51" s="1">
        <f t="shared" ref="L51:L60" si="31">+D51-H51</f>
        <v>-3437.49</v>
      </c>
      <c r="M51" s="1"/>
      <c r="N51" s="5">
        <f t="shared" ref="N51:N60" si="32">IF(H51=0,0,L51/H51)</f>
        <v>-0.93067122234375499</v>
      </c>
      <c r="O51" s="13"/>
      <c r="P51" s="1">
        <f>SUM(OSRRefP22_2x_0)</f>
        <v>28393.969999999998</v>
      </c>
      <c r="Q51" s="1"/>
      <c r="R51" s="5">
        <f t="shared" ref="R51:R60" si="33">IF(P$12=0,0,P51/P$12)</f>
        <v>6.14648981408299E-3</v>
      </c>
      <c r="S51" s="1"/>
      <c r="T51" s="1">
        <f>SUM(OSRRefT22_2x_0)</f>
        <v>31067.030000000002</v>
      </c>
      <c r="U51" s="1"/>
      <c r="V51" s="5">
        <f t="shared" ref="V51:V60" si="34">IF(T$12=0,0,T51/T$12)</f>
        <v>5.035459474608768E-3</v>
      </c>
      <c r="W51" s="1"/>
      <c r="X51" s="1">
        <f t="shared" ref="X51:X60" si="35">+P51-T51</f>
        <v>-2673.0600000000049</v>
      </c>
      <c r="Y51" s="1"/>
      <c r="Z51" s="5">
        <f t="shared" ref="Z51:Z60" si="36">IF(T51=0,0,X51/T51)</f>
        <v>-8.6041697581004842E-2</v>
      </c>
    </row>
    <row r="52" spans="1:26" s="24" customFormat="1" hidden="1" outlineLevel="2" x14ac:dyDescent="0.25">
      <c r="A52" s="27"/>
      <c r="B52" s="11" t="str">
        <f>CONCATENATE("          ", "6362", " - ", "ADVERTISING EXPENSE")</f>
        <v xml:space="preserve">          6362 - ADVERTISING EXPENSE</v>
      </c>
      <c r="C52" s="11"/>
      <c r="D52" s="6">
        <v>256.07</v>
      </c>
      <c r="E52" s="2"/>
      <c r="F52" s="7">
        <f t="shared" si="29"/>
        <v>0</v>
      </c>
      <c r="G52" s="2"/>
      <c r="H52" s="6">
        <v>3693.56</v>
      </c>
      <c r="I52" s="2"/>
      <c r="J52" s="7">
        <f t="shared" si="30"/>
        <v>4.0431901365234014E-3</v>
      </c>
      <c r="K52" s="2"/>
      <c r="L52" s="6">
        <f t="shared" si="31"/>
        <v>-3437.49</v>
      </c>
      <c r="M52" s="2"/>
      <c r="N52" s="7">
        <f t="shared" si="32"/>
        <v>-0.93067122234375499</v>
      </c>
      <c r="O52" s="11"/>
      <c r="P52" s="6">
        <v>28393.969999999998</v>
      </c>
      <c r="Q52" s="2"/>
      <c r="R52" s="7">
        <f t="shared" si="33"/>
        <v>6.14648981408299E-3</v>
      </c>
      <c r="S52" s="2"/>
      <c r="T52" s="6">
        <v>31067.030000000002</v>
      </c>
      <c r="U52" s="2"/>
      <c r="V52" s="7">
        <f t="shared" si="34"/>
        <v>5.035459474608768E-3</v>
      </c>
      <c r="W52" s="2"/>
      <c r="X52" s="6">
        <f t="shared" si="35"/>
        <v>-2673.0600000000049</v>
      </c>
      <c r="Y52" s="2"/>
      <c r="Z52" s="7">
        <f t="shared" si="36"/>
        <v>-8.6041697581004842E-2</v>
      </c>
    </row>
    <row r="53" spans="1:26" s="25" customFormat="1" outlineLevel="1" collapsed="1" x14ac:dyDescent="0.25">
      <c r="A53" s="26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0</v>
      </c>
      <c r="E53" s="1"/>
      <c r="F53" s="5">
        <f t="shared" si="29"/>
        <v>0</v>
      </c>
      <c r="G53" s="1"/>
      <c r="H53" s="1">
        <f>SUM(OSRRefH22_3x_0)</f>
        <v>-154.83000000000001</v>
      </c>
      <c r="I53" s="1"/>
      <c r="J53" s="5">
        <f t="shared" si="30"/>
        <v>-1.6948611335349046E-4</v>
      </c>
      <c r="K53" s="1"/>
      <c r="L53" s="1">
        <f t="shared" si="31"/>
        <v>154.83000000000001</v>
      </c>
      <c r="M53" s="1"/>
      <c r="N53" s="5">
        <f t="shared" si="32"/>
        <v>-1</v>
      </c>
      <c r="O53" s="13"/>
      <c r="P53" s="1">
        <f>SUM(OSRRefP22_3x_0)</f>
        <v>-260.64999999999998</v>
      </c>
      <c r="Q53" s="1"/>
      <c r="R53" s="5">
        <f t="shared" si="33"/>
        <v>-5.6423338125691175E-5</v>
      </c>
      <c r="S53" s="1"/>
      <c r="T53" s="1">
        <f>SUM(OSRRefT22_3x_0)</f>
        <v>1306.77</v>
      </c>
      <c r="U53" s="1"/>
      <c r="V53" s="5">
        <f t="shared" si="34"/>
        <v>2.1180612944444638E-4</v>
      </c>
      <c r="W53" s="1"/>
      <c r="X53" s="1">
        <f t="shared" si="35"/>
        <v>-1567.42</v>
      </c>
      <c r="Y53" s="1"/>
      <c r="Z53" s="5">
        <f t="shared" si="36"/>
        <v>-1.1994612670936737</v>
      </c>
    </row>
    <row r="54" spans="1:26" s="24" customFormat="1" hidden="1" outlineLevel="2" x14ac:dyDescent="0.25">
      <c r="A54" s="27"/>
      <c r="B54" s="11" t="str">
        <f>CONCATENATE("          ", "6272", " - ", "CASH (OVER/SHORT)")</f>
        <v xml:space="preserve">          6272 - CASH (OVER/SHORT)</v>
      </c>
      <c r="C54" s="11"/>
      <c r="D54" s="6"/>
      <c r="E54" s="2"/>
      <c r="F54" s="7">
        <f t="shared" si="29"/>
        <v>0</v>
      </c>
      <c r="G54" s="2"/>
      <c r="H54" s="6">
        <v>-154.83000000000001</v>
      </c>
      <c r="I54" s="2"/>
      <c r="J54" s="7">
        <f t="shared" si="30"/>
        <v>-1.6948611335349046E-4</v>
      </c>
      <c r="K54" s="2"/>
      <c r="L54" s="6">
        <f t="shared" si="31"/>
        <v>154.83000000000001</v>
      </c>
      <c r="M54" s="2"/>
      <c r="N54" s="7">
        <f t="shared" si="32"/>
        <v>-1</v>
      </c>
      <c r="O54" s="11"/>
      <c r="P54" s="6">
        <v>-260.64999999999998</v>
      </c>
      <c r="Q54" s="2"/>
      <c r="R54" s="7">
        <f t="shared" si="33"/>
        <v>-5.6423338125691175E-5</v>
      </c>
      <c r="S54" s="2"/>
      <c r="T54" s="6">
        <v>1306.77</v>
      </c>
      <c r="U54" s="2"/>
      <c r="V54" s="7">
        <f t="shared" si="34"/>
        <v>2.1180612944444638E-4</v>
      </c>
      <c r="W54" s="2"/>
      <c r="X54" s="6">
        <f t="shared" si="35"/>
        <v>-1567.42</v>
      </c>
      <c r="Y54" s="2"/>
      <c r="Z54" s="7">
        <f t="shared" si="36"/>
        <v>-1.1994612670936737</v>
      </c>
    </row>
    <row r="55" spans="1:26" s="25" customFormat="1" outlineLevel="1" collapsed="1" x14ac:dyDescent="0.25">
      <c r="A55" s="26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2778.44</v>
      </c>
      <c r="E55" s="1"/>
      <c r="F55" s="5">
        <f t="shared" si="29"/>
        <v>0</v>
      </c>
      <c r="G55" s="1"/>
      <c r="H55" s="1">
        <f>SUM(OSRRefH22_4x_0)</f>
        <v>22060.73</v>
      </c>
      <c r="I55" s="1"/>
      <c r="J55" s="5">
        <f t="shared" si="30"/>
        <v>2.4148985244724842E-2</v>
      </c>
      <c r="K55" s="1"/>
      <c r="L55" s="1">
        <f t="shared" si="31"/>
        <v>-19282.29</v>
      </c>
      <c r="M55" s="1"/>
      <c r="N55" s="5">
        <f t="shared" si="32"/>
        <v>-0.87405493834519532</v>
      </c>
      <c r="O55" s="13"/>
      <c r="P55" s="1">
        <f>SUM(OSRRefP22_4x_0)</f>
        <v>149092.03</v>
      </c>
      <c r="Q55" s="1"/>
      <c r="R55" s="5">
        <f t="shared" si="33"/>
        <v>3.2274199196377105E-2</v>
      </c>
      <c r="S55" s="1"/>
      <c r="T55" s="1">
        <f>SUM(OSRRefT22_4x_0)</f>
        <v>189813.41</v>
      </c>
      <c r="U55" s="1"/>
      <c r="V55" s="5">
        <f t="shared" si="34"/>
        <v>3.0765661661005209E-2</v>
      </c>
      <c r="W55" s="1"/>
      <c r="X55" s="1">
        <f t="shared" si="35"/>
        <v>-40721.380000000005</v>
      </c>
      <c r="Y55" s="1"/>
      <c r="Z55" s="5">
        <f t="shared" si="36"/>
        <v>-0.21453373605163092</v>
      </c>
    </row>
    <row r="56" spans="1:26" s="24" customFormat="1" hidden="1" outlineLevel="2" x14ac:dyDescent="0.25">
      <c r="A56" s="27"/>
      <c r="B56" s="11" t="str">
        <f>CONCATENATE("          ", "6381", " - ", "BANK/CREDIT CARD FEES")</f>
        <v xml:space="preserve">          6381 - BANK/CREDIT CARD FEES</v>
      </c>
      <c r="C56" s="11"/>
      <c r="D56" s="6">
        <v>2778.44</v>
      </c>
      <c r="E56" s="2"/>
      <c r="F56" s="7">
        <f t="shared" si="29"/>
        <v>0</v>
      </c>
      <c r="G56" s="2"/>
      <c r="H56" s="6">
        <v>22060.73</v>
      </c>
      <c r="I56" s="2"/>
      <c r="J56" s="7">
        <f t="shared" si="30"/>
        <v>2.4148985244724842E-2</v>
      </c>
      <c r="K56" s="2"/>
      <c r="L56" s="6">
        <f t="shared" si="31"/>
        <v>-19282.29</v>
      </c>
      <c r="M56" s="2"/>
      <c r="N56" s="7">
        <f t="shared" si="32"/>
        <v>-0.87405493834519532</v>
      </c>
      <c r="O56" s="11"/>
      <c r="P56" s="6">
        <v>149092.03</v>
      </c>
      <c r="Q56" s="2"/>
      <c r="R56" s="7">
        <f t="shared" si="33"/>
        <v>3.2274199196377105E-2</v>
      </c>
      <c r="S56" s="2"/>
      <c r="T56" s="6">
        <v>189813.41</v>
      </c>
      <c r="U56" s="2"/>
      <c r="V56" s="7">
        <f t="shared" si="34"/>
        <v>3.0765661661005209E-2</v>
      </c>
      <c r="W56" s="2"/>
      <c r="X56" s="6">
        <f t="shared" si="35"/>
        <v>-40721.380000000005</v>
      </c>
      <c r="Y56" s="2"/>
      <c r="Z56" s="7">
        <f t="shared" si="36"/>
        <v>-0.21453373605163092</v>
      </c>
    </row>
    <row r="57" spans="1:26" s="25" customFormat="1" outlineLevel="1" collapsed="1" x14ac:dyDescent="0.25">
      <c r="A57" s="26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38141.49</v>
      </c>
      <c r="E57" s="1"/>
      <c r="F57" s="5">
        <f t="shared" si="29"/>
        <v>0</v>
      </c>
      <c r="G57" s="1"/>
      <c r="H57" s="1">
        <f>SUM(OSRRefH22_5x_0)</f>
        <v>41842.239999999998</v>
      </c>
      <c r="I57" s="1"/>
      <c r="J57" s="5">
        <f t="shared" si="30"/>
        <v>4.5803000914576966E-2</v>
      </c>
      <c r="K57" s="1"/>
      <c r="L57" s="1">
        <f t="shared" si="31"/>
        <v>-3700.75</v>
      </c>
      <c r="M57" s="1"/>
      <c r="N57" s="5">
        <f t="shared" si="32"/>
        <v>-8.8445312679244714E-2</v>
      </c>
      <c r="O57" s="13"/>
      <c r="P57" s="1">
        <f>SUM(OSRRefP22_5x_0)</f>
        <v>401893.11</v>
      </c>
      <c r="Q57" s="1"/>
      <c r="R57" s="5">
        <f t="shared" si="33"/>
        <v>8.6998468582066363E-2</v>
      </c>
      <c r="S57" s="1"/>
      <c r="T57" s="1">
        <f>SUM(OSRRefT22_5x_0)</f>
        <v>391281.28</v>
      </c>
      <c r="U57" s="1"/>
      <c r="V57" s="5">
        <f t="shared" si="34"/>
        <v>6.3420321434428925E-2</v>
      </c>
      <c r="W57" s="1"/>
      <c r="X57" s="1">
        <f t="shared" si="35"/>
        <v>10611.829999999958</v>
      </c>
      <c r="Y57" s="1"/>
      <c r="Z57" s="5">
        <f t="shared" si="36"/>
        <v>2.7120719907683694E-2</v>
      </c>
    </row>
    <row r="58" spans="1:26" s="24" customFormat="1" hidden="1" outlineLevel="2" x14ac:dyDescent="0.25">
      <c r="A58" s="27"/>
      <c r="B58" s="11" t="str">
        <f>CONCATENATE("          ", "6321", " - ", "BUILDING DEPRECIATION")</f>
        <v xml:space="preserve">          6321 - BUILDING DEPRECIATION</v>
      </c>
      <c r="C58" s="11"/>
      <c r="D58" s="6">
        <v>24042.959999999999</v>
      </c>
      <c r="E58" s="2"/>
      <c r="F58" s="7">
        <f t="shared" si="29"/>
        <v>0</v>
      </c>
      <c r="G58" s="2"/>
      <c r="H58" s="6">
        <v>26899.8</v>
      </c>
      <c r="I58" s="2"/>
      <c r="J58" s="7">
        <f t="shared" si="30"/>
        <v>2.9446118659085592E-2</v>
      </c>
      <c r="K58" s="2"/>
      <c r="L58" s="6">
        <f t="shared" si="31"/>
        <v>-2856.84</v>
      </c>
      <c r="M58" s="2"/>
      <c r="N58" s="7">
        <f t="shared" si="32"/>
        <v>-0.1062030200968037</v>
      </c>
      <c r="O58" s="11"/>
      <c r="P58" s="6">
        <v>240429.59999999998</v>
      </c>
      <c r="Q58" s="2"/>
      <c r="R58" s="7">
        <f t="shared" si="33"/>
        <v>5.2046194575962705E-2</v>
      </c>
      <c r="S58" s="2"/>
      <c r="T58" s="6">
        <v>249899.30000000002</v>
      </c>
      <c r="U58" s="2"/>
      <c r="V58" s="7">
        <f t="shared" si="34"/>
        <v>4.0504605618338768E-2</v>
      </c>
      <c r="W58" s="2"/>
      <c r="X58" s="6">
        <f t="shared" si="35"/>
        <v>-9469.7000000000407</v>
      </c>
      <c r="Y58" s="2"/>
      <c r="Z58" s="7">
        <f t="shared" si="36"/>
        <v>-3.789406372887015E-2</v>
      </c>
    </row>
    <row r="59" spans="1:26" s="24" customFormat="1" hidden="1" outlineLevel="2" x14ac:dyDescent="0.25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13674.3</v>
      </c>
      <c r="E59" s="2"/>
      <c r="F59" s="7">
        <f t="shared" si="29"/>
        <v>0</v>
      </c>
      <c r="G59" s="2"/>
      <c r="H59" s="6">
        <v>14518.19</v>
      </c>
      <c r="I59" s="2"/>
      <c r="J59" s="7">
        <f t="shared" si="30"/>
        <v>1.5892473009284452E-2</v>
      </c>
      <c r="K59" s="2"/>
      <c r="L59" s="6">
        <f t="shared" si="31"/>
        <v>-843.89000000000124</v>
      </c>
      <c r="M59" s="2"/>
      <c r="N59" s="7">
        <f t="shared" si="32"/>
        <v>-5.8126391788508154E-2</v>
      </c>
      <c r="O59" s="11"/>
      <c r="P59" s="6">
        <v>157221.03</v>
      </c>
      <c r="Q59" s="2"/>
      <c r="R59" s="7">
        <f t="shared" si="33"/>
        <v>3.403389731885454E-2</v>
      </c>
      <c r="S59" s="2"/>
      <c r="T59" s="6">
        <v>137139.48000000001</v>
      </c>
      <c r="U59" s="2"/>
      <c r="V59" s="7">
        <f t="shared" si="34"/>
        <v>2.2228075677299043E-2</v>
      </c>
      <c r="W59" s="2"/>
      <c r="X59" s="6">
        <f t="shared" si="35"/>
        <v>20081.549999999988</v>
      </c>
      <c r="Y59" s="2"/>
      <c r="Z59" s="7">
        <f t="shared" si="36"/>
        <v>0.1464315746275251</v>
      </c>
    </row>
    <row r="60" spans="1:26" s="24" customFormat="1" hidden="1" outlineLevel="2" x14ac:dyDescent="0.25">
      <c r="A60" s="27"/>
      <c r="B60" s="11" t="str">
        <f>CONCATENATE("          ", "6326", " - ", "VEHICLES DEPRECIATION EXPENSE")</f>
        <v xml:space="preserve">          6326 - VEHICLES DEPRECIATION EXPENSE</v>
      </c>
      <c r="C60" s="11"/>
      <c r="D60" s="6">
        <v>424.23</v>
      </c>
      <c r="E60" s="2"/>
      <c r="F60" s="7">
        <f t="shared" si="29"/>
        <v>0</v>
      </c>
      <c r="G60" s="2"/>
      <c r="H60" s="6">
        <v>424.25</v>
      </c>
      <c r="I60" s="2"/>
      <c r="J60" s="7">
        <f t="shared" si="30"/>
        <v>4.6440924620692582E-4</v>
      </c>
      <c r="K60" s="2"/>
      <c r="L60" s="6">
        <f t="shared" si="31"/>
        <v>-1.999999999998181E-2</v>
      </c>
      <c r="M60" s="2"/>
      <c r="N60" s="7">
        <f t="shared" si="32"/>
        <v>-4.7142015321112106E-5</v>
      </c>
      <c r="O60" s="11"/>
      <c r="P60" s="6">
        <v>4242.4799999999996</v>
      </c>
      <c r="Q60" s="2"/>
      <c r="R60" s="7">
        <f t="shared" si="33"/>
        <v>9.1837668724911682E-4</v>
      </c>
      <c r="S60" s="2"/>
      <c r="T60" s="6">
        <v>4242.5</v>
      </c>
      <c r="U60" s="2"/>
      <c r="V60" s="7">
        <f t="shared" si="34"/>
        <v>6.876401387911138E-4</v>
      </c>
      <c r="W60" s="2"/>
      <c r="X60" s="6">
        <f t="shared" si="35"/>
        <v>-2.0000000000436557E-2</v>
      </c>
      <c r="Y60" s="2"/>
      <c r="Z60" s="7">
        <f t="shared" si="36"/>
        <v>-4.7142015322183987E-6</v>
      </c>
    </row>
    <row r="61" spans="1:26" s="25" customFormat="1" outlineLevel="1" collapsed="1" x14ac:dyDescent="0.25">
      <c r="A61" s="26"/>
      <c r="B61" s="13" t="str">
        <f>CONCATENATE("     ","Discounts and Markdowns                           ")</f>
        <v xml:space="preserve">     Discounts and Markdowns                           </v>
      </c>
      <c r="C61" s="13"/>
      <c r="D61" s="1">
        <f>SUM(OSRRefD22_6x_0)</f>
        <v>0</v>
      </c>
      <c r="E61" s="1"/>
      <c r="F61" s="5">
        <f t="shared" ref="F61:F73" si="37">IF(D$12=0,0,D61/D$12)</f>
        <v>0</v>
      </c>
      <c r="G61" s="1"/>
      <c r="H61" s="1">
        <f>SUM(OSRRefH22_6x_0)</f>
        <v>0</v>
      </c>
      <c r="I61" s="1"/>
      <c r="J61" s="5">
        <f t="shared" ref="J61:J73" si="38">IF(H$12=0,0,H61/H$12)</f>
        <v>0</v>
      </c>
      <c r="K61" s="1"/>
      <c r="L61" s="1">
        <f t="shared" ref="L61:L73" si="39">+D61-H61</f>
        <v>0</v>
      </c>
      <c r="M61" s="1"/>
      <c r="N61" s="5">
        <f t="shared" ref="N61:N73" si="40">IF(H61=0,0,L61/H61)</f>
        <v>0</v>
      </c>
      <c r="O61" s="13"/>
      <c r="P61" s="1">
        <f>SUM(OSRRefP22_6x_0)</f>
        <v>0.09</v>
      </c>
      <c r="Q61" s="1"/>
      <c r="R61" s="5">
        <f t="shared" ref="R61:R73" si="41">IF(P$12=0,0,P61/P$12)</f>
        <v>1.9482449381592965E-8</v>
      </c>
      <c r="S61" s="1"/>
      <c r="T61" s="1">
        <f>SUM(OSRRefT22_6x_0)</f>
        <v>0</v>
      </c>
      <c r="U61" s="1"/>
      <c r="V61" s="5">
        <f t="shared" ref="V61:V73" si="42">IF(T$12=0,0,T61/T$12)</f>
        <v>0</v>
      </c>
      <c r="W61" s="1"/>
      <c r="X61" s="1">
        <f t="shared" ref="X61:X73" si="43">+P61-T61</f>
        <v>0.09</v>
      </c>
      <c r="Y61" s="1"/>
      <c r="Z61" s="5">
        <f t="shared" ref="Z61:Z73" si="44">IF(T61=0,0,X61/T61)</f>
        <v>0</v>
      </c>
    </row>
    <row r="62" spans="1:26" s="24" customFormat="1" hidden="1" outlineLevel="2" x14ac:dyDescent="0.25">
      <c r="A62" s="27"/>
      <c r="B62" s="11" t="str">
        <f>CONCATENATE("          ", "6382", " - ", "DISCOUNTS/MARK DOWNS")</f>
        <v xml:space="preserve">          6382 - DISCOUNTS/MARK DOWNS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0.09</v>
      </c>
      <c r="Q62" s="2"/>
      <c r="R62" s="7">
        <f t="shared" si="41"/>
        <v>1.9482449381592965E-8</v>
      </c>
      <c r="S62" s="2"/>
      <c r="T62" s="6"/>
      <c r="U62" s="2"/>
      <c r="V62" s="7">
        <f t="shared" si="42"/>
        <v>0</v>
      </c>
      <c r="W62" s="2"/>
      <c r="X62" s="6">
        <f t="shared" si="43"/>
        <v>0.09</v>
      </c>
      <c r="Y62" s="2"/>
      <c r="Z62" s="7">
        <f t="shared" si="44"/>
        <v>0</v>
      </c>
    </row>
    <row r="63" spans="1:26" s="25" customFormat="1" outlineLevel="1" collapsed="1" x14ac:dyDescent="0.25">
      <c r="A63" s="26"/>
      <c r="B63" s="13" t="str">
        <f>CONCATENATE("     ","Donations                                         ")</f>
        <v xml:space="preserve">     Donations                                         </v>
      </c>
      <c r="C63" s="13"/>
      <c r="D63" s="1">
        <f>SUM(OSRRefD22_7x_0)</f>
        <v>0</v>
      </c>
      <c r="E63" s="1"/>
      <c r="F63" s="5">
        <f t="shared" si="37"/>
        <v>0</v>
      </c>
      <c r="G63" s="1"/>
      <c r="H63" s="1">
        <f>SUM(OSRRefH22_7x_0)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3"/>
      <c r="P63" s="1">
        <f>SUM(OSRRefP22_7x_0)</f>
        <v>236.68</v>
      </c>
      <c r="Q63" s="1"/>
      <c r="R63" s="5">
        <f t="shared" si="41"/>
        <v>5.123451244039359E-5</v>
      </c>
      <c r="S63" s="1"/>
      <c r="T63" s="1">
        <f>SUM(OSRRefT22_7x_0)</f>
        <v>938.48</v>
      </c>
      <c r="U63" s="1"/>
      <c r="V63" s="5">
        <f t="shared" si="42"/>
        <v>1.5211231996527626E-4</v>
      </c>
      <c r="W63" s="1"/>
      <c r="X63" s="1">
        <f t="shared" si="43"/>
        <v>-701.8</v>
      </c>
      <c r="Y63" s="1"/>
      <c r="Z63" s="5">
        <f t="shared" si="44"/>
        <v>-0.74780496121387774</v>
      </c>
    </row>
    <row r="64" spans="1:26" s="24" customFormat="1" hidden="1" outlineLevel="2" x14ac:dyDescent="0.25">
      <c r="A64" s="27"/>
      <c r="B64" s="11" t="str">
        <f>CONCATENATE("          ", "6399", " - ", "DONATION-ON CAMPUS")</f>
        <v xml:space="preserve">          6399 - DONATION-ON CAMPUS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236.68</v>
      </c>
      <c r="Q64" s="2"/>
      <c r="R64" s="7">
        <f t="shared" si="41"/>
        <v>5.123451244039359E-5</v>
      </c>
      <c r="S64" s="2"/>
      <c r="T64" s="6">
        <v>938.48</v>
      </c>
      <c r="U64" s="2"/>
      <c r="V64" s="7">
        <f t="shared" si="42"/>
        <v>1.5211231996527626E-4</v>
      </c>
      <c r="W64" s="2"/>
      <c r="X64" s="6">
        <f t="shared" si="43"/>
        <v>-701.8</v>
      </c>
      <c r="Y64" s="2"/>
      <c r="Z64" s="7">
        <f t="shared" si="44"/>
        <v>-0.74780496121387774</v>
      </c>
    </row>
    <row r="65" spans="1:26" s="25" customFormat="1" outlineLevel="1" collapsed="1" x14ac:dyDescent="0.25">
      <c r="A65" s="26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SUM(OSRRefD22_8x_0)</f>
        <v>0</v>
      </c>
      <c r="E65" s="1"/>
      <c r="F65" s="5">
        <f t="shared" si="37"/>
        <v>0</v>
      </c>
      <c r="G65" s="1"/>
      <c r="H65" s="1">
        <f>SUM(OSRRefH22_8x_0)</f>
        <v>162.88</v>
      </c>
      <c r="I65" s="1"/>
      <c r="J65" s="5">
        <f t="shared" si="38"/>
        <v>1.7829812144297955E-4</v>
      </c>
      <c r="K65" s="1"/>
      <c r="L65" s="1">
        <f t="shared" si="39"/>
        <v>-162.88</v>
      </c>
      <c r="M65" s="1"/>
      <c r="N65" s="5">
        <f t="shared" si="40"/>
        <v>-1</v>
      </c>
      <c r="O65" s="13"/>
      <c r="P65" s="1">
        <f>SUM(OSRRefP22_8x_0)</f>
        <v>1672.81</v>
      </c>
      <c r="Q65" s="1"/>
      <c r="R65" s="5">
        <f t="shared" si="41"/>
        <v>3.6211595722247249E-4</v>
      </c>
      <c r="S65" s="1"/>
      <c r="T65" s="1">
        <f>SUM(OSRRefT22_8x_0)</f>
        <v>2948.78</v>
      </c>
      <c r="U65" s="1"/>
      <c r="V65" s="5">
        <f t="shared" si="42"/>
        <v>4.7794920175944864E-4</v>
      </c>
      <c r="W65" s="1"/>
      <c r="X65" s="1">
        <f t="shared" si="43"/>
        <v>-1275.9700000000003</v>
      </c>
      <c r="Y65" s="1"/>
      <c r="Z65" s="5">
        <f t="shared" si="44"/>
        <v>-0.43271115512177921</v>
      </c>
    </row>
    <row r="66" spans="1:26" s="24" customFormat="1" hidden="1" outlineLevel="2" x14ac:dyDescent="0.25">
      <c r="A66" s="27"/>
      <c r="B66" s="11" t="str">
        <f>CONCATENATE("          ", "6277", " - ", "EMPLOYEE APPRECIATION")</f>
        <v xml:space="preserve">          6277 - EMPLOYEE APPRECIATION</v>
      </c>
      <c r="C66" s="11"/>
      <c r="D66" s="6"/>
      <c r="E66" s="2"/>
      <c r="F66" s="7">
        <f t="shared" si="37"/>
        <v>0</v>
      </c>
      <c r="G66" s="2"/>
      <c r="H66" s="6">
        <v>162.88</v>
      </c>
      <c r="I66" s="2"/>
      <c r="J66" s="7">
        <f t="shared" si="38"/>
        <v>1.7829812144297955E-4</v>
      </c>
      <c r="K66" s="2"/>
      <c r="L66" s="6">
        <f t="shared" si="39"/>
        <v>-162.88</v>
      </c>
      <c r="M66" s="2"/>
      <c r="N66" s="7">
        <f t="shared" si="40"/>
        <v>-1</v>
      </c>
      <c r="O66" s="11"/>
      <c r="P66" s="6">
        <v>1672.81</v>
      </c>
      <c r="Q66" s="2"/>
      <c r="R66" s="7">
        <f t="shared" si="41"/>
        <v>3.6211595722247249E-4</v>
      </c>
      <c r="S66" s="2"/>
      <c r="T66" s="6">
        <v>2948.78</v>
      </c>
      <c r="U66" s="2"/>
      <c r="V66" s="7">
        <f t="shared" si="42"/>
        <v>4.7794920175944864E-4</v>
      </c>
      <c r="W66" s="2"/>
      <c r="X66" s="6">
        <f t="shared" si="43"/>
        <v>-1275.9700000000003</v>
      </c>
      <c r="Y66" s="2"/>
      <c r="Z66" s="7">
        <f t="shared" si="44"/>
        <v>-0.43271115512177921</v>
      </c>
    </row>
    <row r="67" spans="1:26" s="25" customFormat="1" outlineLevel="1" collapsed="1" x14ac:dyDescent="0.25">
      <c r="A67" s="26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SUM(OSRRefD22_9x_0)</f>
        <v>1256.53</v>
      </c>
      <c r="E67" s="1"/>
      <c r="F67" s="5">
        <f t="shared" si="37"/>
        <v>0</v>
      </c>
      <c r="G67" s="1"/>
      <c r="H67" s="1">
        <f>SUM(OSRRefH22_9x_0)</f>
        <v>1880.95</v>
      </c>
      <c r="I67" s="1"/>
      <c r="J67" s="5">
        <f t="shared" si="38"/>
        <v>2.0589995796179545E-3</v>
      </c>
      <c r="K67" s="1"/>
      <c r="L67" s="1">
        <f t="shared" si="39"/>
        <v>-624.42000000000007</v>
      </c>
      <c r="M67" s="1"/>
      <c r="N67" s="5">
        <f t="shared" si="40"/>
        <v>-0.33197054679816052</v>
      </c>
      <c r="O67" s="13"/>
      <c r="P67" s="1">
        <f>SUM(OSRRefP22_9x_0)</f>
        <v>25095.72</v>
      </c>
      <c r="Q67" s="1"/>
      <c r="R67" s="5">
        <f t="shared" si="41"/>
        <v>5.4325121621625581E-3</v>
      </c>
      <c r="S67" s="1"/>
      <c r="T67" s="1">
        <f>SUM(OSRRefT22_9x_0)</f>
        <v>16672.78</v>
      </c>
      <c r="U67" s="1"/>
      <c r="V67" s="5">
        <f t="shared" si="42"/>
        <v>2.7023860349401781E-3</v>
      </c>
      <c r="W67" s="1"/>
      <c r="X67" s="1">
        <f t="shared" si="43"/>
        <v>8422.9400000000023</v>
      </c>
      <c r="Y67" s="1"/>
      <c r="Z67" s="5">
        <f t="shared" si="44"/>
        <v>0.50519109590602185</v>
      </c>
    </row>
    <row r="68" spans="1:26" s="24" customFormat="1" hidden="1" outlineLevel="2" x14ac:dyDescent="0.25">
      <c r="A68" s="27"/>
      <c r="B68" s="11" t="str">
        <f>CONCATENATE("          ", "6351", " - ", "EQUIPMENT RENTAL")</f>
        <v xml:space="preserve">          6351 - EQUIPMENT RENTAL</v>
      </c>
      <c r="C68" s="11"/>
      <c r="D68" s="6">
        <v>1256.53</v>
      </c>
      <c r="E68" s="2"/>
      <c r="F68" s="7">
        <f t="shared" si="37"/>
        <v>0</v>
      </c>
      <c r="G68" s="2"/>
      <c r="H68" s="6">
        <v>1880.95</v>
      </c>
      <c r="I68" s="2"/>
      <c r="J68" s="7">
        <f t="shared" si="38"/>
        <v>2.0589995796179545E-3</v>
      </c>
      <c r="K68" s="2"/>
      <c r="L68" s="6">
        <f t="shared" si="39"/>
        <v>-624.42000000000007</v>
      </c>
      <c r="M68" s="2"/>
      <c r="N68" s="7">
        <f t="shared" si="40"/>
        <v>-0.33197054679816052</v>
      </c>
      <c r="O68" s="11"/>
      <c r="P68" s="6">
        <v>25095.72</v>
      </c>
      <c r="Q68" s="2"/>
      <c r="R68" s="7">
        <f t="shared" si="41"/>
        <v>5.4325121621625581E-3</v>
      </c>
      <c r="S68" s="2"/>
      <c r="T68" s="6">
        <v>16672.78</v>
      </c>
      <c r="U68" s="2"/>
      <c r="V68" s="7">
        <f t="shared" si="42"/>
        <v>2.7023860349401781E-3</v>
      </c>
      <c r="W68" s="2"/>
      <c r="X68" s="6">
        <f t="shared" si="43"/>
        <v>8422.9400000000023</v>
      </c>
      <c r="Y68" s="2"/>
      <c r="Z68" s="7">
        <f t="shared" si="44"/>
        <v>0.50519109590602185</v>
      </c>
    </row>
    <row r="69" spans="1:26" s="25" customFormat="1" outlineLevel="1" collapsed="1" x14ac:dyDescent="0.25">
      <c r="A69" s="26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SUM(OSRRefD22_10x_0)</f>
        <v>0</v>
      </c>
      <c r="E69" s="1"/>
      <c r="F69" s="5">
        <f t="shared" si="37"/>
        <v>0</v>
      </c>
      <c r="G69" s="1"/>
      <c r="H69" s="1">
        <f>SUM(OSRRefH22_10x_0)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3"/>
      <c r="P69" s="1">
        <f>SUM(OSRRefP22_10x_0)</f>
        <v>0</v>
      </c>
      <c r="Q69" s="1"/>
      <c r="R69" s="5">
        <f t="shared" si="41"/>
        <v>0</v>
      </c>
      <c r="S69" s="1"/>
      <c r="T69" s="1">
        <f>SUM(OSRRefT22_10x_0)</f>
        <v>9.01</v>
      </c>
      <c r="U69" s="1"/>
      <c r="V69" s="5">
        <f t="shared" si="42"/>
        <v>1.4603742252228487E-6</v>
      </c>
      <c r="W69" s="1"/>
      <c r="X69" s="1">
        <f t="shared" si="43"/>
        <v>-9.01</v>
      </c>
      <c r="Y69" s="1"/>
      <c r="Z69" s="5">
        <f t="shared" si="44"/>
        <v>-1</v>
      </c>
    </row>
    <row r="70" spans="1:26" s="24" customFormat="1" hidden="1" outlineLevel="2" x14ac:dyDescent="0.25">
      <c r="A70" s="27"/>
      <c r="B70" s="11" t="str">
        <f>CONCATENATE("          ", "6307", " - ", "POSTAGE")</f>
        <v xml:space="preserve">          6307 - POSTAGE</v>
      </c>
      <c r="C70" s="11"/>
      <c r="D70" s="6"/>
      <c r="E70" s="2"/>
      <c r="F70" s="7">
        <f t="shared" si="37"/>
        <v>0</v>
      </c>
      <c r="G70" s="2"/>
      <c r="H70" s="6"/>
      <c r="I70" s="2"/>
      <c r="J70" s="7">
        <f t="shared" si="38"/>
        <v>0</v>
      </c>
      <c r="K70" s="2"/>
      <c r="L70" s="6">
        <f t="shared" si="39"/>
        <v>0</v>
      </c>
      <c r="M70" s="2"/>
      <c r="N70" s="7">
        <f t="shared" si="40"/>
        <v>0</v>
      </c>
      <c r="O70" s="11"/>
      <c r="P70" s="6"/>
      <c r="Q70" s="2"/>
      <c r="R70" s="7">
        <f t="shared" si="41"/>
        <v>0</v>
      </c>
      <c r="S70" s="2"/>
      <c r="T70" s="6">
        <v>9.01</v>
      </c>
      <c r="U70" s="2"/>
      <c r="V70" s="7">
        <f t="shared" si="42"/>
        <v>1.4603742252228487E-6</v>
      </c>
      <c r="W70" s="2"/>
      <c r="X70" s="6">
        <f t="shared" si="43"/>
        <v>-9.01</v>
      </c>
      <c r="Y70" s="2"/>
      <c r="Z70" s="7">
        <f t="shared" si="44"/>
        <v>-1</v>
      </c>
    </row>
    <row r="71" spans="1:26" s="25" customFormat="1" outlineLevel="1" collapsed="1" x14ac:dyDescent="0.25">
      <c r="A71" s="26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SUM(OSRRefD22_11x_0)</f>
        <v>519.42999999999995</v>
      </c>
      <c r="E71" s="1"/>
      <c r="F71" s="5">
        <f t="shared" si="37"/>
        <v>0</v>
      </c>
      <c r="G71" s="1"/>
      <c r="H71" s="1">
        <f>SUM(OSRRefH22_11x_0)</f>
        <v>6797.5</v>
      </c>
      <c r="I71" s="1"/>
      <c r="J71" s="5">
        <f t="shared" si="38"/>
        <v>7.4409472035158004E-3</v>
      </c>
      <c r="K71" s="1"/>
      <c r="L71" s="1">
        <f t="shared" si="39"/>
        <v>-6278.07</v>
      </c>
      <c r="M71" s="1"/>
      <c r="N71" s="5">
        <f t="shared" si="40"/>
        <v>-0.923585141596175</v>
      </c>
      <c r="O71" s="13"/>
      <c r="P71" s="1">
        <f>SUM(OSRRefP22_11x_0)</f>
        <v>84787.35</v>
      </c>
      <c r="Q71" s="1"/>
      <c r="R71" s="5">
        <f t="shared" si="41"/>
        <v>1.8354058384160071E-2</v>
      </c>
      <c r="S71" s="1"/>
      <c r="T71" s="1">
        <f>SUM(OSRRefT22_11x_0)</f>
        <v>57679.28</v>
      </c>
      <c r="U71" s="1"/>
      <c r="V71" s="5">
        <f t="shared" si="42"/>
        <v>9.3488716805118482E-3</v>
      </c>
      <c r="W71" s="1"/>
      <c r="X71" s="1">
        <f t="shared" si="43"/>
        <v>27108.070000000007</v>
      </c>
      <c r="Y71" s="1"/>
      <c r="Z71" s="5">
        <f t="shared" si="44"/>
        <v>0.46997934093490779</v>
      </c>
    </row>
    <row r="72" spans="1:26" s="24" customFormat="1" hidden="1" outlineLevel="2" x14ac:dyDescent="0.25">
      <c r="A72" s="27"/>
      <c r="B72" s="11" t="str">
        <f>CONCATENATE("          ", "6269", " - ", "ENTERTAINMENT")</f>
        <v xml:space="preserve">          6269 - ENTERTAINMENT</v>
      </c>
      <c r="C72" s="11"/>
      <c r="D72" s="6"/>
      <c r="E72" s="2"/>
      <c r="F72" s="7">
        <f t="shared" si="37"/>
        <v>0</v>
      </c>
      <c r="G72" s="2"/>
      <c r="H72" s="6">
        <v>1700</v>
      </c>
      <c r="I72" s="2"/>
      <c r="J72" s="7">
        <f t="shared" si="38"/>
        <v>1.8609209629976992E-3</v>
      </c>
      <c r="K72" s="2"/>
      <c r="L72" s="6">
        <f t="shared" si="39"/>
        <v>-1700</v>
      </c>
      <c r="M72" s="2"/>
      <c r="N72" s="7">
        <f t="shared" si="40"/>
        <v>-1</v>
      </c>
      <c r="O72" s="11"/>
      <c r="P72" s="6">
        <v>10050</v>
      </c>
      <c r="Q72" s="2"/>
      <c r="R72" s="7">
        <f t="shared" si="41"/>
        <v>2.1755401809445477E-3</v>
      </c>
      <c r="S72" s="2"/>
      <c r="T72" s="6">
        <v>10660</v>
      </c>
      <c r="U72" s="2"/>
      <c r="V72" s="7">
        <f t="shared" si="42"/>
        <v>1.7278123463790862E-3</v>
      </c>
      <c r="W72" s="2"/>
      <c r="X72" s="6">
        <f t="shared" si="43"/>
        <v>-610</v>
      </c>
      <c r="Y72" s="2"/>
      <c r="Z72" s="7">
        <f t="shared" si="44"/>
        <v>-5.7223264540337708E-2</v>
      </c>
    </row>
    <row r="73" spans="1:26" s="24" customFormat="1" hidden="1" outlineLevel="2" x14ac:dyDescent="0.25">
      <c r="A73" s="27"/>
      <c r="B73" s="11" t="str">
        <f>CONCATENATE("          ", "6279", " - ", "GENERAL EXPENSE")</f>
        <v xml:space="preserve">          6279 - GENERAL EXPENSE</v>
      </c>
      <c r="C73" s="11"/>
      <c r="D73" s="6">
        <v>519.42999999999995</v>
      </c>
      <c r="E73" s="2"/>
      <c r="F73" s="7">
        <f t="shared" si="37"/>
        <v>0</v>
      </c>
      <c r="G73" s="2"/>
      <c r="H73" s="6">
        <v>5097.5</v>
      </c>
      <c r="I73" s="2"/>
      <c r="J73" s="7">
        <f t="shared" si="38"/>
        <v>5.5800262405181012E-3</v>
      </c>
      <c r="K73" s="2"/>
      <c r="L73" s="6">
        <f t="shared" si="39"/>
        <v>-4578.07</v>
      </c>
      <c r="M73" s="2"/>
      <c r="N73" s="7">
        <f t="shared" si="40"/>
        <v>-0.89810102991662577</v>
      </c>
      <c r="O73" s="11"/>
      <c r="P73" s="6">
        <v>74737.350000000006</v>
      </c>
      <c r="Q73" s="2"/>
      <c r="R73" s="7">
        <f t="shared" si="41"/>
        <v>1.6178518203215524E-2</v>
      </c>
      <c r="S73" s="2"/>
      <c r="T73" s="6">
        <v>47019.28</v>
      </c>
      <c r="U73" s="2"/>
      <c r="V73" s="7">
        <f t="shared" si="42"/>
        <v>7.6210593341327617E-3</v>
      </c>
      <c r="W73" s="2"/>
      <c r="X73" s="6">
        <f t="shared" si="43"/>
        <v>27718.070000000007</v>
      </c>
      <c r="Y73" s="2"/>
      <c r="Z73" s="7">
        <f t="shared" si="44"/>
        <v>0.58950434800362761</v>
      </c>
    </row>
    <row r="74" spans="1:26" s="25" customFormat="1" outlineLevel="1" collapsed="1" x14ac:dyDescent="0.25">
      <c r="A74" s="26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SUM(OSRRefD22_12x_0)</f>
        <v>4240.13</v>
      </c>
      <c r="E74" s="1"/>
      <c r="F74" s="5">
        <f t="shared" ref="F74:F86" si="45">IF(D$12=0,0,D74/D$12)</f>
        <v>0</v>
      </c>
      <c r="G74" s="1"/>
      <c r="H74" s="1">
        <f>SUM(OSRRefH22_12x_0)</f>
        <v>3993.18</v>
      </c>
      <c r="I74" s="1"/>
      <c r="J74" s="5">
        <f t="shared" ref="J74:J86" si="46">IF(H$12=0,0,H74/H$12)</f>
        <v>4.3711719829547958E-3</v>
      </c>
      <c r="K74" s="1"/>
      <c r="L74" s="1">
        <f t="shared" ref="L74:L86" si="47">+D74-H74</f>
        <v>246.95000000000027</v>
      </c>
      <c r="M74" s="1"/>
      <c r="N74" s="5">
        <f t="shared" ref="N74:N86" si="48">IF(H74=0,0,L74/H74)</f>
        <v>6.1842942216479166E-2</v>
      </c>
      <c r="O74" s="13"/>
      <c r="P74" s="1">
        <f>SUM(OSRRefP22_12x_0)</f>
        <v>48162.3</v>
      </c>
      <c r="Q74" s="1"/>
      <c r="R74" s="5">
        <f t="shared" ref="R74:R86" si="49">IF(P$12=0,0,P74/P$12)</f>
        <v>1.042577302056772E-2</v>
      </c>
      <c r="S74" s="1"/>
      <c r="T74" s="1">
        <f>SUM(OSRRefT22_12x_0)</f>
        <v>37416.49</v>
      </c>
      <c r="U74" s="1"/>
      <c r="V74" s="5">
        <f t="shared" ref="V74:V86" si="50">IF(T$12=0,0,T74/T$12)</f>
        <v>6.0646035065825155E-3</v>
      </c>
      <c r="W74" s="1"/>
      <c r="X74" s="1">
        <f t="shared" ref="X74:X86" si="51">+P74-T74</f>
        <v>10745.810000000005</v>
      </c>
      <c r="Y74" s="1"/>
      <c r="Z74" s="5">
        <f t="shared" ref="Z74:Z86" si="52">IF(T74=0,0,X74/T74)</f>
        <v>0.28719449633036143</v>
      </c>
    </row>
    <row r="75" spans="1:26" s="24" customFormat="1" hidden="1" outlineLevel="2" x14ac:dyDescent="0.25">
      <c r="A75" s="27"/>
      <c r="B75" s="11" t="str">
        <f>CONCATENATE("          ", "6314", " - ", "LIABILITY INSURANCE")</f>
        <v xml:space="preserve">          6314 - LIABILITY INSURANCE</v>
      </c>
      <c r="C75" s="11"/>
      <c r="D75" s="6">
        <v>4240.13</v>
      </c>
      <c r="E75" s="2"/>
      <c r="F75" s="7">
        <f t="shared" si="45"/>
        <v>0</v>
      </c>
      <c r="G75" s="2"/>
      <c r="H75" s="6">
        <v>3993.18</v>
      </c>
      <c r="I75" s="2"/>
      <c r="J75" s="7">
        <f t="shared" si="46"/>
        <v>4.3711719829547958E-3</v>
      </c>
      <c r="K75" s="2"/>
      <c r="L75" s="6">
        <f t="shared" si="47"/>
        <v>246.95000000000027</v>
      </c>
      <c r="M75" s="2"/>
      <c r="N75" s="7">
        <f t="shared" si="48"/>
        <v>6.1842942216479166E-2</v>
      </c>
      <c r="O75" s="11"/>
      <c r="P75" s="6">
        <v>48162.3</v>
      </c>
      <c r="Q75" s="2"/>
      <c r="R75" s="7">
        <f t="shared" si="49"/>
        <v>1.042577302056772E-2</v>
      </c>
      <c r="S75" s="2"/>
      <c r="T75" s="6">
        <v>37416.49</v>
      </c>
      <c r="U75" s="2"/>
      <c r="V75" s="7">
        <f t="shared" si="50"/>
        <v>6.0646035065825155E-3</v>
      </c>
      <c r="W75" s="2"/>
      <c r="X75" s="6">
        <f t="shared" si="51"/>
        <v>10745.810000000005</v>
      </c>
      <c r="Y75" s="2"/>
      <c r="Z75" s="7">
        <f t="shared" si="52"/>
        <v>0.28719449633036143</v>
      </c>
    </row>
    <row r="76" spans="1:26" s="25" customFormat="1" outlineLevel="1" collapsed="1" x14ac:dyDescent="0.25">
      <c r="A76" s="26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SUM(OSRRefD22_13x_0)</f>
        <v>5803.23</v>
      </c>
      <c r="E76" s="1"/>
      <c r="F76" s="5">
        <f t="shared" si="45"/>
        <v>0</v>
      </c>
      <c r="G76" s="1"/>
      <c r="H76" s="1">
        <f>SUM(OSRRefH22_13x_0)</f>
        <v>6779.5</v>
      </c>
      <c r="I76" s="1"/>
      <c r="J76" s="5">
        <f t="shared" si="46"/>
        <v>7.4212433344958244E-3</v>
      </c>
      <c r="K76" s="1"/>
      <c r="L76" s="1">
        <f t="shared" si="47"/>
        <v>-976.27000000000044</v>
      </c>
      <c r="M76" s="1"/>
      <c r="N76" s="5">
        <f t="shared" si="48"/>
        <v>-0.14400324507707066</v>
      </c>
      <c r="O76" s="13"/>
      <c r="P76" s="1">
        <f>SUM(OSRRefP22_13x_0)</f>
        <v>75196.280000000013</v>
      </c>
      <c r="Q76" s="1"/>
      <c r="R76" s="5">
        <f t="shared" si="49"/>
        <v>1.6277863542045464E-2</v>
      </c>
      <c r="S76" s="1"/>
      <c r="T76" s="1">
        <f>SUM(OSRRefT22_13x_0)</f>
        <v>77920.600000000006</v>
      </c>
      <c r="U76" s="1"/>
      <c r="V76" s="5">
        <f t="shared" si="50"/>
        <v>1.2629659917191956E-2</v>
      </c>
      <c r="W76" s="1"/>
      <c r="X76" s="1">
        <f t="shared" si="51"/>
        <v>-2724.3199999999924</v>
      </c>
      <c r="Y76" s="1"/>
      <c r="Z76" s="5">
        <f t="shared" si="52"/>
        <v>-3.4962769793866991E-2</v>
      </c>
    </row>
    <row r="77" spans="1:26" s="24" customFormat="1" hidden="1" outlineLevel="2" x14ac:dyDescent="0.25">
      <c r="A77" s="27"/>
      <c r="B77" s="11" t="str">
        <f>CONCATENATE("          ", "6401", " - ", "INTEREST EXPENSE")</f>
        <v xml:space="preserve">          6401 - INTEREST EXPENSE</v>
      </c>
      <c r="C77" s="11"/>
      <c r="D77" s="6">
        <v>5803.23</v>
      </c>
      <c r="E77" s="2"/>
      <c r="F77" s="7">
        <f t="shared" si="45"/>
        <v>0</v>
      </c>
      <c r="G77" s="2"/>
      <c r="H77" s="6">
        <v>6779.5</v>
      </c>
      <c r="I77" s="2"/>
      <c r="J77" s="7">
        <f t="shared" si="46"/>
        <v>7.4212433344958244E-3</v>
      </c>
      <c r="K77" s="2"/>
      <c r="L77" s="6">
        <f t="shared" si="47"/>
        <v>-976.27000000000044</v>
      </c>
      <c r="M77" s="2"/>
      <c r="N77" s="7">
        <f t="shared" si="48"/>
        <v>-0.14400324507707066</v>
      </c>
      <c r="O77" s="11"/>
      <c r="P77" s="6">
        <v>75196.280000000013</v>
      </c>
      <c r="Q77" s="2"/>
      <c r="R77" s="7">
        <f t="shared" si="49"/>
        <v>1.6277863542045464E-2</v>
      </c>
      <c r="S77" s="2"/>
      <c r="T77" s="6">
        <v>77920.600000000006</v>
      </c>
      <c r="U77" s="2"/>
      <c r="V77" s="7">
        <f t="shared" si="50"/>
        <v>1.2629659917191956E-2</v>
      </c>
      <c r="W77" s="2"/>
      <c r="X77" s="6">
        <f t="shared" si="51"/>
        <v>-2724.3199999999924</v>
      </c>
      <c r="Y77" s="2"/>
      <c r="Z77" s="7">
        <f t="shared" si="52"/>
        <v>-3.4962769793866991E-2</v>
      </c>
    </row>
    <row r="78" spans="1:26" s="25" customFormat="1" outlineLevel="1" collapsed="1" x14ac:dyDescent="0.25">
      <c r="A78" s="26"/>
      <c r="B78" s="13" t="str">
        <f>CONCATENATE("     ","Professional Services                             ")</f>
        <v xml:space="preserve">     Professional Services                             </v>
      </c>
      <c r="C78" s="13"/>
      <c r="D78" s="1">
        <f>SUM(OSRRefD22_14x_0)</f>
        <v>0</v>
      </c>
      <c r="E78" s="1"/>
      <c r="F78" s="5">
        <f t="shared" si="45"/>
        <v>0</v>
      </c>
      <c r="G78" s="1"/>
      <c r="H78" s="1">
        <f>SUM(OSRRefH22_14x_0)</f>
        <v>0</v>
      </c>
      <c r="I78" s="1"/>
      <c r="J78" s="5">
        <f t="shared" si="46"/>
        <v>0</v>
      </c>
      <c r="K78" s="1"/>
      <c r="L78" s="1">
        <f t="shared" si="47"/>
        <v>0</v>
      </c>
      <c r="M78" s="1"/>
      <c r="N78" s="5">
        <f t="shared" si="48"/>
        <v>0</v>
      </c>
      <c r="O78" s="13"/>
      <c r="P78" s="1">
        <f>SUM(OSRRefP22_14x_0)</f>
        <v>125</v>
      </c>
      <c r="Q78" s="1"/>
      <c r="R78" s="5">
        <f t="shared" si="49"/>
        <v>2.7058957474434672E-5</v>
      </c>
      <c r="S78" s="1"/>
      <c r="T78" s="1">
        <f>SUM(OSRRefT22_14x_0)</f>
        <v>0</v>
      </c>
      <c r="U78" s="1"/>
      <c r="V78" s="5">
        <f t="shared" si="50"/>
        <v>0</v>
      </c>
      <c r="W78" s="1"/>
      <c r="X78" s="1">
        <f t="shared" si="51"/>
        <v>125</v>
      </c>
      <c r="Y78" s="1"/>
      <c r="Z78" s="5">
        <f t="shared" si="52"/>
        <v>0</v>
      </c>
    </row>
    <row r="79" spans="1:26" s="24" customFormat="1" hidden="1" outlineLevel="2" x14ac:dyDescent="0.25">
      <c r="A79" s="27"/>
      <c r="B79" s="11" t="str">
        <f>CONCATENATE("          ", "6336", " - ", "PROFESSIONAL SERVICES")</f>
        <v xml:space="preserve">          6336 - PROFESSIONAL SERVICES</v>
      </c>
      <c r="C79" s="11"/>
      <c r="D79" s="6"/>
      <c r="E79" s="2"/>
      <c r="F79" s="7">
        <f t="shared" si="45"/>
        <v>0</v>
      </c>
      <c r="G79" s="2"/>
      <c r="H79" s="6"/>
      <c r="I79" s="2"/>
      <c r="J79" s="7">
        <f t="shared" si="46"/>
        <v>0</v>
      </c>
      <c r="K79" s="2"/>
      <c r="L79" s="6">
        <f t="shared" si="47"/>
        <v>0</v>
      </c>
      <c r="M79" s="2"/>
      <c r="N79" s="7">
        <f t="shared" si="48"/>
        <v>0</v>
      </c>
      <c r="O79" s="11"/>
      <c r="P79" s="6">
        <v>125</v>
      </c>
      <c r="Q79" s="2"/>
      <c r="R79" s="7">
        <f t="shared" si="49"/>
        <v>2.7058957474434672E-5</v>
      </c>
      <c r="S79" s="2"/>
      <c r="T79" s="6"/>
      <c r="U79" s="2"/>
      <c r="V79" s="7">
        <f t="shared" si="50"/>
        <v>0</v>
      </c>
      <c r="W79" s="2"/>
      <c r="X79" s="6">
        <f t="shared" si="51"/>
        <v>125</v>
      </c>
      <c r="Y79" s="2"/>
      <c r="Z79" s="7">
        <f t="shared" si="52"/>
        <v>0</v>
      </c>
    </row>
    <row r="80" spans="1:26" s="25" customFormat="1" outlineLevel="1" collapsed="1" x14ac:dyDescent="0.25">
      <c r="A80" s="26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SUM(OSRRefD22_15x_0)</f>
        <v>1850</v>
      </c>
      <c r="E80" s="1"/>
      <c r="F80" s="5">
        <f t="shared" si="45"/>
        <v>0</v>
      </c>
      <c r="G80" s="1"/>
      <c r="H80" s="1">
        <f>SUM(OSRRefH22_15x_0)</f>
        <v>1850</v>
      </c>
      <c r="I80" s="1"/>
      <c r="J80" s="5">
        <f t="shared" si="46"/>
        <v>2.0251198714974963E-3</v>
      </c>
      <c r="K80" s="1"/>
      <c r="L80" s="1">
        <f t="shared" si="47"/>
        <v>0</v>
      </c>
      <c r="M80" s="1"/>
      <c r="N80" s="5">
        <f t="shared" si="48"/>
        <v>0</v>
      </c>
      <c r="O80" s="13"/>
      <c r="P80" s="1">
        <f>SUM(OSRRefP22_15x_0)</f>
        <v>18500</v>
      </c>
      <c r="Q80" s="1"/>
      <c r="R80" s="5">
        <f t="shared" si="49"/>
        <v>4.0047257062163317E-3</v>
      </c>
      <c r="S80" s="1"/>
      <c r="T80" s="1">
        <f>SUM(OSRRefT22_15x_0)</f>
        <v>18500</v>
      </c>
      <c r="U80" s="1"/>
      <c r="V80" s="5">
        <f t="shared" si="50"/>
        <v>2.9985486311456941E-3</v>
      </c>
      <c r="W80" s="1"/>
      <c r="X80" s="1">
        <f t="shared" si="51"/>
        <v>0</v>
      </c>
      <c r="Y80" s="1"/>
      <c r="Z80" s="5">
        <f t="shared" si="52"/>
        <v>0</v>
      </c>
    </row>
    <row r="81" spans="1:26" s="24" customFormat="1" hidden="1" outlineLevel="2" x14ac:dyDescent="0.25">
      <c r="A81" s="27"/>
      <c r="B81" s="11" t="str">
        <f>CONCATENATE("          ", "6273", " - ", "RENT")</f>
        <v xml:space="preserve">          6273 - RENT</v>
      </c>
      <c r="C81" s="11"/>
      <c r="D81" s="6">
        <v>1850</v>
      </c>
      <c r="E81" s="2"/>
      <c r="F81" s="7">
        <f t="shared" si="45"/>
        <v>0</v>
      </c>
      <c r="G81" s="2"/>
      <c r="H81" s="6">
        <v>1850</v>
      </c>
      <c r="I81" s="2"/>
      <c r="J81" s="7">
        <f t="shared" si="46"/>
        <v>2.0251198714974963E-3</v>
      </c>
      <c r="K81" s="2"/>
      <c r="L81" s="6">
        <f t="shared" si="47"/>
        <v>0</v>
      </c>
      <c r="M81" s="2"/>
      <c r="N81" s="7">
        <f t="shared" si="48"/>
        <v>0</v>
      </c>
      <c r="O81" s="11"/>
      <c r="P81" s="6">
        <v>18500</v>
      </c>
      <c r="Q81" s="2"/>
      <c r="R81" s="7">
        <f t="shared" si="49"/>
        <v>4.0047257062163317E-3</v>
      </c>
      <c r="S81" s="2"/>
      <c r="T81" s="6">
        <v>18500</v>
      </c>
      <c r="U81" s="2"/>
      <c r="V81" s="7">
        <f t="shared" si="50"/>
        <v>2.9985486311456941E-3</v>
      </c>
      <c r="W81" s="2"/>
      <c r="X81" s="6">
        <f t="shared" si="51"/>
        <v>0</v>
      </c>
      <c r="Y81" s="2"/>
      <c r="Z81" s="7">
        <f t="shared" si="52"/>
        <v>0</v>
      </c>
    </row>
    <row r="82" spans="1:26" s="25" customFormat="1" outlineLevel="1" collapsed="1" x14ac:dyDescent="0.25">
      <c r="A82" s="26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SUM(OSRRefD22_16x_0)</f>
        <v>16033.880000000001</v>
      </c>
      <c r="E82" s="1"/>
      <c r="F82" s="5">
        <f t="shared" si="45"/>
        <v>0</v>
      </c>
      <c r="G82" s="1"/>
      <c r="H82" s="1">
        <f>SUM(OSRRefH22_16x_0)</f>
        <v>20873.37</v>
      </c>
      <c r="I82" s="1"/>
      <c r="J82" s="5">
        <f t="shared" si="46"/>
        <v>2.284923047141605E-2</v>
      </c>
      <c r="K82" s="1"/>
      <c r="L82" s="1">
        <f t="shared" si="47"/>
        <v>-4839.489999999998</v>
      </c>
      <c r="M82" s="1"/>
      <c r="N82" s="5">
        <f t="shared" si="48"/>
        <v>-0.23184996002083028</v>
      </c>
      <c r="O82" s="13"/>
      <c r="P82" s="1">
        <f>SUM(OSRRefP22_16x_0)</f>
        <v>218573.11</v>
      </c>
      <c r="Q82" s="1"/>
      <c r="R82" s="5">
        <f t="shared" si="49"/>
        <v>4.7314883908359452E-2</v>
      </c>
      <c r="S82" s="1"/>
      <c r="T82" s="1">
        <f>SUM(OSRRefT22_16x_0)</f>
        <v>266970.97000000003</v>
      </c>
      <c r="U82" s="1"/>
      <c r="V82" s="5">
        <f t="shared" si="50"/>
        <v>4.327164522427774E-2</v>
      </c>
      <c r="W82" s="1"/>
      <c r="X82" s="1">
        <f t="shared" si="51"/>
        <v>-48397.860000000044</v>
      </c>
      <c r="Y82" s="1"/>
      <c r="Z82" s="5">
        <f t="shared" si="52"/>
        <v>-0.18128510376989693</v>
      </c>
    </row>
    <row r="83" spans="1:26" s="24" customFormat="1" hidden="1" outlineLevel="2" x14ac:dyDescent="0.25">
      <c r="A83" s="27"/>
      <c r="B83" s="11" t="str">
        <f>CONCATENATE("          ", "6371", " - ", "COMPUTER SOFTWARE MAINTENANCE")</f>
        <v xml:space="preserve">          6371 - COMPUTER SOFTWARE MAINTENANCE</v>
      </c>
      <c r="C83" s="11"/>
      <c r="D83" s="6"/>
      <c r="E83" s="2"/>
      <c r="F83" s="7">
        <f t="shared" si="45"/>
        <v>0</v>
      </c>
      <c r="G83" s="2"/>
      <c r="H83" s="6"/>
      <c r="I83" s="2"/>
      <c r="J83" s="7">
        <f t="shared" si="46"/>
        <v>0</v>
      </c>
      <c r="K83" s="2"/>
      <c r="L83" s="6">
        <f t="shared" si="47"/>
        <v>0</v>
      </c>
      <c r="M83" s="2"/>
      <c r="N83" s="7">
        <f t="shared" si="48"/>
        <v>0</v>
      </c>
      <c r="O83" s="11"/>
      <c r="P83" s="6">
        <v>10932.69</v>
      </c>
      <c r="Q83" s="2"/>
      <c r="R83" s="7">
        <f t="shared" si="49"/>
        <v>2.3666175503294176E-3</v>
      </c>
      <c r="S83" s="2"/>
      <c r="T83" s="6">
        <v>17809.09</v>
      </c>
      <c r="U83" s="2"/>
      <c r="V83" s="7">
        <f t="shared" si="50"/>
        <v>2.8865633752135386E-3</v>
      </c>
      <c r="W83" s="2"/>
      <c r="X83" s="6">
        <f t="shared" si="51"/>
        <v>-6876.4</v>
      </c>
      <c r="Y83" s="2"/>
      <c r="Z83" s="7">
        <f t="shared" si="52"/>
        <v>-0.38611742655014936</v>
      </c>
    </row>
    <row r="84" spans="1:26" s="24" customFormat="1" hidden="1" outlineLevel="2" x14ac:dyDescent="0.25">
      <c r="A84" s="27"/>
      <c r="B84" s="11" t="str">
        <f>CONCATENATE("          ", "6372", " - ", "COMPUTER HARDWARE MAINTENANCE")</f>
        <v xml:space="preserve">          6372 - COMPUTER HARDWARE MAINTENANCE</v>
      </c>
      <c r="C84" s="11"/>
      <c r="D84" s="6">
        <v>8142.88</v>
      </c>
      <c r="E84" s="2"/>
      <c r="F84" s="7">
        <f t="shared" si="45"/>
        <v>0</v>
      </c>
      <c r="G84" s="2"/>
      <c r="H84" s="6"/>
      <c r="I84" s="2"/>
      <c r="J84" s="7">
        <f t="shared" si="46"/>
        <v>0</v>
      </c>
      <c r="K84" s="2"/>
      <c r="L84" s="6">
        <f t="shared" si="47"/>
        <v>8142.88</v>
      </c>
      <c r="M84" s="2"/>
      <c r="N84" s="7">
        <f t="shared" si="48"/>
        <v>0</v>
      </c>
      <c r="O84" s="11"/>
      <c r="P84" s="6">
        <v>8142.87</v>
      </c>
      <c r="Q84" s="2"/>
      <c r="R84" s="7">
        <f t="shared" si="49"/>
        <v>1.7627005843987987E-3</v>
      </c>
      <c r="S84" s="2"/>
      <c r="T84" s="6">
        <v>880.96</v>
      </c>
      <c r="U84" s="2"/>
      <c r="V84" s="7">
        <f t="shared" si="50"/>
        <v>1.4278926497806002E-4</v>
      </c>
      <c r="W84" s="2"/>
      <c r="X84" s="6">
        <f t="shared" si="51"/>
        <v>7261.91</v>
      </c>
      <c r="Y84" s="2"/>
      <c r="Z84" s="7">
        <f t="shared" si="52"/>
        <v>8.2431778968398106</v>
      </c>
    </row>
    <row r="85" spans="1:26" s="24" customFormat="1" hidden="1" outlineLevel="2" x14ac:dyDescent="0.25">
      <c r="A85" s="27"/>
      <c r="B85" s="11" t="str">
        <f>CONCATENATE("          ", "6373", " - ", "MAINTENANCE CONTRACTS")</f>
        <v xml:space="preserve">          6373 - MAINTENANCE CONTRACTS</v>
      </c>
      <c r="C85" s="11"/>
      <c r="D85" s="6">
        <v>6800.21</v>
      </c>
      <c r="E85" s="2"/>
      <c r="F85" s="7">
        <f t="shared" si="45"/>
        <v>0</v>
      </c>
      <c r="G85" s="2"/>
      <c r="H85" s="6">
        <v>8978.4</v>
      </c>
      <c r="I85" s="2"/>
      <c r="J85" s="7">
        <f t="shared" si="46"/>
        <v>9.8282898671638481E-3</v>
      </c>
      <c r="K85" s="2"/>
      <c r="L85" s="6">
        <f t="shared" si="47"/>
        <v>-2178.1899999999996</v>
      </c>
      <c r="M85" s="2"/>
      <c r="N85" s="7">
        <f t="shared" si="48"/>
        <v>-0.24260335917312659</v>
      </c>
      <c r="O85" s="11"/>
      <c r="P85" s="6">
        <v>86455.92</v>
      </c>
      <c r="Q85" s="2"/>
      <c r="R85" s="7">
        <f t="shared" si="49"/>
        <v>1.8715256501545006E-2</v>
      </c>
      <c r="S85" s="2"/>
      <c r="T85" s="6">
        <v>108651.5</v>
      </c>
      <c r="U85" s="2"/>
      <c r="V85" s="7">
        <f t="shared" si="50"/>
        <v>1.761063819442845E-2</v>
      </c>
      <c r="W85" s="2"/>
      <c r="X85" s="6">
        <f t="shared" si="51"/>
        <v>-22195.58</v>
      </c>
      <c r="Y85" s="2"/>
      <c r="Z85" s="7">
        <f t="shared" si="52"/>
        <v>-0.2042823154765466</v>
      </c>
    </row>
    <row r="86" spans="1:26" s="24" customFormat="1" hidden="1" outlineLevel="2" x14ac:dyDescent="0.25">
      <c r="A86" s="27"/>
      <c r="B86" s="11" t="str">
        <f>CONCATENATE("          ", "6375", " - ", "OUTSIDE REPAIRS &amp; MAINTENANCE")</f>
        <v xml:space="preserve">          6375 - OUTSIDE REPAIRS &amp; MAINTENANCE</v>
      </c>
      <c r="C86" s="11"/>
      <c r="D86" s="6">
        <v>1090.79</v>
      </c>
      <c r="E86" s="2"/>
      <c r="F86" s="7">
        <f t="shared" si="45"/>
        <v>0</v>
      </c>
      <c r="G86" s="2"/>
      <c r="H86" s="6">
        <v>11894.97</v>
      </c>
      <c r="I86" s="2"/>
      <c r="J86" s="7">
        <f t="shared" si="46"/>
        <v>1.30209406042522E-2</v>
      </c>
      <c r="K86" s="2"/>
      <c r="L86" s="6">
        <f t="shared" si="47"/>
        <v>-10804.18</v>
      </c>
      <c r="M86" s="2"/>
      <c r="N86" s="7">
        <f t="shared" si="48"/>
        <v>-0.90829821344652406</v>
      </c>
      <c r="O86" s="11"/>
      <c r="P86" s="6">
        <v>113041.62999999999</v>
      </c>
      <c r="Q86" s="2"/>
      <c r="R86" s="7">
        <f t="shared" si="49"/>
        <v>2.4470309272086228E-2</v>
      </c>
      <c r="S86" s="2"/>
      <c r="T86" s="6">
        <v>139629.42000000001</v>
      </c>
      <c r="U86" s="2"/>
      <c r="V86" s="7">
        <f t="shared" si="50"/>
        <v>2.2631654389657686E-2</v>
      </c>
      <c r="W86" s="2"/>
      <c r="X86" s="6">
        <f t="shared" si="51"/>
        <v>-26587.790000000023</v>
      </c>
      <c r="Y86" s="2"/>
      <c r="Z86" s="7">
        <f t="shared" si="52"/>
        <v>-0.19041681903426957</v>
      </c>
    </row>
    <row r="87" spans="1:26" s="25" customFormat="1" outlineLevel="1" collapsed="1" x14ac:dyDescent="0.25">
      <c r="A87" s="26"/>
      <c r="B87" s="13" t="str">
        <f>CONCATENATE("     ","Royalty &amp; Commissions                             ")</f>
        <v xml:space="preserve">     Royalty &amp; Commissions                             </v>
      </c>
      <c r="C87" s="13"/>
      <c r="D87" s="1">
        <f>SUM(OSRRefD22_17x_0)</f>
        <v>0</v>
      </c>
      <c r="E87" s="1"/>
      <c r="F87" s="5">
        <f t="shared" ref="F87:F89" si="53">IF(D$12=0,0,D87/D$12)</f>
        <v>0</v>
      </c>
      <c r="G87" s="1"/>
      <c r="H87" s="1">
        <f>SUM(OSRRefH22_17x_0)</f>
        <v>52962.569999999992</v>
      </c>
      <c r="I87" s="1"/>
      <c r="J87" s="5">
        <f t="shared" ref="J87:J89" si="54">IF(H$12=0,0,H87/H$12)</f>
        <v>5.7975974568960614E-2</v>
      </c>
      <c r="K87" s="1"/>
      <c r="L87" s="1">
        <f t="shared" ref="L87:L89" si="55">+D87-H87</f>
        <v>-52962.569999999992</v>
      </c>
      <c r="M87" s="1"/>
      <c r="N87" s="5">
        <f t="shared" ref="N87:N89" si="56">IF(H87=0,0,L87/H87)</f>
        <v>-1</v>
      </c>
      <c r="O87" s="13"/>
      <c r="P87" s="1">
        <f>SUM(OSRRefP22_17x_0)</f>
        <v>233763.46999999997</v>
      </c>
      <c r="Q87" s="1"/>
      <c r="R87" s="5">
        <f t="shared" ref="R87:R89" si="57">IF(P$12=0,0,P87/P$12)</f>
        <v>5.0603166350450278E-2</v>
      </c>
      <c r="S87" s="1"/>
      <c r="T87" s="1">
        <f>SUM(OSRRefT22_17x_0)</f>
        <v>325171.64</v>
      </c>
      <c r="U87" s="1"/>
      <c r="V87" s="5">
        <f t="shared" ref="V87:V89" si="58">IF(T$12=0,0,T87/T$12)</f>
        <v>5.2705025730237859E-2</v>
      </c>
      <c r="W87" s="1"/>
      <c r="X87" s="1">
        <f t="shared" ref="X87:X89" si="59">+P87-T87</f>
        <v>-91408.170000000042</v>
      </c>
      <c r="Y87" s="1"/>
      <c r="Z87" s="5">
        <f t="shared" ref="Z87:Z89" si="60">IF(T87=0,0,X87/T87)</f>
        <v>-0.28110744836173301</v>
      </c>
    </row>
    <row r="88" spans="1:26" s="24" customFormat="1" hidden="1" outlineLevel="2" x14ac:dyDescent="0.25">
      <c r="A88" s="27"/>
      <c r="B88" s="11" t="str">
        <f>CONCATENATE("          ", "6254", " - ", "ROYALTY &amp; COMMISSIONS")</f>
        <v xml:space="preserve">          6254 - ROYALTY &amp; COMMISSIONS</v>
      </c>
      <c r="C88" s="11"/>
      <c r="D88" s="6"/>
      <c r="E88" s="2"/>
      <c r="F88" s="7">
        <f t="shared" si="53"/>
        <v>0</v>
      </c>
      <c r="G88" s="2"/>
      <c r="H88" s="6">
        <v>35303.449999999997</v>
      </c>
      <c r="I88" s="2"/>
      <c r="J88" s="7">
        <f t="shared" si="54"/>
        <v>3.8645253041847717E-2</v>
      </c>
      <c r="K88" s="2"/>
      <c r="L88" s="6">
        <f t="shared" si="55"/>
        <v>-35303.449999999997</v>
      </c>
      <c r="M88" s="2"/>
      <c r="N88" s="7">
        <f t="shared" si="56"/>
        <v>-1</v>
      </c>
      <c r="O88" s="11"/>
      <c r="P88" s="6">
        <v>129093.51</v>
      </c>
      <c r="Q88" s="2"/>
      <c r="R88" s="7">
        <f t="shared" si="57"/>
        <v>2.7945086378524057E-2</v>
      </c>
      <c r="S88" s="2"/>
      <c r="T88" s="6">
        <v>193571</v>
      </c>
      <c r="U88" s="2"/>
      <c r="V88" s="7">
        <f t="shared" si="58"/>
        <v>3.1374705788081249E-2</v>
      </c>
      <c r="W88" s="2"/>
      <c r="X88" s="6">
        <f t="shared" si="59"/>
        <v>-64477.490000000005</v>
      </c>
      <c r="Y88" s="2"/>
      <c r="Z88" s="7">
        <f t="shared" si="60"/>
        <v>-0.33309478175966445</v>
      </c>
    </row>
    <row r="89" spans="1:26" s="24" customFormat="1" hidden="1" outlineLevel="2" x14ac:dyDescent="0.25">
      <c r="A89" s="27"/>
      <c r="B89" s="11" t="str">
        <f>CONCATENATE("          ", "6259", " - ", "ROYALTY &amp; COMMISSIONS")</f>
        <v xml:space="preserve">          6259 - ROYALTY &amp; COMMISSIONS</v>
      </c>
      <c r="C89" s="11"/>
      <c r="D89" s="6"/>
      <c r="E89" s="2"/>
      <c r="F89" s="7">
        <f t="shared" si="53"/>
        <v>0</v>
      </c>
      <c r="G89" s="2"/>
      <c r="H89" s="6">
        <v>17659.12</v>
      </c>
      <c r="I89" s="2"/>
      <c r="J89" s="7">
        <f t="shared" si="54"/>
        <v>1.9330721527112901E-2</v>
      </c>
      <c r="K89" s="2"/>
      <c r="L89" s="6">
        <f t="shared" si="55"/>
        <v>-17659.12</v>
      </c>
      <c r="M89" s="2"/>
      <c r="N89" s="7">
        <f t="shared" si="56"/>
        <v>-1</v>
      </c>
      <c r="O89" s="11"/>
      <c r="P89" s="6">
        <v>104669.95999999999</v>
      </c>
      <c r="Q89" s="2"/>
      <c r="R89" s="7">
        <f t="shared" si="57"/>
        <v>2.2658079971926225E-2</v>
      </c>
      <c r="S89" s="2"/>
      <c r="T89" s="6">
        <v>131600.64000000001</v>
      </c>
      <c r="U89" s="2"/>
      <c r="V89" s="7">
        <f t="shared" si="58"/>
        <v>2.133031994215661E-2</v>
      </c>
      <c r="W89" s="2"/>
      <c r="X89" s="6">
        <f t="shared" si="59"/>
        <v>-26930.680000000022</v>
      </c>
      <c r="Y89" s="2"/>
      <c r="Z89" s="7">
        <f t="shared" si="60"/>
        <v>-0.20463943032495904</v>
      </c>
    </row>
    <row r="90" spans="1:26" s="25" customFormat="1" outlineLevel="1" collapsed="1" x14ac:dyDescent="0.25">
      <c r="A90" s="26"/>
      <c r="B90" s="13" t="str">
        <f>CONCATENATE("     ","Services                                          ")</f>
        <v xml:space="preserve">     Services                                          </v>
      </c>
      <c r="C90" s="13"/>
      <c r="D90" s="1">
        <f>SUM(OSRRefD22_18x_0)</f>
        <v>5527.56</v>
      </c>
      <c r="E90" s="1"/>
      <c r="F90" s="5">
        <f t="shared" ref="F90:F95" si="61">IF(D$12=0,0,D90/D$12)</f>
        <v>0</v>
      </c>
      <c r="G90" s="1"/>
      <c r="H90" s="1">
        <f>SUM(OSRRefH22_18x_0)</f>
        <v>22989.41</v>
      </c>
      <c r="I90" s="1"/>
      <c r="J90" s="5">
        <f t="shared" ref="J90:J95" si="62">IF(H$12=0,0,H90/H$12)</f>
        <v>2.5165573527028785E-2</v>
      </c>
      <c r="K90" s="1"/>
      <c r="L90" s="1">
        <f t="shared" ref="L90:L95" si="63">+D90-H90</f>
        <v>-17461.849999999999</v>
      </c>
      <c r="M90" s="1"/>
      <c r="N90" s="5">
        <f t="shared" ref="N90:N95" si="64">IF(H90=0,0,L90/H90)</f>
        <v>-0.75956059768389006</v>
      </c>
      <c r="O90" s="13"/>
      <c r="P90" s="1">
        <f>SUM(OSRRefP22_18x_0)</f>
        <v>212786.03999999998</v>
      </c>
      <c r="Q90" s="1"/>
      <c r="R90" s="5">
        <f t="shared" ref="R90:R95" si="65">IF(P$12=0,0,P90/P$12)</f>
        <v>4.6062147260106837E-2</v>
      </c>
      <c r="S90" s="1"/>
      <c r="T90" s="1">
        <f>SUM(OSRRefT22_18x_0)</f>
        <v>228330.81</v>
      </c>
      <c r="U90" s="1"/>
      <c r="V90" s="5">
        <f t="shared" ref="V90:V95" si="66">IF(T$12=0,0,T90/T$12)</f>
        <v>3.7008704744534458E-2</v>
      </c>
      <c r="W90" s="1"/>
      <c r="X90" s="1">
        <f t="shared" ref="X90:X95" si="67">+P90-T90</f>
        <v>-15544.770000000019</v>
      </c>
      <c r="Y90" s="1"/>
      <c r="Z90" s="5">
        <f t="shared" ref="Z90:Z95" si="68">IF(T90=0,0,X90/T90)</f>
        <v>-6.8080037030482307E-2</v>
      </c>
    </row>
    <row r="91" spans="1:26" s="24" customFormat="1" hidden="1" outlineLevel="2" x14ac:dyDescent="0.25">
      <c r="A91" s="27"/>
      <c r="B91" s="11" t="str">
        <f>CONCATENATE("          ", "6282", " - ", "JANITORIAL/EXTERMINATOR EXPENS")</f>
        <v xml:space="preserve">          6282 - JANITORIAL/EXTERMINATOR EXPENS</v>
      </c>
      <c r="C91" s="11"/>
      <c r="D91" s="6"/>
      <c r="E91" s="2"/>
      <c r="F91" s="7">
        <f t="shared" si="61"/>
        <v>0</v>
      </c>
      <c r="G91" s="2"/>
      <c r="H91" s="6">
        <v>1277.57</v>
      </c>
      <c r="I91" s="2"/>
      <c r="J91" s="7">
        <f t="shared" si="62"/>
        <v>1.3985039968805709E-3</v>
      </c>
      <c r="K91" s="2"/>
      <c r="L91" s="6">
        <f t="shared" si="63"/>
        <v>-1277.57</v>
      </c>
      <c r="M91" s="2"/>
      <c r="N91" s="7">
        <f t="shared" si="64"/>
        <v>-1</v>
      </c>
      <c r="O91" s="11"/>
      <c r="P91" s="6">
        <v>12678.74</v>
      </c>
      <c r="Q91" s="2"/>
      <c r="R91" s="7">
        <f t="shared" si="65"/>
        <v>2.7445878919153109E-3</v>
      </c>
      <c r="S91" s="2"/>
      <c r="T91" s="6">
        <v>11454.21</v>
      </c>
      <c r="U91" s="2"/>
      <c r="V91" s="7">
        <f t="shared" si="66"/>
        <v>1.8565408495327198E-3</v>
      </c>
      <c r="W91" s="2"/>
      <c r="X91" s="6">
        <f t="shared" si="67"/>
        <v>1224.5300000000007</v>
      </c>
      <c r="Y91" s="2"/>
      <c r="Z91" s="7">
        <f t="shared" si="68"/>
        <v>0.10690654353290194</v>
      </c>
    </row>
    <row r="92" spans="1:26" s="24" customFormat="1" hidden="1" outlineLevel="2" x14ac:dyDescent="0.25">
      <c r="A92" s="27"/>
      <c r="B92" s="11" t="str">
        <f>CONCATENATE("          ", "6283", " - ", "PLANT SERVICE")</f>
        <v xml:space="preserve">          6283 - PLANT SERVICE</v>
      </c>
      <c r="C92" s="11"/>
      <c r="D92" s="6">
        <v>399.56</v>
      </c>
      <c r="E92" s="2"/>
      <c r="F92" s="7">
        <f t="shared" si="61"/>
        <v>0</v>
      </c>
      <c r="G92" s="2"/>
      <c r="H92" s="6">
        <v>176</v>
      </c>
      <c r="I92" s="2"/>
      <c r="J92" s="7">
        <f t="shared" si="62"/>
        <v>1.9266005263976181E-4</v>
      </c>
      <c r="K92" s="2"/>
      <c r="L92" s="6">
        <f t="shared" si="63"/>
        <v>223.56</v>
      </c>
      <c r="M92" s="2"/>
      <c r="N92" s="7">
        <f t="shared" si="64"/>
        <v>1.2702272727272728</v>
      </c>
      <c r="O92" s="11"/>
      <c r="P92" s="6">
        <v>1798.02</v>
      </c>
      <c r="Q92" s="2"/>
      <c r="R92" s="7">
        <f t="shared" si="65"/>
        <v>3.8922037374546423E-4</v>
      </c>
      <c r="S92" s="2"/>
      <c r="T92" s="6">
        <v>1760</v>
      </c>
      <c r="U92" s="2"/>
      <c r="V92" s="7">
        <f t="shared" si="66"/>
        <v>2.8526732923332004E-4</v>
      </c>
      <c r="W92" s="2"/>
      <c r="X92" s="6">
        <f t="shared" si="67"/>
        <v>38.019999999999982</v>
      </c>
      <c r="Y92" s="2"/>
      <c r="Z92" s="7">
        <f t="shared" si="68"/>
        <v>2.1602272727272716E-2</v>
      </c>
    </row>
    <row r="93" spans="1:26" s="24" customFormat="1" hidden="1" outlineLevel="2" x14ac:dyDescent="0.25">
      <c r="A93" s="27"/>
      <c r="B93" s="11" t="str">
        <f>CONCATENATE("          ", "6284", " - ", "TRASH REMOVAL EXPENSE")</f>
        <v xml:space="preserve">          6284 - TRASH REMOVAL EXPENSE</v>
      </c>
      <c r="C93" s="11"/>
      <c r="D93" s="6">
        <v>5128</v>
      </c>
      <c r="E93" s="2"/>
      <c r="F93" s="7">
        <f t="shared" si="61"/>
        <v>0</v>
      </c>
      <c r="G93" s="2"/>
      <c r="H93" s="6">
        <v>3576</v>
      </c>
      <c r="I93" s="2"/>
      <c r="J93" s="7">
        <f t="shared" si="62"/>
        <v>3.9145019786351607E-3</v>
      </c>
      <c r="K93" s="2"/>
      <c r="L93" s="6">
        <f t="shared" si="63"/>
        <v>1552</v>
      </c>
      <c r="M93" s="2"/>
      <c r="N93" s="7">
        <f t="shared" si="64"/>
        <v>0.43400447427293065</v>
      </c>
      <c r="O93" s="11"/>
      <c r="P93" s="6">
        <v>43411</v>
      </c>
      <c r="Q93" s="2"/>
      <c r="R93" s="7">
        <f t="shared" si="65"/>
        <v>9.3972512233814684E-3</v>
      </c>
      <c r="S93" s="2"/>
      <c r="T93" s="6">
        <v>50779.270000000004</v>
      </c>
      <c r="U93" s="2"/>
      <c r="V93" s="7">
        <f t="shared" si="66"/>
        <v>8.230492462112304E-3</v>
      </c>
      <c r="W93" s="2"/>
      <c r="X93" s="6">
        <f t="shared" si="67"/>
        <v>-7368.2700000000041</v>
      </c>
      <c r="Y93" s="2"/>
      <c r="Z93" s="7">
        <f t="shared" si="68"/>
        <v>-0.14510389771259027</v>
      </c>
    </row>
    <row r="94" spans="1:26" s="24" customFormat="1" hidden="1" outlineLevel="2" x14ac:dyDescent="0.25">
      <c r="A94" s="27"/>
      <c r="B94" s="11" t="str">
        <f>CONCATENATE("          ", "6285", " - ", "JANITORIAL SERVICES")</f>
        <v xml:space="preserve">          6285 - JANITORIAL SERVICES</v>
      </c>
      <c r="C94" s="11"/>
      <c r="D94" s="6"/>
      <c r="E94" s="2"/>
      <c r="F94" s="7">
        <f t="shared" si="61"/>
        <v>0</v>
      </c>
      <c r="G94" s="2"/>
      <c r="H94" s="6">
        <v>13394.46</v>
      </c>
      <c r="I94" s="2"/>
      <c r="J94" s="7">
        <f t="shared" si="62"/>
        <v>1.4662371412961272E-2</v>
      </c>
      <c r="K94" s="2"/>
      <c r="L94" s="6">
        <f t="shared" si="63"/>
        <v>-13394.46</v>
      </c>
      <c r="M94" s="2"/>
      <c r="N94" s="7">
        <f t="shared" si="64"/>
        <v>-1</v>
      </c>
      <c r="O94" s="11"/>
      <c r="P94" s="6">
        <v>127887.66999999998</v>
      </c>
      <c r="Q94" s="2"/>
      <c r="R94" s="7">
        <f t="shared" si="65"/>
        <v>2.7684056192276273E-2</v>
      </c>
      <c r="S94" s="2"/>
      <c r="T94" s="6">
        <v>128066.93000000001</v>
      </c>
      <c r="U94" s="2"/>
      <c r="V94" s="7">
        <f t="shared" si="66"/>
        <v>2.0757563116028725E-2</v>
      </c>
      <c r="W94" s="2"/>
      <c r="X94" s="6">
        <f t="shared" si="67"/>
        <v>-179.26000000002387</v>
      </c>
      <c r="Y94" s="2"/>
      <c r="Z94" s="7">
        <f t="shared" si="68"/>
        <v>-1.3997368407287021E-3</v>
      </c>
    </row>
    <row r="95" spans="1:26" s="24" customFormat="1" hidden="1" outlineLevel="2" x14ac:dyDescent="0.25">
      <c r="A95" s="27"/>
      <c r="B95" s="11" t="str">
        <f>CONCATENATE("          ", "6286", " - ", "LAUNDRY EXPENSE")</f>
        <v xml:space="preserve">          6286 - LAUNDRY EXPENSE</v>
      </c>
      <c r="C95" s="11"/>
      <c r="D95" s="6"/>
      <c r="E95" s="2"/>
      <c r="F95" s="7">
        <f t="shared" si="61"/>
        <v>0</v>
      </c>
      <c r="G95" s="2"/>
      <c r="H95" s="6">
        <v>4565.38</v>
      </c>
      <c r="I95" s="2"/>
      <c r="J95" s="7">
        <f t="shared" si="62"/>
        <v>4.9975360859120218E-3</v>
      </c>
      <c r="K95" s="2"/>
      <c r="L95" s="6">
        <f t="shared" si="63"/>
        <v>-4565.38</v>
      </c>
      <c r="M95" s="2"/>
      <c r="N95" s="7">
        <f t="shared" si="64"/>
        <v>-1</v>
      </c>
      <c r="O95" s="11"/>
      <c r="P95" s="6">
        <v>27010.609999999997</v>
      </c>
      <c r="Q95" s="2"/>
      <c r="R95" s="7">
        <f t="shared" si="65"/>
        <v>5.8470315787883184E-3</v>
      </c>
      <c r="S95" s="2"/>
      <c r="T95" s="6">
        <v>36270.400000000001</v>
      </c>
      <c r="U95" s="2"/>
      <c r="V95" s="7">
        <f t="shared" si="66"/>
        <v>5.8788409876273937E-3</v>
      </c>
      <c r="W95" s="2"/>
      <c r="X95" s="6">
        <f t="shared" si="67"/>
        <v>-9259.7900000000045</v>
      </c>
      <c r="Y95" s="2"/>
      <c r="Z95" s="7">
        <f t="shared" si="68"/>
        <v>-0.25529881115179331</v>
      </c>
    </row>
    <row r="96" spans="1:26" s="25" customFormat="1" outlineLevel="1" collapsed="1" x14ac:dyDescent="0.25">
      <c r="A96" s="26"/>
      <c r="B96" s="13" t="str">
        <f>CONCATENATE("     ","Subscriptions &amp; Dues                              ")</f>
        <v xml:space="preserve">     Subscriptions &amp; Dues                              </v>
      </c>
      <c r="C96" s="13"/>
      <c r="D96" s="1">
        <f>SUM(OSRRefD22_19x_0)</f>
        <v>4.25</v>
      </c>
      <c r="E96" s="1"/>
      <c r="F96" s="5">
        <f t="shared" ref="F96:F98" si="69">IF(D$12=0,0,D96/D$12)</f>
        <v>0</v>
      </c>
      <c r="G96" s="1"/>
      <c r="H96" s="1">
        <f>SUM(OSRRefH22_19x_0)</f>
        <v>393.42</v>
      </c>
      <c r="I96" s="1"/>
      <c r="J96" s="5">
        <f t="shared" ref="J96:J98" si="70">IF(H$12=0,0,H96/H$12)</f>
        <v>4.3066089721326758E-4</v>
      </c>
      <c r="K96" s="1"/>
      <c r="L96" s="1">
        <f t="shared" ref="L96:L98" si="71">+D96-H96</f>
        <v>-389.17</v>
      </c>
      <c r="M96" s="1"/>
      <c r="N96" s="5">
        <f t="shared" ref="N96:N98" si="72">IF(H96=0,0,L96/H96)</f>
        <v>-0.98919729551115854</v>
      </c>
      <c r="O96" s="13"/>
      <c r="P96" s="1">
        <f>SUM(OSRRefP22_19x_0)</f>
        <v>7300.55</v>
      </c>
      <c r="Q96" s="1"/>
      <c r="R96" s="5">
        <f t="shared" ref="R96:R98" si="73">IF(P$12=0,0,P96/P$12)</f>
        <v>1.5803621759198725E-3</v>
      </c>
      <c r="S96" s="1"/>
      <c r="T96" s="1">
        <f>SUM(OSRRefT22_19x_0)</f>
        <v>4807.1400000000003</v>
      </c>
      <c r="U96" s="1"/>
      <c r="V96" s="5">
        <f t="shared" ref="V96:V98" si="74">IF(T$12=0,0,T96/T$12)</f>
        <v>7.7915908468787637E-4</v>
      </c>
      <c r="W96" s="1"/>
      <c r="X96" s="1">
        <f t="shared" ref="X96:X98" si="75">+P96-T96</f>
        <v>2493.41</v>
      </c>
      <c r="Y96" s="1"/>
      <c r="Z96" s="5">
        <f t="shared" ref="Z96:Z98" si="76">IF(T96=0,0,X96/T96)</f>
        <v>0.51868886697703831</v>
      </c>
    </row>
    <row r="97" spans="1:26" s="24" customFormat="1" hidden="1" outlineLevel="2" x14ac:dyDescent="0.25">
      <c r="A97" s="27"/>
      <c r="B97" s="11" t="str">
        <f>CONCATENATE("          ", "6258", " - ", "MEMBERSHIP DUES")</f>
        <v xml:space="preserve">          6258 - MEMBERSHIP DUES</v>
      </c>
      <c r="C97" s="11"/>
      <c r="D97" s="6"/>
      <c r="E97" s="2"/>
      <c r="F97" s="7">
        <f t="shared" si="69"/>
        <v>0</v>
      </c>
      <c r="G97" s="2"/>
      <c r="H97" s="6"/>
      <c r="I97" s="2"/>
      <c r="J97" s="7">
        <f t="shared" si="70"/>
        <v>0</v>
      </c>
      <c r="K97" s="2"/>
      <c r="L97" s="6">
        <f t="shared" si="71"/>
        <v>0</v>
      </c>
      <c r="M97" s="2"/>
      <c r="N97" s="7">
        <f t="shared" si="72"/>
        <v>0</v>
      </c>
      <c r="O97" s="11"/>
      <c r="P97" s="6">
        <v>3730</v>
      </c>
      <c r="Q97" s="2"/>
      <c r="R97" s="7">
        <f t="shared" si="73"/>
        <v>8.0743929103713067E-4</v>
      </c>
      <c r="S97" s="2"/>
      <c r="T97" s="6"/>
      <c r="U97" s="2"/>
      <c r="V97" s="7">
        <f t="shared" si="74"/>
        <v>0</v>
      </c>
      <c r="W97" s="2"/>
      <c r="X97" s="6">
        <f t="shared" si="75"/>
        <v>3730</v>
      </c>
      <c r="Y97" s="2"/>
      <c r="Z97" s="7">
        <f t="shared" si="76"/>
        <v>0</v>
      </c>
    </row>
    <row r="98" spans="1:26" s="24" customFormat="1" hidden="1" outlineLevel="2" x14ac:dyDescent="0.25">
      <c r="A98" s="27"/>
      <c r="B98" s="11" t="str">
        <f>CONCATENATE("          ", "6275", " - ", "SUBSCRIPTIONS")</f>
        <v xml:space="preserve">          6275 - SUBSCRIPTIONS</v>
      </c>
      <c r="C98" s="11"/>
      <c r="D98" s="6">
        <v>4.25</v>
      </c>
      <c r="E98" s="2"/>
      <c r="F98" s="7">
        <f t="shared" si="69"/>
        <v>0</v>
      </c>
      <c r="G98" s="2"/>
      <c r="H98" s="6">
        <v>393.42</v>
      </c>
      <c r="I98" s="2"/>
      <c r="J98" s="7">
        <f t="shared" si="70"/>
        <v>4.3066089721326758E-4</v>
      </c>
      <c r="K98" s="2"/>
      <c r="L98" s="6">
        <f t="shared" si="71"/>
        <v>-389.17</v>
      </c>
      <c r="M98" s="2"/>
      <c r="N98" s="7">
        <f t="shared" si="72"/>
        <v>-0.98919729551115854</v>
      </c>
      <c r="O98" s="11"/>
      <c r="P98" s="6">
        <v>3570.55</v>
      </c>
      <c r="Q98" s="2"/>
      <c r="R98" s="7">
        <f t="shared" si="73"/>
        <v>7.7292288488274184E-4</v>
      </c>
      <c r="S98" s="2"/>
      <c r="T98" s="6">
        <v>4807.1400000000003</v>
      </c>
      <c r="U98" s="2"/>
      <c r="V98" s="7">
        <f t="shared" si="74"/>
        <v>7.7915908468787637E-4</v>
      </c>
      <c r="W98" s="2"/>
      <c r="X98" s="6">
        <f t="shared" si="75"/>
        <v>-1236.5900000000001</v>
      </c>
      <c r="Y98" s="2"/>
      <c r="Z98" s="7">
        <f t="shared" si="76"/>
        <v>-0.25724027176242009</v>
      </c>
    </row>
    <row r="99" spans="1:26" s="25" customFormat="1" outlineLevel="1" collapsed="1" x14ac:dyDescent="0.25">
      <c r="A99" s="26"/>
      <c r="B99" s="13" t="str">
        <f>CONCATENATE("     ","Supplies                                          ")</f>
        <v xml:space="preserve">     Supplies                                          </v>
      </c>
      <c r="C99" s="13"/>
      <c r="D99" s="1">
        <f>SUM(OSRRefD22_20x_0)</f>
        <v>1578.84</v>
      </c>
      <c r="E99" s="1"/>
      <c r="F99" s="5">
        <f t="shared" ref="F99:F108" si="77">IF(D$12=0,0,D99/D$12)</f>
        <v>0</v>
      </c>
      <c r="G99" s="1"/>
      <c r="H99" s="1">
        <f>SUM(OSRRefH22_20x_0)</f>
        <v>19350.5</v>
      </c>
      <c r="I99" s="1"/>
      <c r="J99" s="5">
        <f t="shared" ref="J99:J108" si="78">IF(H$12=0,0,H99/H$12)</f>
        <v>2.1182206526168812E-2</v>
      </c>
      <c r="K99" s="1"/>
      <c r="L99" s="1">
        <f t="shared" ref="L99:L108" si="79">+D99-H99</f>
        <v>-17771.66</v>
      </c>
      <c r="M99" s="1"/>
      <c r="N99" s="5">
        <f t="shared" ref="N99:N108" si="80">IF(H99=0,0,L99/H99)</f>
        <v>-0.9184083098627942</v>
      </c>
      <c r="O99" s="13"/>
      <c r="P99" s="1">
        <f>SUM(OSRRefP22_20x_0)</f>
        <v>167800.80000000002</v>
      </c>
      <c r="Q99" s="1"/>
      <c r="R99" s="5">
        <f t="shared" ref="R99:R108" si="81">IF(P$12=0,0,P99/P$12)</f>
        <v>3.6324117691008941E-2</v>
      </c>
      <c r="S99" s="1"/>
      <c r="T99" s="1">
        <f>SUM(OSRRefT22_20x_0)</f>
        <v>189037.7</v>
      </c>
      <c r="U99" s="1"/>
      <c r="V99" s="5">
        <f t="shared" ref="V99:V108" si="82">IF(T$12=0,0,T99/T$12)</f>
        <v>3.0639931706482722E-2</v>
      </c>
      <c r="W99" s="1"/>
      <c r="X99" s="1">
        <f t="shared" ref="X99:X108" si="83">+P99-T99</f>
        <v>-21236.899999999994</v>
      </c>
      <c r="Y99" s="1"/>
      <c r="Z99" s="5">
        <f t="shared" ref="Z99:Z108" si="84">IF(T99=0,0,X99/T99)</f>
        <v>-0.11234214127658131</v>
      </c>
    </row>
    <row r="100" spans="1:26" s="24" customFormat="1" hidden="1" outlineLevel="2" x14ac:dyDescent="0.25">
      <c r="A100" s="27"/>
      <c r="B100" s="11" t="str">
        <f>CONCATENATE("          ", "6234", " - ", "EXPENDABLE SUPPLIES &amp; EQUIPMEN")</f>
        <v xml:space="preserve">          6234 - EXPENDABLE SUPPLIES &amp; EQUIPMEN</v>
      </c>
      <c r="C100" s="11"/>
      <c r="D100" s="6">
        <v>142.07</v>
      </c>
      <c r="E100" s="2"/>
      <c r="F100" s="7">
        <f t="shared" si="77"/>
        <v>0</v>
      </c>
      <c r="G100" s="2"/>
      <c r="H100" s="6">
        <v>288.20999999999998</v>
      </c>
      <c r="I100" s="2"/>
      <c r="J100" s="7">
        <f t="shared" si="78"/>
        <v>3.1549178279150994E-4</v>
      </c>
      <c r="K100" s="2"/>
      <c r="L100" s="6">
        <f t="shared" si="79"/>
        <v>-146.13999999999999</v>
      </c>
      <c r="M100" s="2"/>
      <c r="N100" s="7">
        <f t="shared" si="80"/>
        <v>-0.50706082370493732</v>
      </c>
      <c r="O100" s="11"/>
      <c r="P100" s="6">
        <v>14686.49</v>
      </c>
      <c r="Q100" s="2"/>
      <c r="R100" s="7">
        <f t="shared" si="81"/>
        <v>3.1792088668696804E-3</v>
      </c>
      <c r="S100" s="2"/>
      <c r="T100" s="6">
        <v>7736.89</v>
      </c>
      <c r="U100" s="2"/>
      <c r="V100" s="7">
        <f t="shared" si="82"/>
        <v>1.2540238334499897E-3</v>
      </c>
      <c r="W100" s="2"/>
      <c r="X100" s="6">
        <f t="shared" si="83"/>
        <v>6949.5999999999995</v>
      </c>
      <c r="Y100" s="2"/>
      <c r="Z100" s="7">
        <f t="shared" si="84"/>
        <v>0.89824205850154248</v>
      </c>
    </row>
    <row r="101" spans="1:26" s="24" customFormat="1" hidden="1" outlineLevel="2" x14ac:dyDescent="0.25">
      <c r="A101" s="27"/>
      <c r="B101" s="11" t="str">
        <f>CONCATENATE("          ", "6237", " - ", "JANITORIAL SUPPLIES")</f>
        <v xml:space="preserve">          6237 - JANITORIAL SUPPLIES</v>
      </c>
      <c r="C101" s="11"/>
      <c r="D101" s="6"/>
      <c r="E101" s="2"/>
      <c r="F101" s="7">
        <f t="shared" si="77"/>
        <v>0</v>
      </c>
      <c r="G101" s="2"/>
      <c r="H101" s="6">
        <v>5985.05</v>
      </c>
      <c r="I101" s="2"/>
      <c r="J101" s="7">
        <f t="shared" si="78"/>
        <v>6.5515911821114005E-3</v>
      </c>
      <c r="K101" s="2"/>
      <c r="L101" s="6">
        <f t="shared" si="79"/>
        <v>-5985.05</v>
      </c>
      <c r="M101" s="2"/>
      <c r="N101" s="7">
        <f t="shared" si="80"/>
        <v>-1</v>
      </c>
      <c r="O101" s="11"/>
      <c r="P101" s="6">
        <v>48433.599999999999</v>
      </c>
      <c r="Q101" s="2"/>
      <c r="R101" s="7">
        <f t="shared" si="81"/>
        <v>1.0484501781870232E-2</v>
      </c>
      <c r="S101" s="2"/>
      <c r="T101" s="6">
        <v>49114.34</v>
      </c>
      <c r="U101" s="2"/>
      <c r="V101" s="7">
        <f t="shared" si="82"/>
        <v>7.9606344311688743E-3</v>
      </c>
      <c r="W101" s="2"/>
      <c r="X101" s="6">
        <f t="shared" si="83"/>
        <v>-680.73999999999796</v>
      </c>
      <c r="Y101" s="2"/>
      <c r="Z101" s="7">
        <f t="shared" si="84"/>
        <v>-1.3860310451082066E-2</v>
      </c>
    </row>
    <row r="102" spans="1:26" s="24" customFormat="1" hidden="1" outlineLevel="2" x14ac:dyDescent="0.25">
      <c r="A102" s="27"/>
      <c r="B102" s="11" t="str">
        <f>CONCATENATE("          ", "6239", " - ", "KITCHEN SUPPLIES")</f>
        <v xml:space="preserve">          6239 - KITCHEN SUPPLIES</v>
      </c>
      <c r="C102" s="11"/>
      <c r="D102" s="6">
        <v>390.29</v>
      </c>
      <c r="E102" s="2"/>
      <c r="F102" s="7">
        <f t="shared" si="77"/>
        <v>0</v>
      </c>
      <c r="G102" s="2"/>
      <c r="H102" s="6">
        <v>6365.95</v>
      </c>
      <c r="I102" s="2"/>
      <c r="J102" s="7">
        <f t="shared" si="78"/>
        <v>6.9685469437618846E-3</v>
      </c>
      <c r="K102" s="2"/>
      <c r="L102" s="6">
        <f t="shared" si="79"/>
        <v>-5975.66</v>
      </c>
      <c r="M102" s="2"/>
      <c r="N102" s="7">
        <f t="shared" si="80"/>
        <v>-0.93869100448479803</v>
      </c>
      <c r="O102" s="11"/>
      <c r="P102" s="6">
        <v>45525.630000000005</v>
      </c>
      <c r="Q102" s="2"/>
      <c r="R102" s="7">
        <f t="shared" si="81"/>
        <v>9.8550086893347804E-3</v>
      </c>
      <c r="S102" s="2"/>
      <c r="T102" s="6">
        <v>46440.89</v>
      </c>
      <c r="U102" s="2"/>
      <c r="V102" s="7">
        <f t="shared" si="82"/>
        <v>7.5273117372263642E-3</v>
      </c>
      <c r="W102" s="2"/>
      <c r="X102" s="6">
        <f t="shared" si="83"/>
        <v>-915.25999999999476</v>
      </c>
      <c r="Y102" s="2"/>
      <c r="Z102" s="7">
        <f t="shared" si="84"/>
        <v>-1.9708063303696264E-2</v>
      </c>
    </row>
    <row r="103" spans="1:26" s="24" customFormat="1" hidden="1" outlineLevel="2" x14ac:dyDescent="0.25">
      <c r="A103" s="27"/>
      <c r="B103" s="11" t="str">
        <f>CONCATENATE("          ", "6241", " - ", "OFFICE EXPENSE")</f>
        <v xml:space="preserve">          6241 - OFFICE EXPENSE</v>
      </c>
      <c r="C103" s="11"/>
      <c r="D103" s="6">
        <v>1030.8399999999999</v>
      </c>
      <c r="E103" s="2"/>
      <c r="F103" s="7">
        <f t="shared" si="77"/>
        <v>0</v>
      </c>
      <c r="G103" s="2"/>
      <c r="H103" s="6">
        <v>778.28</v>
      </c>
      <c r="I103" s="2"/>
      <c r="J103" s="7">
        <f t="shared" si="78"/>
        <v>8.5195151004814661E-4</v>
      </c>
      <c r="K103" s="2"/>
      <c r="L103" s="6">
        <f t="shared" si="79"/>
        <v>252.55999999999995</v>
      </c>
      <c r="M103" s="2"/>
      <c r="N103" s="7">
        <f t="shared" si="80"/>
        <v>0.32451045896078529</v>
      </c>
      <c r="O103" s="11"/>
      <c r="P103" s="6">
        <v>17759.070000000003</v>
      </c>
      <c r="Q103" s="2"/>
      <c r="R103" s="7">
        <f t="shared" si="81"/>
        <v>3.8443353593240691E-3</v>
      </c>
      <c r="S103" s="2"/>
      <c r="T103" s="6">
        <v>23070.710000000003</v>
      </c>
      <c r="U103" s="2"/>
      <c r="V103" s="7">
        <f t="shared" si="82"/>
        <v>3.7393862643275285E-3</v>
      </c>
      <c r="W103" s="2"/>
      <c r="X103" s="6">
        <f t="shared" si="83"/>
        <v>-5311.6399999999994</v>
      </c>
      <c r="Y103" s="2"/>
      <c r="Z103" s="7">
        <f t="shared" si="84"/>
        <v>-0.23023305307899058</v>
      </c>
    </row>
    <row r="104" spans="1:26" s="24" customFormat="1" hidden="1" outlineLevel="2" x14ac:dyDescent="0.25">
      <c r="A104" s="27"/>
      <c r="B104" s="11" t="str">
        <f>CONCATENATE("          ", "6243", " - ", "PAPER SUPPLIES")</f>
        <v xml:space="preserve">          6243 - PAPER SUPPLIES</v>
      </c>
      <c r="C104" s="11"/>
      <c r="D104" s="6"/>
      <c r="E104" s="2"/>
      <c r="F104" s="7">
        <f t="shared" si="77"/>
        <v>0</v>
      </c>
      <c r="G104" s="2"/>
      <c r="H104" s="6">
        <v>5300.69</v>
      </c>
      <c r="I104" s="2"/>
      <c r="J104" s="7">
        <f t="shared" si="78"/>
        <v>5.8024500819719256E-3</v>
      </c>
      <c r="K104" s="2"/>
      <c r="L104" s="6">
        <f t="shared" si="79"/>
        <v>-5300.69</v>
      </c>
      <c r="M104" s="2"/>
      <c r="N104" s="7">
        <f t="shared" si="80"/>
        <v>-1</v>
      </c>
      <c r="O104" s="11"/>
      <c r="P104" s="6">
        <v>29152.85</v>
      </c>
      <c r="Q104" s="2"/>
      <c r="R104" s="7">
        <f t="shared" si="81"/>
        <v>6.3107658272685821E-3</v>
      </c>
      <c r="S104" s="2"/>
      <c r="T104" s="6">
        <v>44830.54</v>
      </c>
      <c r="U104" s="2"/>
      <c r="V104" s="7">
        <f t="shared" si="82"/>
        <v>7.2663002351633661E-3</v>
      </c>
      <c r="W104" s="2"/>
      <c r="X104" s="6">
        <f t="shared" si="83"/>
        <v>-15677.690000000002</v>
      </c>
      <c r="Y104" s="2"/>
      <c r="Z104" s="7">
        <f t="shared" si="84"/>
        <v>-0.34971004141373274</v>
      </c>
    </row>
    <row r="105" spans="1:26" s="24" customFormat="1" hidden="1" outlineLevel="2" x14ac:dyDescent="0.25">
      <c r="A105" s="27"/>
      <c r="B105" s="11" t="str">
        <f>CONCATENATE("          ", "6245", " - ", "PRINTING")</f>
        <v xml:space="preserve">          6245 - PRINTING</v>
      </c>
      <c r="C105" s="11"/>
      <c r="D105" s="6"/>
      <c r="E105" s="2"/>
      <c r="F105" s="7">
        <f t="shared" si="77"/>
        <v>0</v>
      </c>
      <c r="G105" s="2"/>
      <c r="H105" s="6"/>
      <c r="I105" s="2"/>
      <c r="J105" s="7">
        <f t="shared" si="78"/>
        <v>0</v>
      </c>
      <c r="K105" s="2"/>
      <c r="L105" s="6">
        <f t="shared" si="79"/>
        <v>0</v>
      </c>
      <c r="M105" s="2"/>
      <c r="N105" s="7">
        <f t="shared" si="80"/>
        <v>0</v>
      </c>
      <c r="O105" s="11"/>
      <c r="P105" s="6">
        <v>531.28</v>
      </c>
      <c r="Q105" s="2"/>
      <c r="R105" s="7">
        <f t="shared" si="81"/>
        <v>1.1500706341614121E-4</v>
      </c>
      <c r="S105" s="2"/>
      <c r="T105" s="6">
        <v>292.39</v>
      </c>
      <c r="U105" s="2"/>
      <c r="V105" s="7">
        <f t="shared" si="82"/>
        <v>4.7391655905983207E-5</v>
      </c>
      <c r="W105" s="2"/>
      <c r="X105" s="6">
        <f t="shared" si="83"/>
        <v>238.89</v>
      </c>
      <c r="Y105" s="2"/>
      <c r="Z105" s="7">
        <f t="shared" si="84"/>
        <v>0.81702520606039875</v>
      </c>
    </row>
    <row r="106" spans="1:26" s="24" customFormat="1" hidden="1" outlineLevel="2" x14ac:dyDescent="0.25">
      <c r="A106" s="27"/>
      <c r="B106" s="11" t="str">
        <f>CONCATENATE("          ", "6246", " - ", "REPLACEMENTS")</f>
        <v xml:space="preserve">          6246 - REPLACEMENTS</v>
      </c>
      <c r="C106" s="11"/>
      <c r="D106" s="6"/>
      <c r="E106" s="2"/>
      <c r="F106" s="7">
        <f t="shared" si="77"/>
        <v>0</v>
      </c>
      <c r="G106" s="2"/>
      <c r="H106" s="6"/>
      <c r="I106" s="2"/>
      <c r="J106" s="7">
        <f t="shared" si="78"/>
        <v>0</v>
      </c>
      <c r="K106" s="2"/>
      <c r="L106" s="6">
        <f t="shared" si="79"/>
        <v>0</v>
      </c>
      <c r="M106" s="2"/>
      <c r="N106" s="7">
        <f t="shared" si="80"/>
        <v>0</v>
      </c>
      <c r="O106" s="11"/>
      <c r="P106" s="6">
        <v>25.87</v>
      </c>
      <c r="Q106" s="2"/>
      <c r="R106" s="7">
        <f t="shared" si="81"/>
        <v>5.600121838909E-6</v>
      </c>
      <c r="S106" s="2"/>
      <c r="T106" s="6"/>
      <c r="U106" s="2"/>
      <c r="V106" s="7">
        <f t="shared" si="82"/>
        <v>0</v>
      </c>
      <c r="W106" s="2"/>
      <c r="X106" s="6">
        <f t="shared" si="83"/>
        <v>25.87</v>
      </c>
      <c r="Y106" s="2"/>
      <c r="Z106" s="7">
        <f t="shared" si="84"/>
        <v>0</v>
      </c>
    </row>
    <row r="107" spans="1:26" s="24" customFormat="1" hidden="1" outlineLevel="2" x14ac:dyDescent="0.25">
      <c r="A107" s="27"/>
      <c r="B107" s="11" t="str">
        <f>CONCATENATE("          ", "6247", " - ", "STORE SUPPLIES")</f>
        <v xml:space="preserve">          6247 - STORE SUPPLIES</v>
      </c>
      <c r="C107" s="11"/>
      <c r="D107" s="6">
        <v>15.64</v>
      </c>
      <c r="E107" s="2"/>
      <c r="F107" s="7">
        <f t="shared" si="77"/>
        <v>0</v>
      </c>
      <c r="G107" s="2"/>
      <c r="H107" s="6">
        <v>74.23</v>
      </c>
      <c r="I107" s="2"/>
      <c r="J107" s="7">
        <f t="shared" si="78"/>
        <v>8.1256566519599538E-5</v>
      </c>
      <c r="K107" s="2"/>
      <c r="L107" s="6">
        <f t="shared" si="79"/>
        <v>-58.59</v>
      </c>
      <c r="M107" s="2"/>
      <c r="N107" s="7">
        <f t="shared" si="80"/>
        <v>-0.78930351609861238</v>
      </c>
      <c r="O107" s="11"/>
      <c r="P107" s="6">
        <v>6962.12</v>
      </c>
      <c r="Q107" s="2"/>
      <c r="R107" s="7">
        <f t="shared" si="81"/>
        <v>1.507101672095289E-3</v>
      </c>
      <c r="S107" s="2"/>
      <c r="T107" s="6">
        <v>8381.73</v>
      </c>
      <c r="U107" s="2"/>
      <c r="V107" s="7">
        <f t="shared" si="82"/>
        <v>1.358541892872043E-3</v>
      </c>
      <c r="W107" s="2"/>
      <c r="X107" s="6">
        <f t="shared" si="83"/>
        <v>-1419.6099999999997</v>
      </c>
      <c r="Y107" s="2"/>
      <c r="Z107" s="7">
        <f t="shared" si="84"/>
        <v>-0.16936956928939487</v>
      </c>
    </row>
    <row r="108" spans="1:26" s="24" customFormat="1" hidden="1" outlineLevel="2" x14ac:dyDescent="0.25">
      <c r="A108" s="27"/>
      <c r="B108" s="11" t="str">
        <f>CONCATENATE("          ", "6248", " - ", "UNIFORMS")</f>
        <v xml:space="preserve">          6248 - UNIFORMS</v>
      </c>
      <c r="C108" s="11"/>
      <c r="D108" s="6"/>
      <c r="E108" s="2"/>
      <c r="F108" s="7">
        <f t="shared" si="77"/>
        <v>0</v>
      </c>
      <c r="G108" s="2"/>
      <c r="H108" s="6">
        <v>558.09</v>
      </c>
      <c r="I108" s="2"/>
      <c r="J108" s="7">
        <f t="shared" si="78"/>
        <v>6.1091845896434473E-4</v>
      </c>
      <c r="K108" s="2"/>
      <c r="L108" s="6">
        <f t="shared" si="79"/>
        <v>-558.09</v>
      </c>
      <c r="M108" s="2"/>
      <c r="N108" s="7">
        <f t="shared" si="80"/>
        <v>-1</v>
      </c>
      <c r="O108" s="11"/>
      <c r="P108" s="6">
        <v>4723.8900000000003</v>
      </c>
      <c r="Q108" s="2"/>
      <c r="R108" s="7">
        <f t="shared" si="81"/>
        <v>1.0225883089912578E-3</v>
      </c>
      <c r="S108" s="2"/>
      <c r="T108" s="6">
        <v>9170.2099999999991</v>
      </c>
      <c r="U108" s="2"/>
      <c r="V108" s="7">
        <f t="shared" si="82"/>
        <v>1.4863416563685704E-3</v>
      </c>
      <c r="W108" s="2"/>
      <c r="X108" s="6">
        <f t="shared" si="83"/>
        <v>-4446.3199999999988</v>
      </c>
      <c r="Y108" s="2"/>
      <c r="Z108" s="7">
        <f t="shared" si="84"/>
        <v>-0.48486566828894861</v>
      </c>
    </row>
    <row r="109" spans="1:26" s="25" customFormat="1" outlineLevel="1" collapsed="1" x14ac:dyDescent="0.25">
      <c r="A109" s="26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SUM(OSRRefD22_21x_0)</f>
        <v>1852.07</v>
      </c>
      <c r="E109" s="1"/>
      <c r="F109" s="5">
        <f t="shared" ref="F109:F116" si="85">IF(D$12=0,0,D109/D$12)</f>
        <v>0</v>
      </c>
      <c r="G109" s="1"/>
      <c r="H109" s="1">
        <f>SUM(OSRRefH22_21x_0)</f>
        <v>1979.67</v>
      </c>
      <c r="I109" s="1"/>
      <c r="J109" s="5">
        <f t="shared" ref="J109:J116" si="86">IF(H$12=0,0,H109/H$12)</f>
        <v>2.1670643545986207E-3</v>
      </c>
      <c r="K109" s="1"/>
      <c r="L109" s="1">
        <f t="shared" ref="L109:L116" si="87">+D109-H109</f>
        <v>-127.60000000000014</v>
      </c>
      <c r="M109" s="1"/>
      <c r="N109" s="5">
        <f t="shared" ref="N109:N116" si="88">IF(H109=0,0,L109/H109)</f>
        <v>-6.4455186975607107E-2</v>
      </c>
      <c r="O109" s="13"/>
      <c r="P109" s="1">
        <f>SUM(OSRRefP22_21x_0)</f>
        <v>19015.32</v>
      </c>
      <c r="Q109" s="1"/>
      <c r="R109" s="5">
        <f t="shared" ref="R109:R116" si="89">IF(P$12=0,0,P109/P$12)</f>
        <v>4.1162778819421372E-3</v>
      </c>
      <c r="S109" s="1"/>
      <c r="T109" s="1">
        <f>SUM(OSRRefT22_21x_0)</f>
        <v>19124.66</v>
      </c>
      <c r="U109" s="1"/>
      <c r="V109" s="5">
        <f t="shared" ref="V109:V116" si="90">IF(T$12=0,0,T109/T$12)</f>
        <v>3.0997958413041516E-3</v>
      </c>
      <c r="W109" s="1"/>
      <c r="X109" s="1">
        <f t="shared" ref="X109:X116" si="91">+P109-T109</f>
        <v>-109.34000000000015</v>
      </c>
      <c r="Y109" s="1"/>
      <c r="Z109" s="5">
        <f t="shared" ref="Z109:Z116" si="92">IF(T109=0,0,X109/T109)</f>
        <v>-5.7172258225767231E-3</v>
      </c>
    </row>
    <row r="110" spans="1:26" s="24" customFormat="1" hidden="1" outlineLevel="2" x14ac:dyDescent="0.25">
      <c r="A110" s="27"/>
      <c r="B110" s="11" t="str">
        <f>CONCATENATE("          ", "6309", " - ", "TELEPHONE")</f>
        <v xml:space="preserve">          6309 - TELEPHONE</v>
      </c>
      <c r="C110" s="11"/>
      <c r="D110" s="6">
        <v>1852.07</v>
      </c>
      <c r="E110" s="2"/>
      <c r="F110" s="7">
        <f t="shared" si="85"/>
        <v>0</v>
      </c>
      <c r="G110" s="2"/>
      <c r="H110" s="6">
        <v>1979.67</v>
      </c>
      <c r="I110" s="2"/>
      <c r="J110" s="7">
        <f t="shared" si="86"/>
        <v>2.1670643545986207E-3</v>
      </c>
      <c r="K110" s="2"/>
      <c r="L110" s="6">
        <f t="shared" si="87"/>
        <v>-127.60000000000014</v>
      </c>
      <c r="M110" s="2"/>
      <c r="N110" s="7">
        <f t="shared" si="88"/>
        <v>-6.4455186975607107E-2</v>
      </c>
      <c r="O110" s="11"/>
      <c r="P110" s="6">
        <v>19015.32</v>
      </c>
      <c r="Q110" s="2"/>
      <c r="R110" s="7">
        <f t="shared" si="89"/>
        <v>4.1162778819421372E-3</v>
      </c>
      <c r="S110" s="2"/>
      <c r="T110" s="6">
        <v>19124.66</v>
      </c>
      <c r="U110" s="2"/>
      <c r="V110" s="7">
        <f t="shared" si="90"/>
        <v>3.0997958413041516E-3</v>
      </c>
      <c r="W110" s="2"/>
      <c r="X110" s="6">
        <f t="shared" si="91"/>
        <v>-109.34000000000015</v>
      </c>
      <c r="Y110" s="2"/>
      <c r="Z110" s="7">
        <f t="shared" si="92"/>
        <v>-5.7172258225767231E-3</v>
      </c>
    </row>
    <row r="111" spans="1:26" s="25" customFormat="1" outlineLevel="1" collapsed="1" x14ac:dyDescent="0.25">
      <c r="A111" s="26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SUM(OSRRefD22_22x_0)</f>
        <v>120</v>
      </c>
      <c r="E111" s="1"/>
      <c r="F111" s="5">
        <f t="shared" si="85"/>
        <v>0</v>
      </c>
      <c r="G111" s="1"/>
      <c r="H111" s="1">
        <f>SUM(OSRRefH22_22x_0)</f>
        <v>0</v>
      </c>
      <c r="I111" s="1"/>
      <c r="J111" s="5">
        <f t="shared" si="86"/>
        <v>0</v>
      </c>
      <c r="K111" s="1"/>
      <c r="L111" s="1">
        <f t="shared" si="87"/>
        <v>120</v>
      </c>
      <c r="M111" s="1"/>
      <c r="N111" s="5">
        <f t="shared" si="88"/>
        <v>0</v>
      </c>
      <c r="O111" s="13"/>
      <c r="P111" s="1">
        <f>SUM(OSRRefP22_22x_0)</f>
        <v>2123.0100000000002</v>
      </c>
      <c r="Q111" s="1"/>
      <c r="R111" s="5">
        <f t="shared" si="89"/>
        <v>4.5957149846239645E-4</v>
      </c>
      <c r="S111" s="1"/>
      <c r="T111" s="1">
        <f>SUM(OSRRefT22_22x_0)</f>
        <v>1310.81</v>
      </c>
      <c r="U111" s="1"/>
      <c r="V111" s="5">
        <f t="shared" si="90"/>
        <v>2.1246094763200469E-4</v>
      </c>
      <c r="W111" s="1"/>
      <c r="X111" s="1">
        <f t="shared" si="91"/>
        <v>812.20000000000027</v>
      </c>
      <c r="Y111" s="1"/>
      <c r="Z111" s="5">
        <f t="shared" si="92"/>
        <v>0.61961687811353305</v>
      </c>
    </row>
    <row r="112" spans="1:26" s="24" customFormat="1" hidden="1" outlineLevel="2" x14ac:dyDescent="0.25">
      <c r="A112" s="27"/>
      <c r="B112" s="11" t="str">
        <f>CONCATENATE("          ", "6376", " - ", "TRAINING")</f>
        <v xml:space="preserve">          6376 - TRAINING</v>
      </c>
      <c r="C112" s="11"/>
      <c r="D112" s="6">
        <v>120</v>
      </c>
      <c r="E112" s="2"/>
      <c r="F112" s="7">
        <f t="shared" si="85"/>
        <v>0</v>
      </c>
      <c r="G112" s="2"/>
      <c r="H112" s="6"/>
      <c r="I112" s="2"/>
      <c r="J112" s="7">
        <f t="shared" si="86"/>
        <v>0</v>
      </c>
      <c r="K112" s="2"/>
      <c r="L112" s="6">
        <f t="shared" si="87"/>
        <v>120</v>
      </c>
      <c r="M112" s="2"/>
      <c r="N112" s="7">
        <f t="shared" si="88"/>
        <v>0</v>
      </c>
      <c r="O112" s="11"/>
      <c r="P112" s="6">
        <v>2123.0100000000002</v>
      </c>
      <c r="Q112" s="2"/>
      <c r="R112" s="7">
        <f t="shared" si="89"/>
        <v>4.5957149846239645E-4</v>
      </c>
      <c r="S112" s="2"/>
      <c r="T112" s="6">
        <v>1310.81</v>
      </c>
      <c r="U112" s="2"/>
      <c r="V112" s="7">
        <f t="shared" si="90"/>
        <v>2.1246094763200469E-4</v>
      </c>
      <c r="W112" s="2"/>
      <c r="X112" s="6">
        <f t="shared" si="91"/>
        <v>812.20000000000027</v>
      </c>
      <c r="Y112" s="2"/>
      <c r="Z112" s="7">
        <f t="shared" si="92"/>
        <v>0.61961687811353305</v>
      </c>
    </row>
    <row r="113" spans="1:26" s="25" customFormat="1" outlineLevel="1" collapsed="1" x14ac:dyDescent="0.25">
      <c r="A113" s="26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SUM(OSRRefD22_23x_0)</f>
        <v>1737.4299999999998</v>
      </c>
      <c r="E113" s="1"/>
      <c r="F113" s="5">
        <f t="shared" si="85"/>
        <v>0</v>
      </c>
      <c r="G113" s="1"/>
      <c r="H113" s="1">
        <f>SUM(OSRRefH22_23x_0)</f>
        <v>201.19</v>
      </c>
      <c r="I113" s="1"/>
      <c r="J113" s="5">
        <f t="shared" si="86"/>
        <v>2.202345226738277E-4</v>
      </c>
      <c r="K113" s="1"/>
      <c r="L113" s="1">
        <f t="shared" si="87"/>
        <v>1536.2399999999998</v>
      </c>
      <c r="M113" s="1"/>
      <c r="N113" s="5">
        <f t="shared" si="88"/>
        <v>7.6357671852477749</v>
      </c>
      <c r="O113" s="13"/>
      <c r="P113" s="1">
        <f>SUM(OSRRefP22_23x_0)</f>
        <v>6341.32</v>
      </c>
      <c r="Q113" s="1"/>
      <c r="R113" s="5">
        <f t="shared" si="89"/>
        <v>1.3727160656942566E-3</v>
      </c>
      <c r="S113" s="1"/>
      <c r="T113" s="1">
        <f>SUM(OSRRefT22_23x_0)</f>
        <v>3811.66</v>
      </c>
      <c r="U113" s="1"/>
      <c r="V113" s="5">
        <f t="shared" si="90"/>
        <v>6.1780799326447539E-4</v>
      </c>
      <c r="W113" s="1"/>
      <c r="X113" s="1">
        <f t="shared" si="91"/>
        <v>2529.66</v>
      </c>
      <c r="Y113" s="1"/>
      <c r="Z113" s="5">
        <f t="shared" si="92"/>
        <v>0.66366360063594343</v>
      </c>
    </row>
    <row r="114" spans="1:26" s="24" customFormat="1" hidden="1" outlineLevel="2" x14ac:dyDescent="0.25">
      <c r="A114" s="27"/>
      <c r="B114" s="11" t="str">
        <f>CONCATENATE("          ", "6292", " - ", "TRAVEL/CONFERENCE")</f>
        <v xml:space="preserve">          6292 - TRAVEL/CONFERENCE</v>
      </c>
      <c r="C114" s="11"/>
      <c r="D114" s="6">
        <v>1547.08</v>
      </c>
      <c r="E114" s="2"/>
      <c r="F114" s="7">
        <f t="shared" si="85"/>
        <v>0</v>
      </c>
      <c r="G114" s="2"/>
      <c r="H114" s="6">
        <v>62.58</v>
      </c>
      <c r="I114" s="2"/>
      <c r="J114" s="7">
        <f t="shared" si="86"/>
        <v>6.8503784626115305E-5</v>
      </c>
      <c r="K114" s="2"/>
      <c r="L114" s="6">
        <f t="shared" si="87"/>
        <v>1484.5</v>
      </c>
      <c r="M114" s="2"/>
      <c r="N114" s="7">
        <f t="shared" si="88"/>
        <v>23.721636305528925</v>
      </c>
      <c r="O114" s="11"/>
      <c r="P114" s="6">
        <v>4995.68</v>
      </c>
      <c r="Q114" s="2"/>
      <c r="R114" s="7">
        <f t="shared" si="89"/>
        <v>1.0814231414070705E-3</v>
      </c>
      <c r="S114" s="2"/>
      <c r="T114" s="6">
        <v>1433.07</v>
      </c>
      <c r="U114" s="2"/>
      <c r="V114" s="7">
        <f t="shared" si="90"/>
        <v>2.3227730199113295E-4</v>
      </c>
      <c r="W114" s="2"/>
      <c r="X114" s="6">
        <f t="shared" si="91"/>
        <v>3562.6100000000006</v>
      </c>
      <c r="Y114" s="2"/>
      <c r="Z114" s="7">
        <f t="shared" si="92"/>
        <v>2.485998590438709</v>
      </c>
    </row>
    <row r="115" spans="1:26" s="24" customFormat="1" hidden="1" outlineLevel="2" x14ac:dyDescent="0.25">
      <c r="A115" s="27"/>
      <c r="B115" s="11" t="str">
        <f>CONCATENATE("          ", "6294", " - ", "TRAVEL OPERATIONAL")</f>
        <v xml:space="preserve">          6294 - TRAVEL OPERATIONAL</v>
      </c>
      <c r="C115" s="11"/>
      <c r="D115" s="6"/>
      <c r="E115" s="2"/>
      <c r="F115" s="7">
        <f t="shared" si="85"/>
        <v>0</v>
      </c>
      <c r="G115" s="2"/>
      <c r="H115" s="6"/>
      <c r="I115" s="2"/>
      <c r="J115" s="7">
        <f t="shared" si="86"/>
        <v>0</v>
      </c>
      <c r="K115" s="2"/>
      <c r="L115" s="6">
        <f t="shared" si="87"/>
        <v>0</v>
      </c>
      <c r="M115" s="2"/>
      <c r="N115" s="7">
        <f t="shared" si="88"/>
        <v>0</v>
      </c>
      <c r="O115" s="11"/>
      <c r="P115" s="6">
        <v>56.99</v>
      </c>
      <c r="Q115" s="2"/>
      <c r="R115" s="7">
        <f t="shared" si="89"/>
        <v>1.2336719891744256E-5</v>
      </c>
      <c r="S115" s="2"/>
      <c r="T115" s="6">
        <v>1299.02</v>
      </c>
      <c r="U115" s="2"/>
      <c r="V115" s="7">
        <f t="shared" si="90"/>
        <v>2.1054998069356103E-4</v>
      </c>
      <c r="W115" s="2"/>
      <c r="X115" s="6">
        <f t="shared" si="91"/>
        <v>-1242.03</v>
      </c>
      <c r="Y115" s="2"/>
      <c r="Z115" s="7">
        <f t="shared" si="92"/>
        <v>-0.95612846607442536</v>
      </c>
    </row>
    <row r="116" spans="1:26" s="24" customFormat="1" hidden="1" outlineLevel="2" x14ac:dyDescent="0.25">
      <c r="A116" s="27"/>
      <c r="B116" s="11" t="str">
        <f>CONCATENATE("          ", "6298", " - ", "VEHICLE MILEAGE")</f>
        <v xml:space="preserve">          6298 - VEHICLE MILEAGE</v>
      </c>
      <c r="C116" s="11"/>
      <c r="D116" s="6">
        <v>190.35</v>
      </c>
      <c r="E116" s="2"/>
      <c r="F116" s="7">
        <f t="shared" si="85"/>
        <v>0</v>
      </c>
      <c r="G116" s="2"/>
      <c r="H116" s="6">
        <v>138.61000000000001</v>
      </c>
      <c r="I116" s="2"/>
      <c r="J116" s="7">
        <f t="shared" si="86"/>
        <v>1.5173073804771242E-4</v>
      </c>
      <c r="K116" s="2"/>
      <c r="L116" s="6">
        <f t="shared" si="87"/>
        <v>51.739999999999981</v>
      </c>
      <c r="M116" s="2"/>
      <c r="N116" s="7">
        <f t="shared" si="88"/>
        <v>0.37327754130293611</v>
      </c>
      <c r="O116" s="11"/>
      <c r="P116" s="6">
        <v>1288.6500000000001</v>
      </c>
      <c r="Q116" s="2"/>
      <c r="R116" s="7">
        <f t="shared" si="89"/>
        <v>2.7895620439544194E-4</v>
      </c>
      <c r="S116" s="2"/>
      <c r="T116" s="6">
        <v>1079.57</v>
      </c>
      <c r="U116" s="2"/>
      <c r="V116" s="7">
        <f t="shared" si="90"/>
        <v>1.7498071057978144E-4</v>
      </c>
      <c r="W116" s="2"/>
      <c r="X116" s="6">
        <f t="shared" si="91"/>
        <v>209.08000000000015</v>
      </c>
      <c r="Y116" s="2"/>
      <c r="Z116" s="7">
        <f t="shared" si="92"/>
        <v>0.19366970182572707</v>
      </c>
    </row>
    <row r="117" spans="1:26" s="25" customFormat="1" outlineLevel="1" collapsed="1" x14ac:dyDescent="0.25">
      <c r="A117" s="26"/>
      <c r="B117" s="13" t="str">
        <f>CONCATENATE("     ","Utilities                                         ")</f>
        <v xml:space="preserve">     Utilities                                         </v>
      </c>
      <c r="C117" s="13"/>
      <c r="D117" s="1">
        <f>SUM(OSRRefD22_24x_0)</f>
        <v>15583</v>
      </c>
      <c r="E117" s="1"/>
      <c r="F117" s="5">
        <f t="shared" ref="F117:F118" si="93">IF(D$12=0,0,D117/D$12)</f>
        <v>0</v>
      </c>
      <c r="G117" s="1"/>
      <c r="H117" s="1">
        <f>SUM(OSRRefH22_24x_0)</f>
        <v>14316</v>
      </c>
      <c r="I117" s="1"/>
      <c r="J117" s="5">
        <f t="shared" ref="J117:J118" si="94">IF(H$12=0,0,H117/H$12)</f>
        <v>1.5671143827220624E-2</v>
      </c>
      <c r="K117" s="1"/>
      <c r="L117" s="1">
        <f t="shared" ref="L117:L118" si="95">+D117-H117</f>
        <v>1267</v>
      </c>
      <c r="M117" s="1"/>
      <c r="N117" s="5">
        <f t="shared" ref="N117:N118" si="96">IF(H117=0,0,L117/H117)</f>
        <v>8.8502374965074043E-2</v>
      </c>
      <c r="O117" s="13"/>
      <c r="P117" s="1">
        <f>SUM(OSRRefP22_24x_0)</f>
        <v>159219</v>
      </c>
      <c r="Q117" s="1"/>
      <c r="R117" s="5">
        <f t="shared" ref="R117:R118" si="97">IF(P$12=0,0,P117/P$12)</f>
        <v>3.4466401200976111E-2</v>
      </c>
      <c r="S117" s="1"/>
      <c r="T117" s="1">
        <f>SUM(OSRRefT22_24x_0)</f>
        <v>113829.62</v>
      </c>
      <c r="U117" s="1"/>
      <c r="V117" s="5">
        <f t="shared" ref="V117:V118" si="98">IF(T$12=0,0,T117/T$12)</f>
        <v>1.8449927093774837E-2</v>
      </c>
      <c r="W117" s="1"/>
      <c r="X117" s="1">
        <f t="shared" ref="X117:X118" si="99">+P117-T117</f>
        <v>45389.380000000005</v>
      </c>
      <c r="Y117" s="1"/>
      <c r="Z117" s="5">
        <f t="shared" ref="Z117:Z118" si="100">IF(T117=0,0,X117/T117)</f>
        <v>0.3987484101238325</v>
      </c>
    </row>
    <row r="118" spans="1:26" s="24" customFormat="1" hidden="1" outlineLevel="2" x14ac:dyDescent="0.25">
      <c r="A118" s="27"/>
      <c r="B118" s="11" t="str">
        <f>CONCATENATE("          ", "6274", " - ", "UTILITIES")</f>
        <v xml:space="preserve">          6274 - UTILITIES</v>
      </c>
      <c r="C118" s="11"/>
      <c r="D118" s="6">
        <v>15583</v>
      </c>
      <c r="E118" s="2"/>
      <c r="F118" s="7">
        <f t="shared" si="93"/>
        <v>0</v>
      </c>
      <c r="G118" s="2"/>
      <c r="H118" s="6">
        <v>14316</v>
      </c>
      <c r="I118" s="2"/>
      <c r="J118" s="7">
        <f t="shared" si="94"/>
        <v>1.5671143827220624E-2</v>
      </c>
      <c r="K118" s="2"/>
      <c r="L118" s="6">
        <f t="shared" si="95"/>
        <v>1267</v>
      </c>
      <c r="M118" s="2"/>
      <c r="N118" s="7">
        <f t="shared" si="96"/>
        <v>8.8502374965074043E-2</v>
      </c>
      <c r="O118" s="11"/>
      <c r="P118" s="6">
        <v>159219</v>
      </c>
      <c r="Q118" s="2"/>
      <c r="R118" s="7">
        <f t="shared" si="97"/>
        <v>3.4466401200976111E-2</v>
      </c>
      <c r="S118" s="2"/>
      <c r="T118" s="6">
        <v>113829.62</v>
      </c>
      <c r="U118" s="2"/>
      <c r="V118" s="7">
        <f t="shared" si="98"/>
        <v>1.8449927093774837E-2</v>
      </c>
      <c r="W118" s="2"/>
      <c r="X118" s="6">
        <f t="shared" si="99"/>
        <v>45389.380000000005</v>
      </c>
      <c r="Y118" s="2"/>
      <c r="Z118" s="7">
        <f t="shared" si="100"/>
        <v>0.3987484101238325</v>
      </c>
    </row>
    <row r="119" spans="1:26" s="53" customFormat="1" x14ac:dyDescent="0.25">
      <c r="A119" s="37"/>
      <c r="B119" s="37"/>
      <c r="C119" s="37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7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collapsed="1" x14ac:dyDescent="0.25">
      <c r="A120" s="10"/>
      <c r="B120" s="29" t="s">
        <v>0</v>
      </c>
      <c r="C120" s="10"/>
      <c r="D120" s="4">
        <f>SUM(OSRRefD25x_0)</f>
        <v>24358.23</v>
      </c>
      <c r="E120" s="4"/>
      <c r="F120" s="12">
        <f t="shared" ref="F120:F123" si="101">IF(D$12=0,0,D120/D$12)</f>
        <v>0</v>
      </c>
      <c r="G120" s="4"/>
      <c r="H120" s="4">
        <f>SUM(OSRRefH25x_0)</f>
        <v>46352.67</v>
      </c>
      <c r="I120" s="4"/>
      <c r="J120" s="12">
        <f t="shared" ref="J120:J123" si="102">IF(H$12=0,0,H120/H$12)</f>
        <v>5.0740385467008563E-2</v>
      </c>
      <c r="K120" s="4"/>
      <c r="L120" s="4">
        <f t="shared" ref="L120:L123" si="103">+D120-H120</f>
        <v>-21994.44</v>
      </c>
      <c r="M120" s="4"/>
      <c r="N120" s="12">
        <f t="shared" ref="N120:N123" si="104">IF(H120=0,0,L120/H120)</f>
        <v>-0.47450211605933379</v>
      </c>
      <c r="O120" s="10"/>
      <c r="P120" s="4">
        <f>SUM(OSRRefP25x_0)</f>
        <v>680573.99</v>
      </c>
      <c r="Q120" s="4"/>
      <c r="R120" s="12">
        <f t="shared" ref="R120:R123" si="105">IF(P$12=0,0,P120/P$12)</f>
        <v>0.14732498122893062</v>
      </c>
      <c r="S120" s="4"/>
      <c r="T120" s="4">
        <f>SUM(OSRRefT25x_0)</f>
        <v>629122.37</v>
      </c>
      <c r="U120" s="4"/>
      <c r="V120" s="12">
        <f t="shared" ref="V120:V123" si="106">IF(T$12=0,0,T120/T$12)</f>
        <v>0.1019704876425208</v>
      </c>
      <c r="W120" s="4"/>
      <c r="X120" s="4">
        <f t="shared" ref="X120:X123" si="107">+P120-T120</f>
        <v>51451.619999999995</v>
      </c>
      <c r="Y120" s="4"/>
      <c r="Z120" s="12">
        <f t="shared" ref="Z120:Z123" si="108">IF(T120=0,0,X120/T120)</f>
        <v>8.1783167239785154E-2</v>
      </c>
    </row>
    <row r="121" spans="1:26" s="24" customFormat="1" hidden="1" outlineLevel="1" x14ac:dyDescent="0.25">
      <c r="A121" s="44"/>
      <c r="B121" s="11" t="str">
        <f>CONCATENATE("          ", "9150", " - ", "MISC. INCOME")</f>
        <v xml:space="preserve">          9150 - MISC. INCOME</v>
      </c>
      <c r="C121" s="11"/>
      <c r="D121" s="2">
        <f>--20725.38</f>
        <v>20725.38</v>
      </c>
      <c r="E121" s="2"/>
      <c r="F121" s="19">
        <f t="shared" si="101"/>
        <v>0</v>
      </c>
      <c r="G121" s="2"/>
      <c r="H121" s="2">
        <f>--31551.13</f>
        <v>31551.13</v>
      </c>
      <c r="I121" s="2"/>
      <c r="J121" s="19">
        <f t="shared" si="102"/>
        <v>3.4537740719568E-2</v>
      </c>
      <c r="K121" s="2"/>
      <c r="L121" s="2">
        <f t="shared" si="103"/>
        <v>-10825.75</v>
      </c>
      <c r="M121" s="2"/>
      <c r="N121" s="19">
        <f t="shared" si="104"/>
        <v>-0.34311766329763782</v>
      </c>
      <c r="O121" s="11"/>
      <c r="P121" s="2">
        <f>--313984.54</f>
        <v>313984.53999999998</v>
      </c>
      <c r="Q121" s="2"/>
      <c r="R121" s="19">
        <f t="shared" si="105"/>
        <v>6.7968754523919456E-2</v>
      </c>
      <c r="S121" s="2"/>
      <c r="T121" s="2">
        <f>--302353.55</f>
        <v>302353.55</v>
      </c>
      <c r="U121" s="2"/>
      <c r="V121" s="19">
        <f t="shared" si="106"/>
        <v>4.9006585052677895E-2</v>
      </c>
      <c r="W121" s="2"/>
      <c r="X121" s="2">
        <f t="shared" si="107"/>
        <v>11630.989999999991</v>
      </c>
      <c r="Y121" s="2"/>
      <c r="Z121" s="19">
        <f t="shared" si="108"/>
        <v>3.8468177403572709E-2</v>
      </c>
    </row>
    <row r="122" spans="1:26" s="24" customFormat="1" hidden="1" outlineLevel="1" x14ac:dyDescent="0.25">
      <c r="A122" s="44"/>
      <c r="B122" s="11" t="str">
        <f>CONCATENATE("          ", "9160", " - ", "MISC. INCOME")</f>
        <v xml:space="preserve">          9160 - MISC. INCOME</v>
      </c>
      <c r="C122" s="11"/>
      <c r="D122" s="2">
        <f>0</f>
        <v>0</v>
      </c>
      <c r="E122" s="2"/>
      <c r="F122" s="19">
        <f t="shared" si="101"/>
        <v>0</v>
      </c>
      <c r="G122" s="2"/>
      <c r="H122" s="2">
        <f>--9962.34</f>
        <v>9962.34</v>
      </c>
      <c r="I122" s="2"/>
      <c r="J122" s="19">
        <f t="shared" si="102"/>
        <v>1.0905369027359117E-2</v>
      </c>
      <c r="K122" s="2"/>
      <c r="L122" s="2">
        <f t="shared" si="103"/>
        <v>-9962.34</v>
      </c>
      <c r="M122" s="2"/>
      <c r="N122" s="19">
        <f t="shared" si="104"/>
        <v>-1</v>
      </c>
      <c r="O122" s="11"/>
      <c r="P122" s="2">
        <f>--130089.32</f>
        <v>130089.32</v>
      </c>
      <c r="Q122" s="2"/>
      <c r="R122" s="19">
        <f t="shared" si="105"/>
        <v>2.8160651022064994E-2</v>
      </c>
      <c r="S122" s="2"/>
      <c r="T122" s="2">
        <f>--86579.56</f>
        <v>86579.56</v>
      </c>
      <c r="U122" s="2"/>
      <c r="V122" s="19">
        <f t="shared" si="106"/>
        <v>1.4033136276929538E-2</v>
      </c>
      <c r="W122" s="2"/>
      <c r="X122" s="2">
        <f t="shared" si="107"/>
        <v>43509.760000000009</v>
      </c>
      <c r="Y122" s="2"/>
      <c r="Z122" s="19">
        <f t="shared" si="108"/>
        <v>0.50254078445305117</v>
      </c>
    </row>
    <row r="123" spans="1:26" s="24" customFormat="1" hidden="1" outlineLevel="1" x14ac:dyDescent="0.25">
      <c r="A123" s="44"/>
      <c r="B123" s="11" t="str">
        <f>CONCATENATE("          ", "9165", " - ", "OTHER INCOME")</f>
        <v xml:space="preserve">          9165 - OTHER INCOME</v>
      </c>
      <c r="C123" s="11"/>
      <c r="D123" s="2">
        <f>--3632.85</f>
        <v>3632.85</v>
      </c>
      <c r="E123" s="2"/>
      <c r="F123" s="19">
        <f t="shared" si="101"/>
        <v>0</v>
      </c>
      <c r="G123" s="2"/>
      <c r="H123" s="2">
        <f>--4839.2</f>
        <v>4839.2</v>
      </c>
      <c r="I123" s="2"/>
      <c r="J123" s="19">
        <f t="shared" si="102"/>
        <v>5.2972757200814508E-3</v>
      </c>
      <c r="K123" s="2"/>
      <c r="L123" s="2">
        <f t="shared" si="103"/>
        <v>-1206.3499999999999</v>
      </c>
      <c r="M123" s="2"/>
      <c r="N123" s="19">
        <f t="shared" si="104"/>
        <v>-0.24928707224334601</v>
      </c>
      <c r="O123" s="11"/>
      <c r="P123" s="2">
        <f>--236500.13</f>
        <v>236500.13</v>
      </c>
      <c r="Q123" s="2"/>
      <c r="R123" s="19">
        <f t="shared" si="105"/>
        <v>5.1195575682946172E-2</v>
      </c>
      <c r="S123" s="2"/>
      <c r="T123" s="2">
        <f>--240189.26</f>
        <v>240189.26</v>
      </c>
      <c r="U123" s="2"/>
      <c r="V123" s="19">
        <f t="shared" si="106"/>
        <v>3.893076631291336E-2</v>
      </c>
      <c r="W123" s="2"/>
      <c r="X123" s="2">
        <f t="shared" si="107"/>
        <v>-3689.1300000000047</v>
      </c>
      <c r="Y123" s="2"/>
      <c r="Z123" s="19">
        <f t="shared" si="108"/>
        <v>-1.5359262941232278E-2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10"/>
      <c r="B125" s="28" t="s">
        <v>3</v>
      </c>
      <c r="C125" s="28"/>
      <c r="D125" s="21">
        <f>+D30-D32+D120</f>
        <v>-168000.25999999998</v>
      </c>
      <c r="E125" s="14"/>
      <c r="F125" s="20">
        <f>IF(D$12=0,0,D125/D$12)</f>
        <v>0</v>
      </c>
      <c r="G125" s="14"/>
      <c r="H125" s="21">
        <f>+H30-H32+H120</f>
        <v>183050.36999999994</v>
      </c>
      <c r="I125" s="14"/>
      <c r="J125" s="20">
        <f>IF(H$12=0,0,H125/H$12)</f>
        <v>0.2003778063632265</v>
      </c>
      <c r="K125" s="15"/>
      <c r="L125" s="21">
        <f>+D125-H125</f>
        <v>-351050.62999999989</v>
      </c>
      <c r="M125" s="15"/>
      <c r="N125" s="20">
        <f>IF(H125=0,0,L125/H125)</f>
        <v>-1.9177815920284673</v>
      </c>
      <c r="O125" s="29"/>
      <c r="P125" s="21">
        <f>+P30-P32+P120</f>
        <v>-884198.45000000042</v>
      </c>
      <c r="Q125" s="14"/>
      <c r="R125" s="20">
        <f>IF(P$12=0,0,P125/P$12)</f>
        <v>-0.1914039060600885</v>
      </c>
      <c r="S125" s="14"/>
      <c r="T125" s="21">
        <f>+T30-T32+T120</f>
        <v>204492.35000000137</v>
      </c>
      <c r="U125" s="14"/>
      <c r="V125" s="20">
        <f>IF(T$12=0,0,T125/T$12)</f>
        <v>3.314487871201461E-2</v>
      </c>
      <c r="W125" s="15"/>
      <c r="X125" s="21">
        <f>+P125-T125</f>
        <v>-1088690.8000000017</v>
      </c>
      <c r="Y125" s="15"/>
      <c r="Z125" s="20">
        <f>IF(T125=0,0,X125/T125)</f>
        <v>-5.3238705506587136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51"/>
      <c r="B127" s="10" t="s">
        <v>13</v>
      </c>
      <c r="C127" s="10"/>
      <c r="D127" s="4">
        <v>29520.799999999999</v>
      </c>
      <c r="E127" s="4"/>
      <c r="F127" s="12">
        <f>IF(D$12=0,0,D127/D$12)</f>
        <v>0</v>
      </c>
      <c r="G127" s="4"/>
      <c r="H127" s="4">
        <v>100152</v>
      </c>
      <c r="I127" s="4"/>
      <c r="J127" s="12">
        <f>IF(H$12=0,0,H127/H$12)</f>
        <v>0.10963232722714446</v>
      </c>
      <c r="K127" s="4"/>
      <c r="L127" s="4">
        <f>+D127-H127</f>
        <v>-70631.199999999997</v>
      </c>
      <c r="M127" s="4"/>
      <c r="N127" s="12">
        <f>IF(H127=0,0,L127/H127)</f>
        <v>-0.70524003514657718</v>
      </c>
      <c r="O127" s="10"/>
      <c r="P127" s="4">
        <v>524515.97</v>
      </c>
      <c r="Q127" s="4"/>
      <c r="R127" s="12">
        <f>IF(P$12=0,0,P127/P$12)</f>
        <v>0.11354284261513481</v>
      </c>
      <c r="S127" s="4"/>
      <c r="T127" s="4">
        <v>641388.03</v>
      </c>
      <c r="U127" s="4"/>
      <c r="V127" s="12">
        <f>IF(T$12=0,0,T127/T$12)</f>
        <v>0.10395855131836396</v>
      </c>
      <c r="W127" s="4"/>
      <c r="X127" s="4">
        <f>+P127-T127</f>
        <v>-116872.06000000006</v>
      </c>
      <c r="Y127" s="4"/>
      <c r="Z127" s="12">
        <f>IF(T127=0,0,X127/T127)</f>
        <v>-0.18221740121966426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4</v>
      </c>
      <c r="C129" s="28"/>
      <c r="D129" s="30">
        <f>+D125-D127</f>
        <v>-197521.05999999997</v>
      </c>
      <c r="E129" s="14"/>
      <c r="F129" s="36">
        <f>IF(D$12=0,0,D129/D$12)</f>
        <v>0</v>
      </c>
      <c r="G129" s="14"/>
      <c r="H129" s="30">
        <f>+H125-H127</f>
        <v>82898.369999999937</v>
      </c>
      <c r="I129" s="14"/>
      <c r="J129" s="36">
        <f>IF(H$12=0,0,H129/H$12)</f>
        <v>9.0745479136082038E-2</v>
      </c>
      <c r="K129" s="15"/>
      <c r="L129" s="30">
        <f>D129-H129</f>
        <v>-280419.42999999993</v>
      </c>
      <c r="M129" s="15"/>
      <c r="N129" s="36">
        <f>IF(H129=0,0,L129/H129)</f>
        <v>-3.3826893098139341</v>
      </c>
      <c r="O129" s="29"/>
      <c r="P129" s="30">
        <f>+P125-P127</f>
        <v>-1408714.4200000004</v>
      </c>
      <c r="Q129" s="14"/>
      <c r="R129" s="36">
        <f>IF(P$12=0,0,P129/P$12)</f>
        <v>-0.30494674867522331</v>
      </c>
      <c r="S129" s="14"/>
      <c r="T129" s="30">
        <f>+T125-T127</f>
        <v>-436895.67999999865</v>
      </c>
      <c r="U129" s="14"/>
      <c r="V129" s="36">
        <f>IF(T$12=0,0,T129/T$12)</f>
        <v>-7.0813672606349354E-2</v>
      </c>
      <c r="W129" s="15"/>
      <c r="X129" s="30">
        <f>P129-T129</f>
        <v>-971818.74000000174</v>
      </c>
      <c r="Y129" s="15"/>
      <c r="Z129" s="36">
        <f>IF(T129=0,0,X129/T129)</f>
        <v>2.2243725092452382</v>
      </c>
    </row>
    <row r="130" spans="1:26" ht="15.75" thickTop="1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5</v>
      </c>
      <c r="C132" s="28"/>
      <c r="D132" s="31">
        <f>SUM(D129:D131)</f>
        <v>-197521.05999999997</v>
      </c>
      <c r="E132" s="14"/>
      <c r="F132" s="32">
        <f>IF(D$12=0,0,D132/D$12)</f>
        <v>0</v>
      </c>
      <c r="G132" s="14"/>
      <c r="H132" s="31">
        <f>SUM(H129:H131)</f>
        <v>82898.369999999937</v>
      </c>
      <c r="I132" s="14"/>
      <c r="J132" s="32">
        <f>IF(H$12=0,0,H132/H$12)</f>
        <v>9.0745479136082038E-2</v>
      </c>
      <c r="K132" s="15"/>
      <c r="L132" s="31">
        <f>+D132-H132</f>
        <v>-280419.42999999993</v>
      </c>
      <c r="M132" s="15"/>
      <c r="N132" s="32">
        <f>IF(H132=0,0,L132/H132)</f>
        <v>-3.3826893098139341</v>
      </c>
      <c r="O132" s="29"/>
      <c r="P132" s="31">
        <f>SUM(P129:P131)</f>
        <v>-1408714.4200000004</v>
      </c>
      <c r="Q132" s="14"/>
      <c r="R132" s="32">
        <f>IF(P$12=0,0,P132/P$12)</f>
        <v>-0.30494674867522331</v>
      </c>
      <c r="S132" s="14"/>
      <c r="T132" s="31">
        <f>SUM(T129:T131)</f>
        <v>-436895.67999999865</v>
      </c>
      <c r="U132" s="14"/>
      <c r="V132" s="32">
        <f>IF(T$12=0,0,T132/T$12)</f>
        <v>-7.0813672606349354E-2</v>
      </c>
      <c r="W132" s="15"/>
      <c r="X132" s="31">
        <f>+P132-T132</f>
        <v>-971818.74000000174</v>
      </c>
      <c r="Y132" s="15"/>
      <c r="Z132" s="32">
        <f>IF(T132=0,0,X132/T132)</f>
        <v>2.2243725092452382</v>
      </c>
    </row>
    <row r="133" spans="1:26" ht="15.75" thickTop="1" x14ac:dyDescent="0.25">
      <c r="A133" s="9"/>
      <c r="C133" s="9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A134" s="9"/>
      <c r="B134" s="54">
        <v>43965.470623344911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59" t="s">
        <v>313</v>
      </c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A136" s="9"/>
      <c r="B136" s="61"/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","405", " - ", "Library Starbucks")</f>
        <v>Department 405 - Library Starbucks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120305.86</v>
      </c>
      <c r="I12" s="4"/>
      <c r="J12" s="12"/>
      <c r="K12" s="4"/>
      <c r="L12" s="4">
        <f t="shared" ref="L12:L14" si="0">+D12-H12</f>
        <v>-120305.86</v>
      </c>
      <c r="M12" s="4"/>
      <c r="N12" s="12">
        <f t="shared" ref="N12:N14" si="1">IF(H12=0,0,L12/H12)</f>
        <v>-1</v>
      </c>
      <c r="O12" s="10"/>
      <c r="P12" s="4">
        <f>SUM(OSRRefP13x_0)</f>
        <v>721341.64</v>
      </c>
      <c r="Q12" s="4"/>
      <c r="R12" s="12"/>
      <c r="S12" s="4"/>
      <c r="T12" s="4">
        <f>SUM(OSRRefT13x_0)</f>
        <v>880165.32</v>
      </c>
      <c r="U12" s="4"/>
      <c r="V12" s="12"/>
      <c r="W12" s="4"/>
      <c r="X12" s="4">
        <f t="shared" ref="X12:X14" si="2">+P12-T12</f>
        <v>-158823.67999999993</v>
      </c>
      <c r="Y12" s="4"/>
      <c r="Z12" s="12">
        <f t="shared" ref="Z12:Z14" si="3">IF(T12=0,0,X12/T12)</f>
        <v>-0.18044755501159707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--25795.31</f>
        <v>25795.31</v>
      </c>
      <c r="I13" s="2"/>
      <c r="J13" s="19"/>
      <c r="K13" s="2"/>
      <c r="L13" s="2">
        <f t="shared" si="0"/>
        <v>-25795.31</v>
      </c>
      <c r="M13" s="2"/>
      <c r="N13" s="19">
        <f t="shared" si="1"/>
        <v>-1</v>
      </c>
      <c r="O13" s="11"/>
      <c r="P13" s="2">
        <f>--149614.63</f>
        <v>149614.63</v>
      </c>
      <c r="Q13" s="2"/>
      <c r="R13" s="19"/>
      <c r="S13" s="2"/>
      <c r="T13" s="2">
        <f>--179085.72</f>
        <v>179085.72</v>
      </c>
      <c r="U13" s="2"/>
      <c r="V13" s="19"/>
      <c r="W13" s="2"/>
      <c r="X13" s="2">
        <f t="shared" si="2"/>
        <v>-29471.089999999997</v>
      </c>
      <c r="Y13" s="2"/>
      <c r="Z13" s="19">
        <f t="shared" si="3"/>
        <v>-0.16456415397051197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--94510.55</f>
        <v>94510.55</v>
      </c>
      <c r="I14" s="2"/>
      <c r="J14" s="19"/>
      <c r="K14" s="2"/>
      <c r="L14" s="2">
        <f t="shared" si="0"/>
        <v>-94510.55</v>
      </c>
      <c r="M14" s="2"/>
      <c r="N14" s="19">
        <f t="shared" si="1"/>
        <v>-1</v>
      </c>
      <c r="O14" s="11"/>
      <c r="P14" s="2">
        <f>--571727.01</f>
        <v>571727.01</v>
      </c>
      <c r="Q14" s="2"/>
      <c r="R14" s="19"/>
      <c r="S14" s="2"/>
      <c r="T14" s="2">
        <f>--701079.6</f>
        <v>701079.6</v>
      </c>
      <c r="U14" s="2"/>
      <c r="V14" s="19"/>
      <c r="W14" s="2"/>
      <c r="X14" s="2">
        <f t="shared" si="2"/>
        <v>-129352.58999999997</v>
      </c>
      <c r="Y14" s="2"/>
      <c r="Z14" s="19">
        <f t="shared" si="3"/>
        <v>-0.18450485508350262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8742.23</v>
      </c>
      <c r="E16" s="4"/>
      <c r="F16" s="12">
        <f t="shared" ref="F16:F18" si="5">IF(D$12=0,0,D16/D$12)</f>
        <v>0</v>
      </c>
      <c r="G16" s="4"/>
      <c r="H16" s="4">
        <f>SUM(OSRRefH16x_0)</f>
        <v>43697.43</v>
      </c>
      <c r="I16" s="4"/>
      <c r="J16" s="12">
        <f t="shared" ref="J16:J18" si="6">IF(H$12=0,0,H16/H$12)</f>
        <v>0.36321946412252903</v>
      </c>
      <c r="K16" s="4"/>
      <c r="L16" s="4">
        <f t="shared" ref="L16:L18" si="7">+D16-H16</f>
        <v>-34955.199999999997</v>
      </c>
      <c r="M16" s="4"/>
      <c r="N16" s="12">
        <f t="shared" ref="N16:N18" si="8">IF(H16=0,0,L16/H16)</f>
        <v>-0.79993720454498118</v>
      </c>
      <c r="O16" s="10"/>
      <c r="P16" s="4">
        <f>SUM(OSRRefP16x_0)</f>
        <v>287790.14</v>
      </c>
      <c r="Q16" s="4"/>
      <c r="R16" s="12">
        <f t="shared" ref="R16:R18" si="9">IF(P$12=0,0,P16/P$12)</f>
        <v>0.39896510064218671</v>
      </c>
      <c r="S16" s="4"/>
      <c r="T16" s="4">
        <f>SUM(OSRRefT16x_0)</f>
        <v>306582.10000000003</v>
      </c>
      <c r="U16" s="4"/>
      <c r="V16" s="12">
        <f t="shared" ref="V16:V18" si="10">IF(T$12=0,0,T16/T$12)</f>
        <v>0.34832331271584305</v>
      </c>
      <c r="W16" s="4"/>
      <c r="X16" s="4">
        <f t="shared" ref="X16:X18" si="11">+P16-T16</f>
        <v>-18791.960000000021</v>
      </c>
      <c r="Y16" s="4"/>
      <c r="Z16" s="12">
        <f t="shared" ref="Z16:Z18" si="12">IF(T16=0,0,X16/T16)</f>
        <v>-6.1295033206439704E-2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258.23</v>
      </c>
      <c r="E17" s="2"/>
      <c r="F17" s="19">
        <f t="shared" si="5"/>
        <v>0</v>
      </c>
      <c r="G17" s="2"/>
      <c r="H17" s="2">
        <v>40645.43</v>
      </c>
      <c r="I17" s="2"/>
      <c r="J17" s="19">
        <f t="shared" si="6"/>
        <v>0.33785079130808759</v>
      </c>
      <c r="K17" s="2"/>
      <c r="L17" s="2">
        <f t="shared" si="7"/>
        <v>-40387.199999999997</v>
      </c>
      <c r="M17" s="2"/>
      <c r="N17" s="19">
        <f t="shared" si="8"/>
        <v>-0.99364676422416975</v>
      </c>
      <c r="O17" s="11"/>
      <c r="P17" s="2">
        <v>288904.14</v>
      </c>
      <c r="Q17" s="2"/>
      <c r="R17" s="19">
        <f t="shared" si="9"/>
        <v>0.40050944515001241</v>
      </c>
      <c r="S17" s="2"/>
      <c r="T17" s="2">
        <v>325382.10000000003</v>
      </c>
      <c r="U17" s="2"/>
      <c r="V17" s="19">
        <f t="shared" si="10"/>
        <v>0.36968293638290595</v>
      </c>
      <c r="W17" s="2"/>
      <c r="X17" s="2">
        <f t="shared" si="11"/>
        <v>-36477.960000000021</v>
      </c>
      <c r="Y17" s="2"/>
      <c r="Z17" s="19">
        <f t="shared" si="12"/>
        <v>-0.11210807232481448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8484</v>
      </c>
      <c r="E18" s="2"/>
      <c r="F18" s="19">
        <f t="shared" si="5"/>
        <v>0</v>
      </c>
      <c r="G18" s="2"/>
      <c r="H18" s="2">
        <v>3052</v>
      </c>
      <c r="I18" s="2"/>
      <c r="J18" s="19">
        <f t="shared" si="6"/>
        <v>2.5368672814441457E-2</v>
      </c>
      <c r="K18" s="2"/>
      <c r="L18" s="2">
        <f t="shared" si="7"/>
        <v>5432</v>
      </c>
      <c r="M18" s="2"/>
      <c r="N18" s="19">
        <f t="shared" si="8"/>
        <v>1.7798165137614679</v>
      </c>
      <c r="O18" s="11"/>
      <c r="P18" s="2">
        <v>-1114</v>
      </c>
      <c r="Q18" s="2"/>
      <c r="R18" s="19">
        <f t="shared" si="9"/>
        <v>-1.5443445078257231E-3</v>
      </c>
      <c r="S18" s="2"/>
      <c r="T18" s="2">
        <v>-18800</v>
      </c>
      <c r="U18" s="2"/>
      <c r="V18" s="19">
        <f t="shared" si="10"/>
        <v>-2.1359623667062913E-2</v>
      </c>
      <c r="W18" s="2"/>
      <c r="X18" s="2">
        <f t="shared" si="11"/>
        <v>17686</v>
      </c>
      <c r="Y18" s="2"/>
      <c r="Z18" s="19">
        <f t="shared" si="12"/>
        <v>-0.94074468085106377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-8742.23</v>
      </c>
      <c r="E20" s="14"/>
      <c r="F20" s="20">
        <f>IF(D$12=0,0,D20/D$12)</f>
        <v>0</v>
      </c>
      <c r="G20" s="14"/>
      <c r="H20" s="21">
        <f>H12-H16</f>
        <v>76608.429999999993</v>
      </c>
      <c r="I20" s="14"/>
      <c r="J20" s="20">
        <f>IF(H$12=0,0,H20/H$12)</f>
        <v>0.63678053587747097</v>
      </c>
      <c r="K20" s="15"/>
      <c r="L20" s="21">
        <f>+D20-H20</f>
        <v>-85350.659999999989</v>
      </c>
      <c r="M20" s="15"/>
      <c r="N20" s="20">
        <f>IF(H20=0,0,L20/H20)</f>
        <v>-1.1141157702879434</v>
      </c>
      <c r="O20" s="29"/>
      <c r="P20" s="21">
        <f>P12-P16</f>
        <v>433551.5</v>
      </c>
      <c r="Q20" s="14"/>
      <c r="R20" s="20">
        <f>IF(P$12=0,0,P20/P$12)</f>
        <v>0.60103489935781329</v>
      </c>
      <c r="S20" s="14"/>
      <c r="T20" s="21">
        <f>T12-T16</f>
        <v>573583.22</v>
      </c>
      <c r="U20" s="14"/>
      <c r="V20" s="20">
        <f>IF(T$12=0,0,T20/T$12)</f>
        <v>0.65167668728415706</v>
      </c>
      <c r="W20" s="15"/>
      <c r="X20" s="21">
        <f>+P20-T20</f>
        <v>-140031.71999999997</v>
      </c>
      <c r="Y20" s="15"/>
      <c r="Z20" s="20">
        <f>IF(T20=0,0,X20/T20)</f>
        <v>-0.24413496615190378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6825.5499999999993</v>
      </c>
      <c r="E22" s="22"/>
      <c r="F22" s="35">
        <f t="shared" ref="F22:F31" si="13">IF(D$12=0,0,D22/D$12)</f>
        <v>0</v>
      </c>
      <c r="G22" s="22"/>
      <c r="H22" s="22">
        <f>SUM(OSRRefH22x_0)</f>
        <v>56777.280000000006</v>
      </c>
      <c r="I22" s="22"/>
      <c r="J22" s="35">
        <f t="shared" ref="J22:J31" si="14">IF(H$12=0,0,H22/H$12)</f>
        <v>0.4719411007909341</v>
      </c>
      <c r="K22" s="4"/>
      <c r="L22" s="22">
        <f t="shared" ref="L22:L31" si="15">+D22-H22</f>
        <v>-49951.73000000001</v>
      </c>
      <c r="M22" s="4"/>
      <c r="N22" s="35">
        <f t="shared" ref="N22:N31" si="16">IF(H22=0,0,L22/H22)</f>
        <v>-0.87978377970906685</v>
      </c>
      <c r="O22" s="10"/>
      <c r="P22" s="22">
        <f>SUM(OSRRefP22x_0)</f>
        <v>516048.8</v>
      </c>
      <c r="Q22" s="22"/>
      <c r="R22" s="35">
        <f t="shared" ref="R22:R31" si="17">IF(P$12=0,0,P22/P$12)</f>
        <v>0.71540137347401711</v>
      </c>
      <c r="S22" s="22"/>
      <c r="T22" s="22">
        <f>SUM(OSRRefT22x_0)</f>
        <v>506673.10000000015</v>
      </c>
      <c r="U22" s="22"/>
      <c r="V22" s="35">
        <f t="shared" ref="V22:V31" si="18">IF(T$12=0,0,T22/T$12)</f>
        <v>0.57565674139490086</v>
      </c>
      <c r="W22" s="4"/>
      <c r="X22" s="22">
        <f t="shared" ref="X22:X31" si="19">+P22-T22</f>
        <v>9375.699999999837</v>
      </c>
      <c r="Y22" s="4"/>
      <c r="Z22" s="35">
        <f t="shared" ref="Z22:Z31" si="20">IF(T22=0,0,X22/T22)</f>
        <v>1.8504436094988731E-2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-3658.46</v>
      </c>
      <c r="E23" s="1"/>
      <c r="F23" s="5">
        <f t="shared" si="13"/>
        <v>0</v>
      </c>
      <c r="G23" s="1"/>
      <c r="H23" s="1">
        <f>SUM(OSRRefH22_0x_0)</f>
        <v>4649.95</v>
      </c>
      <c r="I23" s="1"/>
      <c r="J23" s="5">
        <f t="shared" si="14"/>
        <v>3.8651068202330295E-2</v>
      </c>
      <c r="K23" s="1"/>
      <c r="L23" s="1">
        <f t="shared" si="15"/>
        <v>-8308.41</v>
      </c>
      <c r="M23" s="1"/>
      <c r="N23" s="5">
        <f t="shared" si="16"/>
        <v>-1.7867740513338854</v>
      </c>
      <c r="O23" s="13"/>
      <c r="P23" s="1">
        <f>SUM(OSRRefP22_0x_0)</f>
        <v>44026.969999999994</v>
      </c>
      <c r="Q23" s="1"/>
      <c r="R23" s="5">
        <f t="shared" si="17"/>
        <v>6.1034837805841895E-2</v>
      </c>
      <c r="S23" s="1"/>
      <c r="T23" s="1">
        <f>SUM(OSRRefT22_0x_0)</f>
        <v>37838.449999999997</v>
      </c>
      <c r="U23" s="1"/>
      <c r="V23" s="5">
        <f t="shared" si="18"/>
        <v>4.2990162348137052E-2</v>
      </c>
      <c r="W23" s="1"/>
      <c r="X23" s="1">
        <f t="shared" si="19"/>
        <v>6188.5199999999968</v>
      </c>
      <c r="Y23" s="1"/>
      <c r="Z23" s="5">
        <f t="shared" si="20"/>
        <v>0.16355109683404043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763.65</v>
      </c>
      <c r="I24" s="2"/>
      <c r="J24" s="7">
        <f t="shared" si="14"/>
        <v>6.3475710991966637E-3</v>
      </c>
      <c r="K24" s="2"/>
      <c r="L24" s="6">
        <f t="shared" si="15"/>
        <v>-763.65</v>
      </c>
      <c r="M24" s="2"/>
      <c r="N24" s="7">
        <f t="shared" si="16"/>
        <v>-1</v>
      </c>
      <c r="O24" s="11"/>
      <c r="P24" s="6">
        <v>9200.35</v>
      </c>
      <c r="Q24" s="2"/>
      <c r="R24" s="7">
        <f t="shared" si="17"/>
        <v>1.2754497300336079E-2</v>
      </c>
      <c r="S24" s="2"/>
      <c r="T24" s="6">
        <v>7457.83</v>
      </c>
      <c r="U24" s="2"/>
      <c r="V24" s="7">
        <f t="shared" si="18"/>
        <v>8.4732150091984988E-3</v>
      </c>
      <c r="W24" s="2"/>
      <c r="X24" s="6">
        <f t="shared" si="19"/>
        <v>1742.5200000000004</v>
      </c>
      <c r="Y24" s="2"/>
      <c r="Z24" s="7">
        <f t="shared" si="20"/>
        <v>0.2336497345742663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833.05</v>
      </c>
      <c r="I25" s="2"/>
      <c r="J25" s="7">
        <f t="shared" si="14"/>
        <v>6.9244341048723644E-3</v>
      </c>
      <c r="K25" s="2"/>
      <c r="L25" s="6">
        <f t="shared" si="15"/>
        <v>-833.05</v>
      </c>
      <c r="M25" s="2"/>
      <c r="N25" s="7">
        <f t="shared" si="16"/>
        <v>-1</v>
      </c>
      <c r="O25" s="11"/>
      <c r="P25" s="6">
        <v>8884.57</v>
      </c>
      <c r="Q25" s="2"/>
      <c r="R25" s="7">
        <f t="shared" si="17"/>
        <v>1.2316729698288316E-2</v>
      </c>
      <c r="S25" s="2"/>
      <c r="T25" s="6">
        <v>7715.27</v>
      </c>
      <c r="U25" s="2"/>
      <c r="V25" s="7">
        <f t="shared" si="18"/>
        <v>8.7657055154138561E-3</v>
      </c>
      <c r="W25" s="2"/>
      <c r="X25" s="6">
        <f t="shared" si="19"/>
        <v>1169.2999999999993</v>
      </c>
      <c r="Y25" s="2"/>
      <c r="Z25" s="7">
        <f t="shared" si="20"/>
        <v>0.15155658842788383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1369.46</v>
      </c>
      <c r="I26" s="2"/>
      <c r="J26" s="7">
        <f t="shared" si="14"/>
        <v>1.1383152907098624E-2</v>
      </c>
      <c r="K26" s="2"/>
      <c r="L26" s="6">
        <f t="shared" si="15"/>
        <v>-1369.46</v>
      </c>
      <c r="M26" s="2"/>
      <c r="N26" s="7">
        <f t="shared" si="16"/>
        <v>-1</v>
      </c>
      <c r="O26" s="11"/>
      <c r="P26" s="6">
        <v>12146.21</v>
      </c>
      <c r="Q26" s="2"/>
      <c r="R26" s="7">
        <f t="shared" si="17"/>
        <v>1.6838359698741361E-2</v>
      </c>
      <c r="S26" s="2"/>
      <c r="T26" s="6">
        <v>11577.37</v>
      </c>
      <c r="U26" s="2"/>
      <c r="V26" s="7">
        <f t="shared" si="18"/>
        <v>1.315363118374171E-2</v>
      </c>
      <c r="W26" s="2"/>
      <c r="X26" s="6">
        <f t="shared" si="19"/>
        <v>568.83999999999833</v>
      </c>
      <c r="Y26" s="2"/>
      <c r="Z26" s="7">
        <f t="shared" si="20"/>
        <v>4.9133784270520703E-2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61.88</v>
      </c>
      <c r="I27" s="2"/>
      <c r="J27" s="7">
        <f t="shared" si="14"/>
        <v>5.1435565981573967E-4</v>
      </c>
      <c r="K27" s="2"/>
      <c r="L27" s="6">
        <f t="shared" si="15"/>
        <v>-61.88</v>
      </c>
      <c r="M27" s="2"/>
      <c r="N27" s="7">
        <f t="shared" si="16"/>
        <v>-1</v>
      </c>
      <c r="O27" s="11"/>
      <c r="P27" s="6">
        <v>699.48</v>
      </c>
      <c r="Q27" s="2"/>
      <c r="R27" s="7">
        <f t="shared" si="17"/>
        <v>9.6969308468037425E-4</v>
      </c>
      <c r="S27" s="2"/>
      <c r="T27" s="6">
        <v>656.69</v>
      </c>
      <c r="U27" s="2"/>
      <c r="V27" s="7">
        <f t="shared" si="18"/>
        <v>7.4609847159167787E-4</v>
      </c>
      <c r="W27" s="2"/>
      <c r="X27" s="6">
        <f t="shared" si="19"/>
        <v>42.789999999999964</v>
      </c>
      <c r="Y27" s="2"/>
      <c r="Z27" s="7">
        <f t="shared" si="20"/>
        <v>6.5160121213966957E-2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>
        <v>260.85000000000002</v>
      </c>
      <c r="E28" s="2"/>
      <c r="F28" s="7">
        <f t="shared" si="13"/>
        <v>0</v>
      </c>
      <c r="G28" s="2"/>
      <c r="H28" s="6">
        <v>615.36</v>
      </c>
      <c r="I28" s="2"/>
      <c r="J28" s="7">
        <f t="shared" si="14"/>
        <v>5.1149628122852866E-3</v>
      </c>
      <c r="K28" s="2"/>
      <c r="L28" s="6">
        <f t="shared" si="15"/>
        <v>-354.51</v>
      </c>
      <c r="M28" s="2"/>
      <c r="N28" s="7">
        <f t="shared" si="16"/>
        <v>-0.57610179407176287</v>
      </c>
      <c r="O28" s="11"/>
      <c r="P28" s="6">
        <v>6335.08</v>
      </c>
      <c r="Q28" s="2"/>
      <c r="R28" s="7">
        <f t="shared" si="17"/>
        <v>8.7823572752572555E-3</v>
      </c>
      <c r="S28" s="2"/>
      <c r="T28" s="6">
        <v>6106.75</v>
      </c>
      <c r="U28" s="2"/>
      <c r="V28" s="7">
        <f t="shared" si="18"/>
        <v>6.9381852036615125E-3</v>
      </c>
      <c r="W28" s="2"/>
      <c r="X28" s="6">
        <f t="shared" si="19"/>
        <v>228.32999999999993</v>
      </c>
      <c r="Y28" s="2"/>
      <c r="Z28" s="7">
        <f t="shared" si="20"/>
        <v>3.7389773611167958E-2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>
        <v>346.26</v>
      </c>
      <c r="I29" s="2"/>
      <c r="J29" s="7">
        <f t="shared" si="14"/>
        <v>2.8781640395571751E-3</v>
      </c>
      <c r="K29" s="2"/>
      <c r="L29" s="6">
        <f t="shared" si="15"/>
        <v>-346.26</v>
      </c>
      <c r="M29" s="2"/>
      <c r="N29" s="7">
        <f t="shared" si="16"/>
        <v>-1</v>
      </c>
      <c r="O29" s="11"/>
      <c r="P29" s="6">
        <v>3696.18</v>
      </c>
      <c r="Q29" s="2"/>
      <c r="R29" s="7">
        <f t="shared" si="17"/>
        <v>5.1240352629580623E-3</v>
      </c>
      <c r="S29" s="2"/>
      <c r="T29" s="6">
        <v>3750.03</v>
      </c>
      <c r="U29" s="2"/>
      <c r="V29" s="7">
        <f t="shared" si="18"/>
        <v>4.2605973159678687E-3</v>
      </c>
      <c r="W29" s="2"/>
      <c r="X29" s="6">
        <f t="shared" si="19"/>
        <v>-53.850000000000364</v>
      </c>
      <c r="Y29" s="2"/>
      <c r="Z29" s="7">
        <f t="shared" si="20"/>
        <v>-1.4359885120919128E-2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-3919.31</v>
      </c>
      <c r="E30" s="2"/>
      <c r="F30" s="7">
        <f t="shared" si="13"/>
        <v>0</v>
      </c>
      <c r="G30" s="2"/>
      <c r="H30" s="6">
        <v>414.84</v>
      </c>
      <c r="I30" s="2"/>
      <c r="J30" s="7">
        <f t="shared" si="14"/>
        <v>3.4482110846470819E-3</v>
      </c>
      <c r="K30" s="2"/>
      <c r="L30" s="6">
        <f t="shared" si="15"/>
        <v>-4334.1499999999996</v>
      </c>
      <c r="M30" s="2"/>
      <c r="N30" s="7">
        <f t="shared" si="16"/>
        <v>-10.447762992961142</v>
      </c>
      <c r="O30" s="11"/>
      <c r="P30" s="6">
        <v>508.77</v>
      </c>
      <c r="Q30" s="2"/>
      <c r="R30" s="7">
        <f t="shared" si="17"/>
        <v>7.0531073181911411E-4</v>
      </c>
      <c r="S30" s="2"/>
      <c r="T30" s="6">
        <v>-2268.3000000000002</v>
      </c>
      <c r="U30" s="2"/>
      <c r="V30" s="7">
        <f t="shared" si="18"/>
        <v>-2.5771294874467449E-3</v>
      </c>
      <c r="W30" s="2"/>
      <c r="X30" s="6">
        <f t="shared" si="19"/>
        <v>2777.07</v>
      </c>
      <c r="Y30" s="2"/>
      <c r="Z30" s="7">
        <f t="shared" si="20"/>
        <v>-1.2242957280782965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>
        <v>245.45</v>
      </c>
      <c r="I31" s="2"/>
      <c r="J31" s="7">
        <f t="shared" si="14"/>
        <v>2.0402164948573574E-3</v>
      </c>
      <c r="K31" s="2"/>
      <c r="L31" s="6">
        <f t="shared" si="15"/>
        <v>-245.45</v>
      </c>
      <c r="M31" s="2"/>
      <c r="N31" s="7">
        <f t="shared" si="16"/>
        <v>-1</v>
      </c>
      <c r="O31" s="11"/>
      <c r="P31" s="6">
        <v>2556.33</v>
      </c>
      <c r="Q31" s="2"/>
      <c r="R31" s="7">
        <f t="shared" si="17"/>
        <v>3.5438547537613384E-3</v>
      </c>
      <c r="S31" s="2"/>
      <c r="T31" s="6">
        <v>2842.81</v>
      </c>
      <c r="U31" s="2"/>
      <c r="V31" s="7">
        <f t="shared" si="18"/>
        <v>3.2298591360086764E-3</v>
      </c>
      <c r="W31" s="2"/>
      <c r="X31" s="6">
        <f t="shared" si="19"/>
        <v>-286.48</v>
      </c>
      <c r="Y31" s="2"/>
      <c r="Z31" s="7">
        <f t="shared" si="20"/>
        <v>-0.10077353041532851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23370.85</v>
      </c>
      <c r="I32" s="1"/>
      <c r="J32" s="5">
        <f t="shared" ref="J32:J37" si="22">IF(H$12=0,0,H32/H$12)</f>
        <v>0.19426194202011438</v>
      </c>
      <c r="K32" s="1"/>
      <c r="L32" s="1">
        <f t="shared" ref="L32:L37" si="23">+D32-H32</f>
        <v>-23370.85</v>
      </c>
      <c r="M32" s="1"/>
      <c r="N32" s="5">
        <f t="shared" ref="N32:N37" si="24">IF(H32=0,0,L32/H32)</f>
        <v>-1</v>
      </c>
      <c r="O32" s="13"/>
      <c r="P32" s="1">
        <f>SUM(OSRRefP22_1x_0)</f>
        <v>247791.51</v>
      </c>
      <c r="Q32" s="1"/>
      <c r="R32" s="5">
        <f t="shared" ref="R32:R37" si="25">IF(P$12=0,0,P32/P$12)</f>
        <v>0.34351477338809944</v>
      </c>
      <c r="S32" s="1"/>
      <c r="T32" s="1">
        <f>SUM(OSRRefT22_1x_0)</f>
        <v>250361.26</v>
      </c>
      <c r="U32" s="1"/>
      <c r="V32" s="5">
        <f t="shared" ref="V32:V37" si="26">IF(T$12=0,0,T32/T$12)</f>
        <v>0.28444799438360058</v>
      </c>
      <c r="W32" s="1"/>
      <c r="X32" s="1">
        <f t="shared" ref="X32:X37" si="27">+P32-T32</f>
        <v>-2569.75</v>
      </c>
      <c r="Y32" s="1"/>
      <c r="Z32" s="5">
        <f t="shared" ref="Z32:Z37" si="28">IF(T32=0,0,X32/T32)</f>
        <v>-1.0264167866865664E-2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8094.46</v>
      </c>
      <c r="I33" s="2"/>
      <c r="J33" s="7">
        <f t="shared" si="22"/>
        <v>6.7282341857661798E-2</v>
      </c>
      <c r="K33" s="2"/>
      <c r="L33" s="6">
        <f t="shared" si="23"/>
        <v>-8094.46</v>
      </c>
      <c r="M33" s="2"/>
      <c r="N33" s="7">
        <f t="shared" si="24"/>
        <v>-1</v>
      </c>
      <c r="O33" s="11"/>
      <c r="P33" s="6">
        <v>97485.84</v>
      </c>
      <c r="Q33" s="2"/>
      <c r="R33" s="7">
        <f t="shared" si="25"/>
        <v>0.13514517198813034</v>
      </c>
      <c r="S33" s="2"/>
      <c r="T33" s="6">
        <v>83521.83</v>
      </c>
      <c r="U33" s="2"/>
      <c r="V33" s="7">
        <f t="shared" si="26"/>
        <v>9.4893343445978995E-2</v>
      </c>
      <c r="W33" s="2"/>
      <c r="X33" s="6">
        <f t="shared" si="27"/>
        <v>13964.009999999995</v>
      </c>
      <c r="Y33" s="2"/>
      <c r="Z33" s="7">
        <f t="shared" si="28"/>
        <v>0.16718994303644921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45.5</v>
      </c>
      <c r="Q34" s="2"/>
      <c r="R34" s="7">
        <f t="shared" si="25"/>
        <v>6.3076907635610771E-5</v>
      </c>
      <c r="S34" s="2"/>
      <c r="T34" s="6"/>
      <c r="U34" s="2"/>
      <c r="V34" s="7">
        <f t="shared" si="26"/>
        <v>0</v>
      </c>
      <c r="W34" s="2"/>
      <c r="X34" s="6">
        <f t="shared" si="27"/>
        <v>45.5</v>
      </c>
      <c r="Y34" s="2"/>
      <c r="Z34" s="7">
        <f t="shared" si="28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>
        <v>984.94</v>
      </c>
      <c r="I35" s="2"/>
      <c r="J35" s="7">
        <f t="shared" si="22"/>
        <v>8.1869661211847865E-3</v>
      </c>
      <c r="K35" s="2"/>
      <c r="L35" s="6">
        <f t="shared" si="23"/>
        <v>-984.94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2820.95</v>
      </c>
      <c r="U35" s="2"/>
      <c r="V35" s="7">
        <f t="shared" si="26"/>
        <v>3.2050228927447402E-3</v>
      </c>
      <c r="W35" s="2"/>
      <c r="X35" s="6">
        <f t="shared" si="27"/>
        <v>-2820.95</v>
      </c>
      <c r="Y35" s="2"/>
      <c r="Z35" s="7">
        <f t="shared" si="28"/>
        <v>-1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1"/>
        <v>0</v>
      </c>
      <c r="G36" s="2"/>
      <c r="H36" s="6">
        <v>13988.45</v>
      </c>
      <c r="I36" s="2"/>
      <c r="J36" s="7">
        <f t="shared" si="22"/>
        <v>0.11627405348334653</v>
      </c>
      <c r="K36" s="2"/>
      <c r="L36" s="6">
        <f t="shared" si="23"/>
        <v>-13988.45</v>
      </c>
      <c r="M36" s="2"/>
      <c r="N36" s="7">
        <f t="shared" si="24"/>
        <v>-1</v>
      </c>
      <c r="O36" s="11"/>
      <c r="P36" s="6">
        <v>142995.32</v>
      </c>
      <c r="Q36" s="2"/>
      <c r="R36" s="7">
        <f t="shared" si="25"/>
        <v>0.19823522180141992</v>
      </c>
      <c r="S36" s="2"/>
      <c r="T36" s="6">
        <v>156972.42000000001</v>
      </c>
      <c r="U36" s="2"/>
      <c r="V36" s="7">
        <f t="shared" si="26"/>
        <v>0.17834424560149681</v>
      </c>
      <c r="W36" s="2"/>
      <c r="X36" s="6">
        <f t="shared" si="27"/>
        <v>-13977.100000000006</v>
      </c>
      <c r="Y36" s="2"/>
      <c r="Z36" s="7">
        <f t="shared" si="28"/>
        <v>-8.9041756507289654E-2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>
        <v>303</v>
      </c>
      <c r="I37" s="2"/>
      <c r="J37" s="7">
        <f t="shared" si="22"/>
        <v>2.518580557921285E-3</v>
      </c>
      <c r="K37" s="2"/>
      <c r="L37" s="6">
        <f t="shared" si="23"/>
        <v>-303</v>
      </c>
      <c r="M37" s="2"/>
      <c r="N37" s="7">
        <f t="shared" si="24"/>
        <v>-1</v>
      </c>
      <c r="O37" s="11"/>
      <c r="P37" s="6">
        <v>7264.85</v>
      </c>
      <c r="Q37" s="2"/>
      <c r="R37" s="7">
        <f t="shared" si="25"/>
        <v>1.007130269091356E-2</v>
      </c>
      <c r="S37" s="2"/>
      <c r="T37" s="6">
        <v>7046.06</v>
      </c>
      <c r="U37" s="2"/>
      <c r="V37" s="7">
        <f t="shared" si="26"/>
        <v>8.0053824433800689E-3</v>
      </c>
      <c r="W37" s="2"/>
      <c r="X37" s="6">
        <f t="shared" si="27"/>
        <v>218.78999999999996</v>
      </c>
      <c r="Y37" s="2"/>
      <c r="Z37" s="7">
        <f t="shared" si="28"/>
        <v>3.1051396099380357E-2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30.68</v>
      </c>
      <c r="E38" s="1"/>
      <c r="F38" s="5">
        <f t="shared" ref="F38:F46" si="29">IF(D$12=0,0,D38/D$12)</f>
        <v>0</v>
      </c>
      <c r="G38" s="1"/>
      <c r="H38" s="1">
        <f>SUM(OSRRefH22_2x_0)</f>
        <v>262.72000000000003</v>
      </c>
      <c r="I38" s="1"/>
      <c r="J38" s="5">
        <f t="shared" ref="J38:J46" si="30">IF(H$12=0,0,H38/H$12)</f>
        <v>2.1837672745118153E-3</v>
      </c>
      <c r="K38" s="1"/>
      <c r="L38" s="1">
        <f t="shared" ref="L38:L46" si="31">+D38-H38</f>
        <v>-232.04000000000002</v>
      </c>
      <c r="M38" s="1"/>
      <c r="N38" s="5">
        <f t="shared" ref="N38:N46" si="32">IF(H38=0,0,L38/H38)</f>
        <v>-0.88322168087697928</v>
      </c>
      <c r="O38" s="13"/>
      <c r="P38" s="1">
        <f>SUM(OSRRefP22_2x_0)</f>
        <v>1396.3</v>
      </c>
      <c r="Q38" s="1"/>
      <c r="R38" s="5">
        <f t="shared" ref="R38:R46" si="33">IF(P$12=0,0,P38/P$12)</f>
        <v>1.9356985962989742E-3</v>
      </c>
      <c r="S38" s="1"/>
      <c r="T38" s="1">
        <f>SUM(OSRRefT22_2x_0)</f>
        <v>2898.34</v>
      </c>
      <c r="U38" s="1"/>
      <c r="V38" s="5">
        <f t="shared" ref="V38:V46" si="34">IF(T$12=0,0,T38/T$12)</f>
        <v>3.2929495563401661E-3</v>
      </c>
      <c r="W38" s="1"/>
      <c r="X38" s="1">
        <f t="shared" ref="X38:X46" si="35">+P38-T38</f>
        <v>-1502.0400000000002</v>
      </c>
      <c r="Y38" s="1"/>
      <c r="Z38" s="5">
        <f t="shared" ref="Z38:Z46" si="36">IF(T38=0,0,X38/T38)</f>
        <v>-0.51824147615531657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6">
        <v>30.68</v>
      </c>
      <c r="E39" s="2"/>
      <c r="F39" s="7">
        <f t="shared" si="29"/>
        <v>0</v>
      </c>
      <c r="G39" s="2"/>
      <c r="H39" s="6">
        <v>262.72000000000003</v>
      </c>
      <c r="I39" s="2"/>
      <c r="J39" s="7">
        <f t="shared" si="30"/>
        <v>2.1837672745118153E-3</v>
      </c>
      <c r="K39" s="2"/>
      <c r="L39" s="6">
        <f t="shared" si="31"/>
        <v>-232.04000000000002</v>
      </c>
      <c r="M39" s="2"/>
      <c r="N39" s="7">
        <f t="shared" si="32"/>
        <v>-0.88322168087697928</v>
      </c>
      <c r="O39" s="11"/>
      <c r="P39" s="6">
        <v>1396.3</v>
      </c>
      <c r="Q39" s="2"/>
      <c r="R39" s="7">
        <f t="shared" si="33"/>
        <v>1.9356985962989742E-3</v>
      </c>
      <c r="S39" s="2"/>
      <c r="T39" s="6">
        <v>2898.34</v>
      </c>
      <c r="U39" s="2"/>
      <c r="V39" s="7">
        <f t="shared" si="34"/>
        <v>3.2929495563401661E-3</v>
      </c>
      <c r="W39" s="2"/>
      <c r="X39" s="6">
        <f t="shared" si="35"/>
        <v>-1502.0400000000002</v>
      </c>
      <c r="Y39" s="2"/>
      <c r="Z39" s="7">
        <f t="shared" si="36"/>
        <v>-0.51824147615531657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-23.33</v>
      </c>
      <c r="I40" s="1"/>
      <c r="J40" s="5">
        <f t="shared" si="30"/>
        <v>-1.9392239081288308E-4</v>
      </c>
      <c r="K40" s="1"/>
      <c r="L40" s="1">
        <f t="shared" si="31"/>
        <v>23.33</v>
      </c>
      <c r="M40" s="1"/>
      <c r="N40" s="5">
        <f t="shared" si="32"/>
        <v>-1</v>
      </c>
      <c r="O40" s="13"/>
      <c r="P40" s="1">
        <f>SUM(OSRRefP22_3x_0)</f>
        <v>195.92</v>
      </c>
      <c r="Q40" s="1"/>
      <c r="R40" s="5">
        <f t="shared" si="33"/>
        <v>2.7160500536195303E-4</v>
      </c>
      <c r="S40" s="1"/>
      <c r="T40" s="1">
        <f>SUM(OSRRefT22_3x_0)</f>
        <v>59.69</v>
      </c>
      <c r="U40" s="1"/>
      <c r="V40" s="5">
        <f t="shared" si="34"/>
        <v>6.7816805142924746E-5</v>
      </c>
      <c r="W40" s="1"/>
      <c r="X40" s="1">
        <f t="shared" si="35"/>
        <v>136.22999999999999</v>
      </c>
      <c r="Y40" s="1"/>
      <c r="Z40" s="5">
        <f t="shared" si="36"/>
        <v>2.2822918411794269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29"/>
        <v>0</v>
      </c>
      <c r="G41" s="2"/>
      <c r="H41" s="6">
        <v>-23.33</v>
      </c>
      <c r="I41" s="2"/>
      <c r="J41" s="7">
        <f t="shared" si="30"/>
        <v>-1.9392239081288308E-4</v>
      </c>
      <c r="K41" s="2"/>
      <c r="L41" s="6">
        <f t="shared" si="31"/>
        <v>23.33</v>
      </c>
      <c r="M41" s="2"/>
      <c r="N41" s="7">
        <f t="shared" si="32"/>
        <v>-1</v>
      </c>
      <c r="O41" s="11"/>
      <c r="P41" s="6">
        <v>195.92</v>
      </c>
      <c r="Q41" s="2"/>
      <c r="R41" s="7">
        <f t="shared" si="33"/>
        <v>2.7160500536195303E-4</v>
      </c>
      <c r="S41" s="2"/>
      <c r="T41" s="6">
        <v>59.69</v>
      </c>
      <c r="U41" s="2"/>
      <c r="V41" s="7">
        <f t="shared" si="34"/>
        <v>6.7816805142924746E-5</v>
      </c>
      <c r="W41" s="2"/>
      <c r="X41" s="6">
        <f t="shared" si="35"/>
        <v>136.22999999999999</v>
      </c>
      <c r="Y41" s="2"/>
      <c r="Z41" s="7">
        <f t="shared" si="36"/>
        <v>2.2822918411794269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587.94000000000005</v>
      </c>
      <c r="E42" s="1"/>
      <c r="F42" s="5">
        <f t="shared" si="29"/>
        <v>0</v>
      </c>
      <c r="G42" s="1"/>
      <c r="H42" s="1">
        <f>SUM(OSRRefH22_4x_0)</f>
        <v>3573.81</v>
      </c>
      <c r="I42" s="1"/>
      <c r="J42" s="5">
        <f t="shared" si="30"/>
        <v>2.9706034269652366E-2</v>
      </c>
      <c r="K42" s="1"/>
      <c r="L42" s="1">
        <f t="shared" si="31"/>
        <v>-2985.87</v>
      </c>
      <c r="M42" s="1"/>
      <c r="N42" s="5">
        <f t="shared" si="32"/>
        <v>-0.83548649760339799</v>
      </c>
      <c r="O42" s="13"/>
      <c r="P42" s="1">
        <f>SUM(OSRRefP22_4x_0)</f>
        <v>25022.129999999997</v>
      </c>
      <c r="Q42" s="1"/>
      <c r="R42" s="5">
        <f t="shared" si="33"/>
        <v>3.4688320502335064E-2</v>
      </c>
      <c r="S42" s="1"/>
      <c r="T42" s="1">
        <f>SUM(OSRRefT22_4x_0)</f>
        <v>29377.809999999998</v>
      </c>
      <c r="U42" s="1"/>
      <c r="V42" s="5">
        <f t="shared" si="34"/>
        <v>3.3377604561833904E-2</v>
      </c>
      <c r="W42" s="1"/>
      <c r="X42" s="1">
        <f t="shared" si="35"/>
        <v>-4355.68</v>
      </c>
      <c r="Y42" s="1"/>
      <c r="Z42" s="5">
        <f t="shared" si="36"/>
        <v>-0.14826428518667664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6">
        <v>587.94000000000005</v>
      </c>
      <c r="E43" s="2"/>
      <c r="F43" s="7">
        <f t="shared" si="29"/>
        <v>0</v>
      </c>
      <c r="G43" s="2"/>
      <c r="H43" s="6">
        <v>3573.81</v>
      </c>
      <c r="I43" s="2"/>
      <c r="J43" s="7">
        <f t="shared" si="30"/>
        <v>2.9706034269652366E-2</v>
      </c>
      <c r="K43" s="2"/>
      <c r="L43" s="6">
        <f t="shared" si="31"/>
        <v>-2985.87</v>
      </c>
      <c r="M43" s="2"/>
      <c r="N43" s="7">
        <f t="shared" si="32"/>
        <v>-0.83548649760339799</v>
      </c>
      <c r="O43" s="11"/>
      <c r="P43" s="6">
        <v>25022.129999999997</v>
      </c>
      <c r="Q43" s="2"/>
      <c r="R43" s="7">
        <f t="shared" si="33"/>
        <v>3.4688320502335064E-2</v>
      </c>
      <c r="S43" s="2"/>
      <c r="T43" s="6">
        <v>29377.809999999998</v>
      </c>
      <c r="U43" s="2"/>
      <c r="V43" s="7">
        <f t="shared" si="34"/>
        <v>3.3377604561833904E-2</v>
      </c>
      <c r="W43" s="2"/>
      <c r="X43" s="6">
        <f t="shared" si="35"/>
        <v>-4355.68</v>
      </c>
      <c r="Y43" s="2"/>
      <c r="Z43" s="7">
        <f t="shared" si="36"/>
        <v>-0.14826428518667664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5330.0599999999995</v>
      </c>
      <c r="E44" s="1"/>
      <c r="F44" s="5">
        <f t="shared" si="29"/>
        <v>0</v>
      </c>
      <c r="G44" s="1"/>
      <c r="H44" s="1">
        <f>SUM(OSRRefH22_5x_0)</f>
        <v>5887.2599999999993</v>
      </c>
      <c r="I44" s="1"/>
      <c r="J44" s="5">
        <f t="shared" si="30"/>
        <v>4.8935770875998888E-2</v>
      </c>
      <c r="K44" s="1"/>
      <c r="L44" s="1">
        <f t="shared" si="31"/>
        <v>-557.19999999999982</v>
      </c>
      <c r="M44" s="1"/>
      <c r="N44" s="5">
        <f t="shared" si="32"/>
        <v>-9.4645047101707735E-2</v>
      </c>
      <c r="O44" s="13"/>
      <c r="P44" s="1">
        <f>SUM(OSRRefP22_5x_0)</f>
        <v>55949.7</v>
      </c>
      <c r="Q44" s="1"/>
      <c r="R44" s="5">
        <f t="shared" si="33"/>
        <v>7.7563385915167732E-2</v>
      </c>
      <c r="S44" s="1"/>
      <c r="T44" s="1">
        <f>SUM(OSRRefT22_5x_0)</f>
        <v>27114.149999999998</v>
      </c>
      <c r="U44" s="1"/>
      <c r="V44" s="5">
        <f t="shared" si="34"/>
        <v>3.0805746811292223E-2</v>
      </c>
      <c r="W44" s="1"/>
      <c r="X44" s="1">
        <f t="shared" si="35"/>
        <v>28835.55</v>
      </c>
      <c r="Y44" s="1"/>
      <c r="Z44" s="5">
        <f t="shared" si="36"/>
        <v>1.063487146010478</v>
      </c>
    </row>
    <row r="45" spans="1:26" s="24" customFormat="1" hidden="1" outlineLevel="2" x14ac:dyDescent="0.25">
      <c r="A45" s="27"/>
      <c r="B45" s="11" t="str">
        <f>CONCATENATE("          ", "6321", " - ", "BUILDING DEPRECIATION")</f>
        <v xml:space="preserve">          6321 - BUILDING DEPRECIATION</v>
      </c>
      <c r="C45" s="11"/>
      <c r="D45" s="6">
        <v>4626.5</v>
      </c>
      <c r="E45" s="2"/>
      <c r="F45" s="7">
        <f t="shared" si="29"/>
        <v>0</v>
      </c>
      <c r="G45" s="2"/>
      <c r="H45" s="6">
        <v>4901.1899999999996</v>
      </c>
      <c r="I45" s="2"/>
      <c r="J45" s="7">
        <f t="shared" si="30"/>
        <v>4.0739412028640995E-2</v>
      </c>
      <c r="K45" s="2"/>
      <c r="L45" s="6">
        <f t="shared" si="31"/>
        <v>-274.6899999999996</v>
      </c>
      <c r="M45" s="2"/>
      <c r="N45" s="7">
        <f t="shared" si="32"/>
        <v>-5.6045572605836466E-2</v>
      </c>
      <c r="O45" s="11"/>
      <c r="P45" s="6">
        <v>46265</v>
      </c>
      <c r="Q45" s="2"/>
      <c r="R45" s="7">
        <f t="shared" si="33"/>
        <v>6.4137431467286427E-2</v>
      </c>
      <c r="S45" s="2"/>
      <c r="T45" s="6">
        <v>17253.449999999997</v>
      </c>
      <c r="U45" s="2"/>
      <c r="V45" s="7">
        <f t="shared" si="34"/>
        <v>1.9602510582898219E-2</v>
      </c>
      <c r="W45" s="2"/>
      <c r="X45" s="6">
        <f t="shared" si="35"/>
        <v>29011.550000000003</v>
      </c>
      <c r="Y45" s="2"/>
      <c r="Z45" s="7">
        <f t="shared" si="36"/>
        <v>1.6814926869698528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703.56</v>
      </c>
      <c r="E46" s="2"/>
      <c r="F46" s="7">
        <f t="shared" si="29"/>
        <v>0</v>
      </c>
      <c r="G46" s="2"/>
      <c r="H46" s="6">
        <v>986.07</v>
      </c>
      <c r="I46" s="2"/>
      <c r="J46" s="7">
        <f t="shared" si="30"/>
        <v>8.196358847357893E-3</v>
      </c>
      <c r="K46" s="2"/>
      <c r="L46" s="6">
        <f t="shared" si="31"/>
        <v>-282.5100000000001</v>
      </c>
      <c r="M46" s="2"/>
      <c r="N46" s="7">
        <f t="shared" si="32"/>
        <v>-0.28650095834981298</v>
      </c>
      <c r="O46" s="11"/>
      <c r="P46" s="6">
        <v>9684.7000000000007</v>
      </c>
      <c r="Q46" s="2"/>
      <c r="R46" s="7">
        <f t="shared" si="33"/>
        <v>1.3425954447881312E-2</v>
      </c>
      <c r="S46" s="2"/>
      <c r="T46" s="6">
        <v>9860.7000000000007</v>
      </c>
      <c r="U46" s="2"/>
      <c r="V46" s="7">
        <f t="shared" si="34"/>
        <v>1.1203236228394003E-2</v>
      </c>
      <c r="W46" s="2"/>
      <c r="X46" s="6">
        <f t="shared" si="35"/>
        <v>-176</v>
      </c>
      <c r="Y46" s="2"/>
      <c r="Z46" s="7">
        <f t="shared" si="36"/>
        <v>-1.7848631435902117E-2</v>
      </c>
    </row>
    <row r="47" spans="1:26" s="25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57" si="37">IF(D$12=0,0,D47/D$12)</f>
        <v>0</v>
      </c>
      <c r="G47" s="1"/>
      <c r="H47" s="1">
        <f>SUM(OSRRefH22_6x_0)</f>
        <v>0</v>
      </c>
      <c r="I47" s="1"/>
      <c r="J47" s="5">
        <f t="shared" ref="J47:J57" si="38">IF(H$12=0,0,H47/H$12)</f>
        <v>0</v>
      </c>
      <c r="K47" s="1"/>
      <c r="L47" s="1">
        <f t="shared" ref="L47:L57" si="39">+D47-H47</f>
        <v>0</v>
      </c>
      <c r="M47" s="1"/>
      <c r="N47" s="5">
        <f t="shared" ref="N47:N57" si="40">IF(H47=0,0,L47/H47)</f>
        <v>0</v>
      </c>
      <c r="O47" s="13"/>
      <c r="P47" s="1">
        <f>SUM(OSRRefP22_6x_0)</f>
        <v>186.48</v>
      </c>
      <c r="Q47" s="1"/>
      <c r="R47" s="5">
        <f t="shared" ref="R47:R57" si="41">IF(P$12=0,0,P47/P$12)</f>
        <v>2.585182799096417E-4</v>
      </c>
      <c r="S47" s="1"/>
      <c r="T47" s="1">
        <f>SUM(OSRRefT22_6x_0)</f>
        <v>167.09</v>
      </c>
      <c r="U47" s="1"/>
      <c r="V47" s="5">
        <f t="shared" ref="V47:V57" si="42">IF(T$12=0,0,T47/T$12)</f>
        <v>1.8983933609199692E-4</v>
      </c>
      <c r="W47" s="1"/>
      <c r="X47" s="1">
        <f t="shared" ref="X47:X57" si="43">+P47-T47</f>
        <v>19.389999999999986</v>
      </c>
      <c r="Y47" s="1"/>
      <c r="Z47" s="5">
        <f t="shared" ref="Z47:Z57" si="44">IF(T47=0,0,X47/T47)</f>
        <v>0.11604524507750306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7"/>
        <v>0</v>
      </c>
      <c r="G48" s="2"/>
      <c r="H48" s="6"/>
      <c r="I48" s="2"/>
      <c r="J48" s="7">
        <f t="shared" si="38"/>
        <v>0</v>
      </c>
      <c r="K48" s="2"/>
      <c r="L48" s="6">
        <f t="shared" si="39"/>
        <v>0</v>
      </c>
      <c r="M48" s="2"/>
      <c r="N48" s="7">
        <f t="shared" si="40"/>
        <v>0</v>
      </c>
      <c r="O48" s="11"/>
      <c r="P48" s="6">
        <v>186.48</v>
      </c>
      <c r="Q48" s="2"/>
      <c r="R48" s="7">
        <f t="shared" si="41"/>
        <v>2.585182799096417E-4</v>
      </c>
      <c r="S48" s="2"/>
      <c r="T48" s="6">
        <v>167.09</v>
      </c>
      <c r="U48" s="2"/>
      <c r="V48" s="7">
        <f t="shared" si="42"/>
        <v>1.8983933609199692E-4</v>
      </c>
      <c r="W48" s="2"/>
      <c r="X48" s="6">
        <f t="shared" si="43"/>
        <v>19.389999999999986</v>
      </c>
      <c r="Y48" s="2"/>
      <c r="Z48" s="7">
        <f t="shared" si="44"/>
        <v>0.11604524507750306</v>
      </c>
    </row>
    <row r="49" spans="1:26" s="25" customFormat="1" outlineLevel="1" collapsed="1" x14ac:dyDescent="0.25">
      <c r="A49" s="26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0</v>
      </c>
      <c r="E49" s="1"/>
      <c r="F49" s="5">
        <f t="shared" si="37"/>
        <v>0</v>
      </c>
      <c r="G49" s="1"/>
      <c r="H49" s="1">
        <f>SUM(OSRRefH22_7x_0)</f>
        <v>245.39</v>
      </c>
      <c r="I49" s="1"/>
      <c r="J49" s="5">
        <f t="shared" si="38"/>
        <v>2.039717766034007E-3</v>
      </c>
      <c r="K49" s="1"/>
      <c r="L49" s="1">
        <f t="shared" si="39"/>
        <v>-245.39</v>
      </c>
      <c r="M49" s="1"/>
      <c r="N49" s="5">
        <f t="shared" si="40"/>
        <v>-1</v>
      </c>
      <c r="O49" s="13"/>
      <c r="P49" s="1">
        <f>SUM(OSRRefP22_7x_0)</f>
        <v>3281</v>
      </c>
      <c r="Q49" s="1"/>
      <c r="R49" s="5">
        <f t="shared" si="41"/>
        <v>4.5484688780755818E-3</v>
      </c>
      <c r="S49" s="1"/>
      <c r="T49" s="1">
        <f>SUM(OSRRefT22_7x_0)</f>
        <v>2344.39</v>
      </c>
      <c r="U49" s="1"/>
      <c r="V49" s="5">
        <f t="shared" si="42"/>
        <v>2.6635791557885966E-3</v>
      </c>
      <c r="W49" s="1"/>
      <c r="X49" s="1">
        <f t="shared" si="43"/>
        <v>936.61000000000013</v>
      </c>
      <c r="Y49" s="1"/>
      <c r="Z49" s="5">
        <f t="shared" si="44"/>
        <v>0.39951117348222787</v>
      </c>
    </row>
    <row r="50" spans="1:26" s="24" customFormat="1" hidden="1" outlineLevel="2" x14ac:dyDescent="0.25">
      <c r="A50" s="27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37"/>
        <v>0</v>
      </c>
      <c r="G50" s="2"/>
      <c r="H50" s="6">
        <v>245.39</v>
      </c>
      <c r="I50" s="2"/>
      <c r="J50" s="7">
        <f t="shared" si="38"/>
        <v>2.039717766034007E-3</v>
      </c>
      <c r="K50" s="2"/>
      <c r="L50" s="6">
        <f t="shared" si="39"/>
        <v>-245.39</v>
      </c>
      <c r="M50" s="2"/>
      <c r="N50" s="7">
        <f t="shared" si="40"/>
        <v>-1</v>
      </c>
      <c r="O50" s="11"/>
      <c r="P50" s="6">
        <v>3281</v>
      </c>
      <c r="Q50" s="2"/>
      <c r="R50" s="7">
        <f t="shared" si="41"/>
        <v>4.5484688780755818E-3</v>
      </c>
      <c r="S50" s="2"/>
      <c r="T50" s="6">
        <v>2344.39</v>
      </c>
      <c r="U50" s="2"/>
      <c r="V50" s="7">
        <f t="shared" si="42"/>
        <v>2.6635791557885966E-3</v>
      </c>
      <c r="W50" s="2"/>
      <c r="X50" s="6">
        <f t="shared" si="43"/>
        <v>936.61000000000013</v>
      </c>
      <c r="Y50" s="2"/>
      <c r="Z50" s="7">
        <f t="shared" si="44"/>
        <v>0.39951117348222787</v>
      </c>
    </row>
    <row r="51" spans="1:26" s="25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37"/>
        <v>0</v>
      </c>
      <c r="G51" s="1"/>
      <c r="H51" s="1">
        <f>SUM(OSRRefH22_8x_0)</f>
        <v>1232.57</v>
      </c>
      <c r="I51" s="1"/>
      <c r="J51" s="5">
        <f t="shared" si="38"/>
        <v>1.0245303096623888E-2</v>
      </c>
      <c r="K51" s="1"/>
      <c r="L51" s="1">
        <f t="shared" si="39"/>
        <v>-1232.57</v>
      </c>
      <c r="M51" s="1"/>
      <c r="N51" s="5">
        <f t="shared" si="40"/>
        <v>-1</v>
      </c>
      <c r="O51" s="13"/>
      <c r="P51" s="1">
        <f>SUM(OSRRefP22_8x_0)</f>
        <v>9308.4599999999991</v>
      </c>
      <c r="Q51" s="1"/>
      <c r="R51" s="5">
        <f t="shared" si="41"/>
        <v>1.2904370805489614E-2</v>
      </c>
      <c r="S51" s="1"/>
      <c r="T51" s="1">
        <f>SUM(OSRRefT22_8x_0)</f>
        <v>11161.04</v>
      </c>
      <c r="U51" s="1"/>
      <c r="V51" s="5">
        <f t="shared" si="42"/>
        <v>1.2680617773033823E-2</v>
      </c>
      <c r="W51" s="1"/>
      <c r="X51" s="1">
        <f t="shared" si="43"/>
        <v>-1852.5800000000017</v>
      </c>
      <c r="Y51" s="1"/>
      <c r="Z51" s="5">
        <f t="shared" si="44"/>
        <v>-0.16598632385512477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7"/>
        <v>0</v>
      </c>
      <c r="G52" s="2"/>
      <c r="H52" s="6">
        <v>1232.57</v>
      </c>
      <c r="I52" s="2"/>
      <c r="J52" s="7">
        <f t="shared" si="38"/>
        <v>1.0245303096623888E-2</v>
      </c>
      <c r="K52" s="2"/>
      <c r="L52" s="6">
        <f t="shared" si="39"/>
        <v>-1232.57</v>
      </c>
      <c r="M52" s="2"/>
      <c r="N52" s="7">
        <f t="shared" si="40"/>
        <v>-1</v>
      </c>
      <c r="O52" s="11"/>
      <c r="P52" s="6">
        <v>9308.4599999999991</v>
      </c>
      <c r="Q52" s="2"/>
      <c r="R52" s="7">
        <f t="shared" si="41"/>
        <v>1.2904370805489614E-2</v>
      </c>
      <c r="S52" s="2"/>
      <c r="T52" s="6">
        <v>11161.04</v>
      </c>
      <c r="U52" s="2"/>
      <c r="V52" s="7">
        <f t="shared" si="42"/>
        <v>1.2680617773033823E-2</v>
      </c>
      <c r="W52" s="2"/>
      <c r="X52" s="6">
        <f t="shared" si="43"/>
        <v>-1852.5800000000017</v>
      </c>
      <c r="Y52" s="2"/>
      <c r="Z52" s="7">
        <f t="shared" si="44"/>
        <v>-0.16598632385512477</v>
      </c>
    </row>
    <row r="53" spans="1:26" s="25" customFormat="1" outlineLevel="1" collapsed="1" x14ac:dyDescent="0.25">
      <c r="A53" s="26"/>
      <c r="B53" s="13" t="str">
        <f>CONCATENATE("     ","Rent                                              ")</f>
        <v xml:space="preserve">     Rent                                              </v>
      </c>
      <c r="C53" s="13"/>
      <c r="D53" s="1">
        <f>SUM(OSRRefD22_9x_0)</f>
        <v>1850</v>
      </c>
      <c r="E53" s="1"/>
      <c r="F53" s="5">
        <f t="shared" si="37"/>
        <v>0</v>
      </c>
      <c r="G53" s="1"/>
      <c r="H53" s="1">
        <f>SUM(OSRRefH22_9x_0)</f>
        <v>1850</v>
      </c>
      <c r="I53" s="1"/>
      <c r="J53" s="5">
        <f t="shared" si="38"/>
        <v>1.5377472053314776E-2</v>
      </c>
      <c r="K53" s="1"/>
      <c r="L53" s="1">
        <f t="shared" si="39"/>
        <v>0</v>
      </c>
      <c r="M53" s="1"/>
      <c r="N53" s="5">
        <f t="shared" si="40"/>
        <v>0</v>
      </c>
      <c r="O53" s="13"/>
      <c r="P53" s="1">
        <f>SUM(OSRRefP22_9x_0)</f>
        <v>18500</v>
      </c>
      <c r="Q53" s="1"/>
      <c r="R53" s="5">
        <f t="shared" si="41"/>
        <v>2.5646654752940645E-2</v>
      </c>
      <c r="S53" s="1"/>
      <c r="T53" s="1">
        <f>SUM(OSRRefT22_9x_0)</f>
        <v>18500</v>
      </c>
      <c r="U53" s="1"/>
      <c r="V53" s="5">
        <f t="shared" si="42"/>
        <v>2.1018778608545952E-2</v>
      </c>
      <c r="W53" s="1"/>
      <c r="X53" s="1">
        <f t="shared" si="43"/>
        <v>0</v>
      </c>
      <c r="Y53" s="1"/>
      <c r="Z53" s="5">
        <f t="shared" si="44"/>
        <v>0</v>
      </c>
    </row>
    <row r="54" spans="1:26" s="24" customFormat="1" hidden="1" outlineLevel="2" x14ac:dyDescent="0.25">
      <c r="A54" s="27"/>
      <c r="B54" s="11" t="str">
        <f>CONCATENATE("          ", "6273", " - ", "RENT")</f>
        <v xml:space="preserve">          6273 - RENT</v>
      </c>
      <c r="C54" s="11"/>
      <c r="D54" s="6">
        <v>1850</v>
      </c>
      <c r="E54" s="2"/>
      <c r="F54" s="7">
        <f t="shared" si="37"/>
        <v>0</v>
      </c>
      <c r="G54" s="2"/>
      <c r="H54" s="6">
        <v>1850</v>
      </c>
      <c r="I54" s="2"/>
      <c r="J54" s="7">
        <f t="shared" si="38"/>
        <v>1.5377472053314776E-2</v>
      </c>
      <c r="K54" s="2"/>
      <c r="L54" s="6">
        <f t="shared" si="39"/>
        <v>0</v>
      </c>
      <c r="M54" s="2"/>
      <c r="N54" s="7">
        <f t="shared" si="40"/>
        <v>0</v>
      </c>
      <c r="O54" s="11"/>
      <c r="P54" s="6">
        <v>18500</v>
      </c>
      <c r="Q54" s="2"/>
      <c r="R54" s="7">
        <f t="shared" si="41"/>
        <v>2.5646654752940645E-2</v>
      </c>
      <c r="S54" s="2"/>
      <c r="T54" s="6">
        <v>18500</v>
      </c>
      <c r="U54" s="2"/>
      <c r="V54" s="7">
        <f t="shared" si="42"/>
        <v>2.1018778608545952E-2</v>
      </c>
      <c r="W54" s="2"/>
      <c r="X54" s="6">
        <f t="shared" si="43"/>
        <v>0</v>
      </c>
      <c r="Y54" s="2"/>
      <c r="Z54" s="7">
        <f t="shared" si="44"/>
        <v>0</v>
      </c>
    </row>
    <row r="55" spans="1:26" s="25" customFormat="1" outlineLevel="1" collapsed="1" x14ac:dyDescent="0.25">
      <c r="A55" s="26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SUM(OSRRefD22_10x_0)</f>
        <v>2079.33</v>
      </c>
      <c r="E55" s="1"/>
      <c r="F55" s="5">
        <f t="shared" si="37"/>
        <v>0</v>
      </c>
      <c r="G55" s="1"/>
      <c r="H55" s="1">
        <f>SUM(OSRRefH22_10x_0)</f>
        <v>3704.7200000000003</v>
      </c>
      <c r="I55" s="1"/>
      <c r="J55" s="5">
        <f t="shared" si="38"/>
        <v>3.0794177440733147E-2</v>
      </c>
      <c r="K55" s="1"/>
      <c r="L55" s="1">
        <f t="shared" si="39"/>
        <v>-1625.3900000000003</v>
      </c>
      <c r="M55" s="1"/>
      <c r="N55" s="5">
        <f t="shared" si="40"/>
        <v>-0.43873491114038315</v>
      </c>
      <c r="O55" s="13"/>
      <c r="P55" s="1">
        <f>SUM(OSRRefP22_10x_0)</f>
        <v>27415.119999999999</v>
      </c>
      <c r="Q55" s="1"/>
      <c r="R55" s="5">
        <f t="shared" si="41"/>
        <v>3.8005736089212871E-2</v>
      </c>
      <c r="S55" s="1"/>
      <c r="T55" s="1">
        <f>SUM(OSRRefT22_10x_0)</f>
        <v>35987.240000000005</v>
      </c>
      <c r="U55" s="1"/>
      <c r="V55" s="5">
        <f t="shared" si="42"/>
        <v>4.088690974554645E-2</v>
      </c>
      <c r="W55" s="1"/>
      <c r="X55" s="1">
        <f t="shared" si="43"/>
        <v>-8572.1200000000063</v>
      </c>
      <c r="Y55" s="1"/>
      <c r="Z55" s="5">
        <f t="shared" si="44"/>
        <v>-0.23819887271155013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1799</v>
      </c>
      <c r="E56" s="2"/>
      <c r="F56" s="7">
        <f t="shared" si="37"/>
        <v>0</v>
      </c>
      <c r="G56" s="2"/>
      <c r="H56" s="6">
        <v>1799</v>
      </c>
      <c r="I56" s="2"/>
      <c r="J56" s="7">
        <f t="shared" si="38"/>
        <v>1.4953552553466639E-2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>
        <v>18187.759999999998</v>
      </c>
      <c r="Q56" s="2"/>
      <c r="R56" s="7">
        <f t="shared" si="41"/>
        <v>2.5213794672937499E-2</v>
      </c>
      <c r="S56" s="2"/>
      <c r="T56" s="6">
        <v>18158.66</v>
      </c>
      <c r="U56" s="2"/>
      <c r="V56" s="7">
        <f t="shared" si="42"/>
        <v>2.0630965100965352E-2</v>
      </c>
      <c r="W56" s="2"/>
      <c r="X56" s="6">
        <f t="shared" si="43"/>
        <v>29.099999999998545</v>
      </c>
      <c r="Y56" s="2"/>
      <c r="Z56" s="7">
        <f t="shared" si="44"/>
        <v>1.602541156671172E-3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280.33</v>
      </c>
      <c r="E57" s="2"/>
      <c r="F57" s="7">
        <f t="shared" si="37"/>
        <v>0</v>
      </c>
      <c r="G57" s="2"/>
      <c r="H57" s="6">
        <v>1905.72</v>
      </c>
      <c r="I57" s="2"/>
      <c r="J57" s="7">
        <f t="shared" si="38"/>
        <v>1.5840624887266504E-2</v>
      </c>
      <c r="K57" s="2"/>
      <c r="L57" s="6">
        <f t="shared" si="39"/>
        <v>-1625.39</v>
      </c>
      <c r="M57" s="2"/>
      <c r="N57" s="7">
        <f t="shared" si="40"/>
        <v>-0.85290074092731361</v>
      </c>
      <c r="O57" s="11"/>
      <c r="P57" s="6">
        <v>9227.36</v>
      </c>
      <c r="Q57" s="2"/>
      <c r="R57" s="7">
        <f t="shared" si="41"/>
        <v>1.2791941416275373E-2</v>
      </c>
      <c r="S57" s="2"/>
      <c r="T57" s="6">
        <v>17828.580000000002</v>
      </c>
      <c r="U57" s="2"/>
      <c r="V57" s="7">
        <f t="shared" si="42"/>
        <v>2.0255944644581091E-2</v>
      </c>
      <c r="W57" s="2"/>
      <c r="X57" s="6">
        <f t="shared" si="43"/>
        <v>-8601.2200000000012</v>
      </c>
      <c r="Y57" s="2"/>
      <c r="Z57" s="7">
        <f t="shared" si="44"/>
        <v>-0.48243999241667035</v>
      </c>
    </row>
    <row r="58" spans="1:26" s="25" customFormat="1" outlineLevel="1" collapsed="1" x14ac:dyDescent="0.25">
      <c r="A58" s="26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SUM(OSRRefD22_11x_0)</f>
        <v>0</v>
      </c>
      <c r="E58" s="1"/>
      <c r="F58" s="5">
        <f t="shared" ref="F58:F63" si="45">IF(D$12=0,0,D58/D$12)</f>
        <v>0</v>
      </c>
      <c r="G58" s="1"/>
      <c r="H58" s="1">
        <f>SUM(OSRRefH22_11x_0)</f>
        <v>9624.48</v>
      </c>
      <c r="I58" s="1"/>
      <c r="J58" s="5">
        <f t="shared" ref="J58:J63" si="46">IF(H$12=0,0,H58/H$12)</f>
        <v>8.0000093096047026E-2</v>
      </c>
      <c r="K58" s="1"/>
      <c r="L58" s="1">
        <f t="shared" ref="L58:L63" si="47">+D58-H58</f>
        <v>-9624.48</v>
      </c>
      <c r="M58" s="1"/>
      <c r="N58" s="5">
        <f t="shared" ref="N58:N63" si="48">IF(H58=0,0,L58/H58)</f>
        <v>-1</v>
      </c>
      <c r="O58" s="13"/>
      <c r="P58" s="1">
        <f>SUM(OSRRefP22_11x_0)</f>
        <v>60535.320000000007</v>
      </c>
      <c r="Q58" s="1"/>
      <c r="R58" s="5">
        <f t="shared" ref="R58:R63" si="49">IF(P$12=0,0,P58/P$12)</f>
        <v>8.3920456886420705E-2</v>
      </c>
      <c r="S58" s="1"/>
      <c r="T58" s="1">
        <f>SUM(OSRRefT22_11x_0)</f>
        <v>70530.240000000005</v>
      </c>
      <c r="U58" s="1"/>
      <c r="V58" s="5">
        <f t="shared" ref="V58:V63" si="50">IF(T$12=0,0,T58/T$12)</f>
        <v>8.0132945933384436E-2</v>
      </c>
      <c r="W58" s="1"/>
      <c r="X58" s="1">
        <f t="shared" ref="X58:X63" si="51">+P58-T58</f>
        <v>-9994.9199999999983</v>
      </c>
      <c r="Y58" s="1"/>
      <c r="Z58" s="5">
        <f t="shared" ref="Z58:Z63" si="52">IF(T58=0,0,X58/T58)</f>
        <v>-0.14171112986429646</v>
      </c>
    </row>
    <row r="59" spans="1:26" s="24" customFormat="1" hidden="1" outlineLevel="2" x14ac:dyDescent="0.25">
      <c r="A59" s="27"/>
      <c r="B59" s="11" t="str">
        <f>CONCATENATE("          ", "6259", " - ", "ROYALTY &amp; COMMISSIONS")</f>
        <v xml:space="preserve">          6259 - ROYALTY &amp; COMMISSIONS</v>
      </c>
      <c r="C59" s="11"/>
      <c r="D59" s="6"/>
      <c r="E59" s="2"/>
      <c r="F59" s="7">
        <f t="shared" si="45"/>
        <v>0</v>
      </c>
      <c r="G59" s="2"/>
      <c r="H59" s="6">
        <v>9624.48</v>
      </c>
      <c r="I59" s="2"/>
      <c r="J59" s="7">
        <f t="shared" si="46"/>
        <v>8.0000093096047026E-2</v>
      </c>
      <c r="K59" s="2"/>
      <c r="L59" s="6">
        <f t="shared" si="47"/>
        <v>-9624.48</v>
      </c>
      <c r="M59" s="2"/>
      <c r="N59" s="7">
        <f t="shared" si="48"/>
        <v>-1</v>
      </c>
      <c r="O59" s="11"/>
      <c r="P59" s="6">
        <v>60535.320000000007</v>
      </c>
      <c r="Q59" s="2"/>
      <c r="R59" s="7">
        <f t="shared" si="49"/>
        <v>8.3920456886420705E-2</v>
      </c>
      <c r="S59" s="2"/>
      <c r="T59" s="6">
        <v>70530.240000000005</v>
      </c>
      <c r="U59" s="2"/>
      <c r="V59" s="7">
        <f t="shared" si="50"/>
        <v>8.0132945933384436E-2</v>
      </c>
      <c r="W59" s="2"/>
      <c r="X59" s="6">
        <f t="shared" si="51"/>
        <v>-9994.9199999999983</v>
      </c>
      <c r="Y59" s="2"/>
      <c r="Z59" s="7">
        <f t="shared" si="52"/>
        <v>-0.14171112986429646</v>
      </c>
    </row>
    <row r="60" spans="1:26" s="25" customFormat="1" outlineLevel="1" collapsed="1" x14ac:dyDescent="0.25">
      <c r="A60" s="26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SUM(OSRRefD22_12x_0)</f>
        <v>115</v>
      </c>
      <c r="E60" s="1"/>
      <c r="F60" s="5">
        <f t="shared" si="45"/>
        <v>0</v>
      </c>
      <c r="G60" s="1"/>
      <c r="H60" s="1">
        <f>SUM(OSRRefH22_12x_0)</f>
        <v>515.12</v>
      </c>
      <c r="I60" s="1"/>
      <c r="J60" s="5">
        <f t="shared" si="46"/>
        <v>4.2817531914073016E-3</v>
      </c>
      <c r="K60" s="1"/>
      <c r="L60" s="1">
        <f t="shared" si="47"/>
        <v>-400.12</v>
      </c>
      <c r="M60" s="1"/>
      <c r="N60" s="5">
        <f t="shared" si="48"/>
        <v>-0.77675104829942543</v>
      </c>
      <c r="O60" s="13"/>
      <c r="P60" s="1">
        <f>SUM(OSRRefP22_12x_0)</f>
        <v>3793.39</v>
      </c>
      <c r="Q60" s="1"/>
      <c r="R60" s="5">
        <f t="shared" si="49"/>
        <v>5.2587980363922975E-3</v>
      </c>
      <c r="S60" s="1"/>
      <c r="T60" s="1">
        <f>SUM(OSRRefT22_12x_0)</f>
        <v>3180.01</v>
      </c>
      <c r="U60" s="1"/>
      <c r="V60" s="5">
        <f t="shared" si="50"/>
        <v>3.6129689817817412E-3</v>
      </c>
      <c r="W60" s="1"/>
      <c r="X60" s="1">
        <f t="shared" si="51"/>
        <v>613.37999999999965</v>
      </c>
      <c r="Y60" s="1"/>
      <c r="Z60" s="5">
        <f t="shared" si="52"/>
        <v>0.19288618589249706</v>
      </c>
    </row>
    <row r="61" spans="1:26" s="24" customFormat="1" hidden="1" outlineLevel="2" x14ac:dyDescent="0.25">
      <c r="A61" s="27"/>
      <c r="B61" s="11" t="str">
        <f>CONCATENATE("          ", "6282", " - ", "JANITORIAL/EXTERMINATOR EXPENS")</f>
        <v xml:space="preserve">          6282 - JANITORIAL/EXTERMINATOR EXPENS</v>
      </c>
      <c r="C61" s="11"/>
      <c r="D61" s="6"/>
      <c r="E61" s="2"/>
      <c r="F61" s="7">
        <f t="shared" si="45"/>
        <v>0</v>
      </c>
      <c r="G61" s="2"/>
      <c r="H61" s="6">
        <v>96.96</v>
      </c>
      <c r="I61" s="2"/>
      <c r="J61" s="7">
        <f t="shared" si="46"/>
        <v>8.0594577853481113E-4</v>
      </c>
      <c r="K61" s="2"/>
      <c r="L61" s="6">
        <f t="shared" si="47"/>
        <v>-96.96</v>
      </c>
      <c r="M61" s="2"/>
      <c r="N61" s="7">
        <f t="shared" si="48"/>
        <v>-1</v>
      </c>
      <c r="O61" s="11"/>
      <c r="P61" s="6">
        <v>872.64</v>
      </c>
      <c r="Q61" s="2"/>
      <c r="R61" s="7">
        <f t="shared" si="49"/>
        <v>1.2097457731678985E-3</v>
      </c>
      <c r="S61" s="2"/>
      <c r="T61" s="6">
        <v>678.72</v>
      </c>
      <c r="U61" s="2"/>
      <c r="V61" s="7">
        <f t="shared" si="50"/>
        <v>7.7112786038877339E-4</v>
      </c>
      <c r="W61" s="2"/>
      <c r="X61" s="6">
        <f t="shared" si="51"/>
        <v>193.91999999999996</v>
      </c>
      <c r="Y61" s="2"/>
      <c r="Z61" s="7">
        <f t="shared" si="52"/>
        <v>0.28571428571428564</v>
      </c>
    </row>
    <row r="62" spans="1:26" s="24" customFormat="1" hidden="1" outlineLevel="2" x14ac:dyDescent="0.25">
      <c r="A62" s="27"/>
      <c r="B62" s="11" t="str">
        <f>CONCATENATE("          ", "6284", " - ", "TRASH REMOVAL EXPENSE")</f>
        <v xml:space="preserve">          6284 - TRASH REMOVAL EXPENSE</v>
      </c>
      <c r="C62" s="11"/>
      <c r="D62" s="6">
        <v>115</v>
      </c>
      <c r="E62" s="2"/>
      <c r="F62" s="7">
        <f t="shared" si="45"/>
        <v>0</v>
      </c>
      <c r="G62" s="2"/>
      <c r="H62" s="6">
        <v>94</v>
      </c>
      <c r="I62" s="2"/>
      <c r="J62" s="7">
        <f t="shared" si="46"/>
        <v>7.8134182324950759E-4</v>
      </c>
      <c r="K62" s="2"/>
      <c r="L62" s="6">
        <f t="shared" si="47"/>
        <v>21</v>
      </c>
      <c r="M62" s="2"/>
      <c r="N62" s="7">
        <f t="shared" si="48"/>
        <v>0.22340425531914893</v>
      </c>
      <c r="O62" s="11"/>
      <c r="P62" s="6">
        <v>1054</v>
      </c>
      <c r="Q62" s="2"/>
      <c r="R62" s="7">
        <f t="shared" si="49"/>
        <v>1.4611661680864563E-3</v>
      </c>
      <c r="S62" s="2"/>
      <c r="T62" s="6">
        <v>1072.46</v>
      </c>
      <c r="U62" s="2"/>
      <c r="V62" s="7">
        <f t="shared" si="50"/>
        <v>1.2184756381903347E-3</v>
      </c>
      <c r="W62" s="2"/>
      <c r="X62" s="6">
        <f t="shared" si="51"/>
        <v>-18.460000000000036</v>
      </c>
      <c r="Y62" s="2"/>
      <c r="Z62" s="7">
        <f t="shared" si="52"/>
        <v>-1.7212763179978774E-2</v>
      </c>
    </row>
    <row r="63" spans="1:26" s="24" customFormat="1" hidden="1" outlineLevel="2" x14ac:dyDescent="0.25">
      <c r="A63" s="27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45"/>
        <v>0</v>
      </c>
      <c r="G63" s="2"/>
      <c r="H63" s="6">
        <v>324.16000000000003</v>
      </c>
      <c r="I63" s="2"/>
      <c r="J63" s="7">
        <f t="shared" si="46"/>
        <v>2.6944655896229829E-3</v>
      </c>
      <c r="K63" s="2"/>
      <c r="L63" s="6">
        <f t="shared" si="47"/>
        <v>-324.16000000000003</v>
      </c>
      <c r="M63" s="2"/>
      <c r="N63" s="7">
        <f t="shared" si="48"/>
        <v>-1</v>
      </c>
      <c r="O63" s="11"/>
      <c r="P63" s="6">
        <v>1866.75</v>
      </c>
      <c r="Q63" s="2"/>
      <c r="R63" s="7">
        <f t="shared" si="49"/>
        <v>2.5878860951379433E-3</v>
      </c>
      <c r="S63" s="2"/>
      <c r="T63" s="6">
        <v>1428.83</v>
      </c>
      <c r="U63" s="2"/>
      <c r="V63" s="7">
        <f t="shared" si="50"/>
        <v>1.6233654832026329E-3</v>
      </c>
      <c r="W63" s="2"/>
      <c r="X63" s="6">
        <f t="shared" si="51"/>
        <v>437.92000000000007</v>
      </c>
      <c r="Y63" s="2"/>
      <c r="Z63" s="7">
        <f t="shared" si="52"/>
        <v>0.30648852557687067</v>
      </c>
    </row>
    <row r="64" spans="1:26" s="25" customFormat="1" outlineLevel="1" collapsed="1" x14ac:dyDescent="0.25">
      <c r="A64" s="26"/>
      <c r="B64" s="13" t="str">
        <f>CONCATENATE("     ","Subscriptions &amp; Dues                              ")</f>
        <v xml:space="preserve">     Subscriptions &amp; Dues                              </v>
      </c>
      <c r="C64" s="13"/>
      <c r="D64" s="1">
        <f>SUM(OSRRefD22_13x_0)</f>
        <v>0</v>
      </c>
      <c r="E64" s="1"/>
      <c r="F64" s="5">
        <f t="shared" ref="F64:F66" si="53">IF(D$12=0,0,D64/D$12)</f>
        <v>0</v>
      </c>
      <c r="G64" s="1"/>
      <c r="H64" s="1">
        <f>SUM(OSRRefH22_13x_0)</f>
        <v>0</v>
      </c>
      <c r="I64" s="1"/>
      <c r="J64" s="5">
        <f t="shared" ref="J64:J66" si="54">IF(H$12=0,0,H64/H$12)</f>
        <v>0</v>
      </c>
      <c r="K64" s="1"/>
      <c r="L64" s="1">
        <f t="shared" ref="L64:L66" si="55">+D64-H64</f>
        <v>0</v>
      </c>
      <c r="M64" s="1"/>
      <c r="N64" s="5">
        <f t="shared" ref="N64:N66" si="56">IF(H64=0,0,L64/H64)</f>
        <v>0</v>
      </c>
      <c r="O64" s="13"/>
      <c r="P64" s="1">
        <f>SUM(OSRRefP22_13x_0)</f>
        <v>1101.72</v>
      </c>
      <c r="Q64" s="1"/>
      <c r="R64" s="5">
        <f t="shared" ref="R64:R66" si="57">IF(P$12=0,0,P64/P$12)</f>
        <v>1.5273206742924198E-3</v>
      </c>
      <c r="S64" s="1"/>
      <c r="T64" s="1">
        <f>SUM(OSRRefT22_13x_0)</f>
        <v>153.4</v>
      </c>
      <c r="U64" s="1"/>
      <c r="V64" s="5">
        <f t="shared" ref="V64:V66" si="58">IF(T$12=0,0,T64/T$12)</f>
        <v>1.7428543992167292E-4</v>
      </c>
      <c r="W64" s="1"/>
      <c r="X64" s="1">
        <f t="shared" ref="X64:X66" si="59">+P64-T64</f>
        <v>948.32</v>
      </c>
      <c r="Y64" s="1"/>
      <c r="Z64" s="5">
        <f t="shared" ref="Z64:Z66" si="60">IF(T64=0,0,X64/T64)</f>
        <v>6.1820078226857893</v>
      </c>
    </row>
    <row r="65" spans="1:26" s="24" customFormat="1" hidden="1" outlineLevel="2" x14ac:dyDescent="0.25">
      <c r="A65" s="27"/>
      <c r="B65" s="11" t="str">
        <f>CONCATENATE("          ", "6258", " - ", "MEMBERSHIP DUES")</f>
        <v xml:space="preserve">          6258 - MEMBERSHIP DUES</v>
      </c>
      <c r="C65" s="11"/>
      <c r="D65" s="6"/>
      <c r="E65" s="2"/>
      <c r="F65" s="7">
        <f t="shared" si="53"/>
        <v>0</v>
      </c>
      <c r="G65" s="2"/>
      <c r="H65" s="6"/>
      <c r="I65" s="2"/>
      <c r="J65" s="7">
        <f t="shared" si="54"/>
        <v>0</v>
      </c>
      <c r="K65" s="2"/>
      <c r="L65" s="6">
        <f t="shared" si="55"/>
        <v>0</v>
      </c>
      <c r="M65" s="2"/>
      <c r="N65" s="7">
        <f t="shared" si="56"/>
        <v>0</v>
      </c>
      <c r="O65" s="11"/>
      <c r="P65" s="6">
        <v>979</v>
      </c>
      <c r="Q65" s="2"/>
      <c r="R65" s="7">
        <f t="shared" si="57"/>
        <v>1.3571932434123725E-3</v>
      </c>
      <c r="S65" s="2"/>
      <c r="T65" s="6"/>
      <c r="U65" s="2"/>
      <c r="V65" s="7">
        <f t="shared" si="58"/>
        <v>0</v>
      </c>
      <c r="W65" s="2"/>
      <c r="X65" s="6">
        <f t="shared" si="59"/>
        <v>979</v>
      </c>
      <c r="Y65" s="2"/>
      <c r="Z65" s="7">
        <f t="shared" si="60"/>
        <v>0</v>
      </c>
    </row>
    <row r="66" spans="1:26" s="24" customFormat="1" hidden="1" outlineLevel="2" x14ac:dyDescent="0.25">
      <c r="A66" s="27"/>
      <c r="B66" s="11" t="str">
        <f>CONCATENATE("          ", "6275", " - ", "SUBSCRIPTIONS")</f>
        <v xml:space="preserve">          6275 - SUBSCRIPTIONS</v>
      </c>
      <c r="C66" s="11"/>
      <c r="D66" s="6"/>
      <c r="E66" s="2"/>
      <c r="F66" s="7">
        <f t="shared" si="53"/>
        <v>0</v>
      </c>
      <c r="G66" s="2"/>
      <c r="H66" s="6"/>
      <c r="I66" s="2"/>
      <c r="J66" s="7">
        <f t="shared" si="54"/>
        <v>0</v>
      </c>
      <c r="K66" s="2"/>
      <c r="L66" s="6">
        <f t="shared" si="55"/>
        <v>0</v>
      </c>
      <c r="M66" s="2"/>
      <c r="N66" s="7">
        <f t="shared" si="56"/>
        <v>0</v>
      </c>
      <c r="O66" s="11"/>
      <c r="P66" s="6">
        <v>122.72</v>
      </c>
      <c r="Q66" s="2"/>
      <c r="R66" s="7">
        <f t="shared" si="57"/>
        <v>1.7012743088004736E-4</v>
      </c>
      <c r="S66" s="2"/>
      <c r="T66" s="6">
        <v>153.4</v>
      </c>
      <c r="U66" s="2"/>
      <c r="V66" s="7">
        <f t="shared" si="58"/>
        <v>1.7428543992167292E-4</v>
      </c>
      <c r="W66" s="2"/>
      <c r="X66" s="6">
        <f t="shared" si="59"/>
        <v>-30.680000000000007</v>
      </c>
      <c r="Y66" s="2"/>
      <c r="Z66" s="7">
        <f t="shared" si="60"/>
        <v>-0.20000000000000004</v>
      </c>
    </row>
    <row r="67" spans="1:26" s="25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ref="F67:F74" si="61">IF(D$12=0,0,D67/D$12)</f>
        <v>0</v>
      </c>
      <c r="G67" s="1"/>
      <c r="H67" s="1">
        <f>SUM(OSRRefH22_14x_0)</f>
        <v>1480.11</v>
      </c>
      <c r="I67" s="1"/>
      <c r="J67" s="5">
        <f t="shared" ref="J67:J74" si="62">IF(H$12=0,0,H67/H$12)</f>
        <v>1.2302891978827963E-2</v>
      </c>
      <c r="K67" s="1"/>
      <c r="L67" s="1">
        <f t="shared" ref="L67:L74" si="63">+D67-H67</f>
        <v>-1480.11</v>
      </c>
      <c r="M67" s="1"/>
      <c r="N67" s="5">
        <f t="shared" ref="N67:N74" si="64">IF(H67=0,0,L67/H67)</f>
        <v>-1</v>
      </c>
      <c r="O67" s="13"/>
      <c r="P67" s="1">
        <f>SUM(OSRRefP22_14x_0)</f>
        <v>11997.33</v>
      </c>
      <c r="Q67" s="1"/>
      <c r="R67" s="5">
        <f t="shared" ref="R67:R74" si="65">IF(P$12=0,0,P67/P$12)</f>
        <v>1.6631966511734993E-2</v>
      </c>
      <c r="S67" s="1"/>
      <c r="T67" s="1">
        <f>SUM(OSRRefT22_14x_0)</f>
        <v>13172.42</v>
      </c>
      <c r="U67" s="1"/>
      <c r="V67" s="5">
        <f t="shared" ref="V67:V74" si="66">IF(T$12=0,0,T67/T$12)</f>
        <v>1.4965847552366641E-2</v>
      </c>
      <c r="W67" s="1"/>
      <c r="X67" s="1">
        <f t="shared" ref="X67:X74" si="67">+P67-T67</f>
        <v>-1175.0900000000001</v>
      </c>
      <c r="Y67" s="1"/>
      <c r="Z67" s="5">
        <f t="shared" ref="Z67:Z74" si="68">IF(T67=0,0,X67/T67)</f>
        <v>-8.9208361106007869E-2</v>
      </c>
    </row>
    <row r="68" spans="1:26" s="24" customFormat="1" hidden="1" outlineLevel="2" x14ac:dyDescent="0.25">
      <c r="A68" s="27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61"/>
        <v>0</v>
      </c>
      <c r="G68" s="2"/>
      <c r="H68" s="6">
        <v>310.98</v>
      </c>
      <c r="I68" s="2"/>
      <c r="J68" s="7">
        <f t="shared" si="62"/>
        <v>2.5849114914269348E-3</v>
      </c>
      <c r="K68" s="2"/>
      <c r="L68" s="6">
        <f t="shared" si="63"/>
        <v>-310.98</v>
      </c>
      <c r="M68" s="2"/>
      <c r="N68" s="7">
        <f t="shared" si="64"/>
        <v>-1</v>
      </c>
      <c r="O68" s="11"/>
      <c r="P68" s="6">
        <v>2140.12</v>
      </c>
      <c r="Q68" s="2"/>
      <c r="R68" s="7">
        <f t="shared" si="65"/>
        <v>2.9668604740466665E-3</v>
      </c>
      <c r="S68" s="2"/>
      <c r="T68" s="6">
        <v>1823.98</v>
      </c>
      <c r="U68" s="2"/>
      <c r="V68" s="7">
        <f t="shared" si="66"/>
        <v>2.0723152327792238E-3</v>
      </c>
      <c r="W68" s="2"/>
      <c r="X68" s="6">
        <f t="shared" si="67"/>
        <v>316.13999999999987</v>
      </c>
      <c r="Y68" s="2"/>
      <c r="Z68" s="7">
        <f t="shared" si="68"/>
        <v>0.17332426890645725</v>
      </c>
    </row>
    <row r="69" spans="1:26" s="24" customFormat="1" hidden="1" outlineLevel="2" x14ac:dyDescent="0.25">
      <c r="A69" s="27"/>
      <c r="B69" s="11" t="str">
        <f>CONCATENATE("          ", "6239", " - ", "KITCHEN SUPPLIES")</f>
        <v xml:space="preserve">          6239 - KITCHEN SUPPLIES</v>
      </c>
      <c r="C69" s="11"/>
      <c r="D69" s="6"/>
      <c r="E69" s="2"/>
      <c r="F69" s="7">
        <f t="shared" si="61"/>
        <v>0</v>
      </c>
      <c r="G69" s="2"/>
      <c r="H69" s="6">
        <v>840.5</v>
      </c>
      <c r="I69" s="2"/>
      <c r="J69" s="7">
        <f t="shared" si="62"/>
        <v>6.9863596004384161E-3</v>
      </c>
      <c r="K69" s="2"/>
      <c r="L69" s="6">
        <f t="shared" si="63"/>
        <v>-840.5</v>
      </c>
      <c r="M69" s="2"/>
      <c r="N69" s="7">
        <f t="shared" si="64"/>
        <v>-1</v>
      </c>
      <c r="O69" s="11"/>
      <c r="P69" s="6">
        <v>4435.24</v>
      </c>
      <c r="Q69" s="2"/>
      <c r="R69" s="7">
        <f t="shared" si="65"/>
        <v>6.1485983257531058E-3</v>
      </c>
      <c r="S69" s="2"/>
      <c r="T69" s="6">
        <v>3661.18</v>
      </c>
      <c r="U69" s="2"/>
      <c r="V69" s="7">
        <f t="shared" si="66"/>
        <v>4.159650371137095E-3</v>
      </c>
      <c r="W69" s="2"/>
      <c r="X69" s="6">
        <f t="shared" si="67"/>
        <v>774.06</v>
      </c>
      <c r="Y69" s="2"/>
      <c r="Z69" s="7">
        <f t="shared" si="68"/>
        <v>0.2114236393730983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61"/>
        <v>0</v>
      </c>
      <c r="G70" s="2"/>
      <c r="H70" s="6"/>
      <c r="I70" s="2"/>
      <c r="J70" s="7">
        <f t="shared" si="62"/>
        <v>0</v>
      </c>
      <c r="K70" s="2"/>
      <c r="L70" s="6">
        <f t="shared" si="63"/>
        <v>0</v>
      </c>
      <c r="M70" s="2"/>
      <c r="N70" s="7">
        <f t="shared" si="64"/>
        <v>0</v>
      </c>
      <c r="O70" s="11"/>
      <c r="P70" s="6">
        <v>1415.33</v>
      </c>
      <c r="Q70" s="2"/>
      <c r="R70" s="7">
        <f t="shared" si="65"/>
        <v>1.9620799930529448E-3</v>
      </c>
      <c r="S70" s="2"/>
      <c r="T70" s="6">
        <v>1076.8499999999999</v>
      </c>
      <c r="U70" s="2"/>
      <c r="V70" s="7">
        <f t="shared" si="66"/>
        <v>1.2234633375466327E-3</v>
      </c>
      <c r="W70" s="2"/>
      <c r="X70" s="6">
        <f t="shared" si="67"/>
        <v>338.48</v>
      </c>
      <c r="Y70" s="2"/>
      <c r="Z70" s="7">
        <f t="shared" si="68"/>
        <v>0.31432418628406933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61"/>
        <v>0</v>
      </c>
      <c r="G71" s="2"/>
      <c r="H71" s="6">
        <v>303.37</v>
      </c>
      <c r="I71" s="2"/>
      <c r="J71" s="7">
        <f t="shared" si="62"/>
        <v>2.521656052331948E-3</v>
      </c>
      <c r="K71" s="2"/>
      <c r="L71" s="6">
        <f t="shared" si="63"/>
        <v>-303.37</v>
      </c>
      <c r="M71" s="2"/>
      <c r="N71" s="7">
        <f t="shared" si="64"/>
        <v>-1</v>
      </c>
      <c r="O71" s="11"/>
      <c r="P71" s="6">
        <v>5057.43</v>
      </c>
      <c r="Q71" s="2"/>
      <c r="R71" s="7">
        <f t="shared" si="65"/>
        <v>7.0111438457926816E-3</v>
      </c>
      <c r="S71" s="2"/>
      <c r="T71" s="6">
        <v>5476.07</v>
      </c>
      <c r="U71" s="2"/>
      <c r="V71" s="7">
        <f t="shared" si="66"/>
        <v>6.2216379986432552E-3</v>
      </c>
      <c r="W71" s="2"/>
      <c r="X71" s="6">
        <f t="shared" si="67"/>
        <v>-418.63999999999942</v>
      </c>
      <c r="Y71" s="2"/>
      <c r="Z71" s="7">
        <f t="shared" si="68"/>
        <v>-7.6448986225522944E-2</v>
      </c>
    </row>
    <row r="72" spans="1:26" s="24" customFormat="1" hidden="1" outlineLevel="2" x14ac:dyDescent="0.25">
      <c r="A72" s="27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61"/>
        <v>0</v>
      </c>
      <c r="G72" s="2"/>
      <c r="H72" s="6"/>
      <c r="I72" s="2"/>
      <c r="J72" s="7">
        <f t="shared" si="62"/>
        <v>0</v>
      </c>
      <c r="K72" s="2"/>
      <c r="L72" s="6">
        <f t="shared" si="63"/>
        <v>0</v>
      </c>
      <c r="M72" s="2"/>
      <c r="N72" s="7">
        <f t="shared" si="64"/>
        <v>0</v>
      </c>
      <c r="O72" s="11"/>
      <c r="P72" s="6">
        <v>66.930000000000007</v>
      </c>
      <c r="Q72" s="2"/>
      <c r="R72" s="7">
        <f t="shared" si="65"/>
        <v>9.2785437979152295E-5</v>
      </c>
      <c r="S72" s="2"/>
      <c r="T72" s="6">
        <v>161.4</v>
      </c>
      <c r="U72" s="2"/>
      <c r="V72" s="7">
        <f t="shared" si="66"/>
        <v>1.8337464148212521E-4</v>
      </c>
      <c r="W72" s="2"/>
      <c r="X72" s="6">
        <f t="shared" si="67"/>
        <v>-94.47</v>
      </c>
      <c r="Y72" s="2"/>
      <c r="Z72" s="7">
        <f t="shared" si="68"/>
        <v>-0.58531598513011152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6"/>
      <c r="E73" s="2"/>
      <c r="F73" s="7">
        <f t="shared" si="61"/>
        <v>0</v>
      </c>
      <c r="G73" s="2"/>
      <c r="H73" s="6">
        <v>25.26</v>
      </c>
      <c r="I73" s="2"/>
      <c r="J73" s="7">
        <f t="shared" si="62"/>
        <v>2.0996483463066556E-4</v>
      </c>
      <c r="K73" s="2"/>
      <c r="L73" s="6">
        <f t="shared" si="63"/>
        <v>-25.26</v>
      </c>
      <c r="M73" s="2"/>
      <c r="N73" s="7">
        <f t="shared" si="64"/>
        <v>-1</v>
      </c>
      <c r="O73" s="11"/>
      <c r="P73" s="6">
        <v>-1251.8</v>
      </c>
      <c r="Q73" s="2"/>
      <c r="R73" s="7">
        <f t="shared" si="65"/>
        <v>-1.7353774280935729E-3</v>
      </c>
      <c r="S73" s="2"/>
      <c r="T73" s="6">
        <v>576.83000000000004</v>
      </c>
      <c r="U73" s="2"/>
      <c r="V73" s="7">
        <f t="shared" si="66"/>
        <v>6.553655170144628E-4</v>
      </c>
      <c r="W73" s="2"/>
      <c r="X73" s="6">
        <f t="shared" si="67"/>
        <v>-1828.63</v>
      </c>
      <c r="Y73" s="2"/>
      <c r="Z73" s="7">
        <f t="shared" si="68"/>
        <v>-3.170136782067507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61"/>
        <v>0</v>
      </c>
      <c r="G74" s="2"/>
      <c r="H74" s="6"/>
      <c r="I74" s="2"/>
      <c r="J74" s="7">
        <f t="shared" si="62"/>
        <v>0</v>
      </c>
      <c r="K74" s="2"/>
      <c r="L74" s="6">
        <f t="shared" si="63"/>
        <v>0</v>
      </c>
      <c r="M74" s="2"/>
      <c r="N74" s="7">
        <f t="shared" si="64"/>
        <v>0</v>
      </c>
      <c r="O74" s="11"/>
      <c r="P74" s="6">
        <v>134.08000000000001</v>
      </c>
      <c r="Q74" s="2"/>
      <c r="R74" s="7">
        <f t="shared" si="65"/>
        <v>1.8587586320401524E-4</v>
      </c>
      <c r="S74" s="2"/>
      <c r="T74" s="6">
        <v>396.11</v>
      </c>
      <c r="U74" s="2"/>
      <c r="V74" s="7">
        <f t="shared" si="66"/>
        <v>4.500404537638452E-4</v>
      </c>
      <c r="W74" s="2"/>
      <c r="X74" s="6">
        <f t="shared" si="67"/>
        <v>-262.02999999999997</v>
      </c>
      <c r="Y74" s="2"/>
      <c r="Z74" s="7">
        <f t="shared" si="68"/>
        <v>-0.66150816692332925</v>
      </c>
    </row>
    <row r="75" spans="1:26" s="25" customFormat="1" outlineLevel="1" collapsed="1" x14ac:dyDescent="0.25">
      <c r="A75" s="26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SUM(OSRRefD22_15x_0)</f>
        <v>23</v>
      </c>
      <c r="E75" s="1"/>
      <c r="F75" s="5">
        <f t="shared" ref="F75:F82" si="69">IF(D$12=0,0,D75/D$12)</f>
        <v>0</v>
      </c>
      <c r="G75" s="1"/>
      <c r="H75" s="1">
        <f>SUM(OSRRefH22_15x_0)</f>
        <v>90.85</v>
      </c>
      <c r="I75" s="1"/>
      <c r="J75" s="5">
        <f t="shared" ref="J75:J82" si="70">IF(H$12=0,0,H75/H$12)</f>
        <v>7.5515856002359317E-4</v>
      </c>
      <c r="K75" s="1"/>
      <c r="L75" s="1">
        <f t="shared" ref="L75:L82" si="71">+D75-H75</f>
        <v>-67.849999999999994</v>
      </c>
      <c r="M75" s="1"/>
      <c r="N75" s="5">
        <f t="shared" ref="N75:N82" si="72">IF(H75=0,0,L75/H75)</f>
        <v>-0.74683544303797467</v>
      </c>
      <c r="O75" s="13"/>
      <c r="P75" s="1">
        <f>SUM(OSRRefP22_15x_0)</f>
        <v>1485.8</v>
      </c>
      <c r="Q75" s="1"/>
      <c r="R75" s="5">
        <f t="shared" ref="R75:R82" si="73">IF(P$12=0,0,P75/P$12)</f>
        <v>2.059772953076714E-3</v>
      </c>
      <c r="S75" s="1"/>
      <c r="T75" s="1">
        <f>SUM(OSRRefT22_15x_0)</f>
        <v>851.75</v>
      </c>
      <c r="U75" s="1"/>
      <c r="V75" s="5">
        <f t="shared" ref="V75:V82" si="74">IF(T$12=0,0,T75/T$12)</f>
        <v>9.6771592863940611E-4</v>
      </c>
      <c r="W75" s="1"/>
      <c r="X75" s="1">
        <f t="shared" ref="X75:X82" si="75">+P75-T75</f>
        <v>634.04999999999995</v>
      </c>
      <c r="Y75" s="1"/>
      <c r="Z75" s="5">
        <f t="shared" ref="Z75:Z82" si="76">IF(T75=0,0,X75/T75)</f>
        <v>0.74440857058996179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6">
        <v>23</v>
      </c>
      <c r="E76" s="2"/>
      <c r="F76" s="7">
        <f t="shared" si="69"/>
        <v>0</v>
      </c>
      <c r="G76" s="2"/>
      <c r="H76" s="6">
        <v>90.85</v>
      </c>
      <c r="I76" s="2"/>
      <c r="J76" s="7">
        <f t="shared" si="70"/>
        <v>7.5515856002359317E-4</v>
      </c>
      <c r="K76" s="2"/>
      <c r="L76" s="6">
        <f t="shared" si="71"/>
        <v>-67.849999999999994</v>
      </c>
      <c r="M76" s="2"/>
      <c r="N76" s="7">
        <f t="shared" si="72"/>
        <v>-0.74683544303797467</v>
      </c>
      <c r="O76" s="11"/>
      <c r="P76" s="6">
        <v>1485.8</v>
      </c>
      <c r="Q76" s="2"/>
      <c r="R76" s="7">
        <f t="shared" si="73"/>
        <v>2.059772953076714E-3</v>
      </c>
      <c r="S76" s="2"/>
      <c r="T76" s="6">
        <v>851.75</v>
      </c>
      <c r="U76" s="2"/>
      <c r="V76" s="7">
        <f t="shared" si="74"/>
        <v>9.6771592863940611E-4</v>
      </c>
      <c r="W76" s="2"/>
      <c r="X76" s="6">
        <f t="shared" si="75"/>
        <v>634.04999999999995</v>
      </c>
      <c r="Y76" s="2"/>
      <c r="Z76" s="7">
        <f t="shared" si="76"/>
        <v>0.74440857058996179</v>
      </c>
    </row>
    <row r="77" spans="1:26" s="25" customFormat="1" outlineLevel="1" collapsed="1" x14ac:dyDescent="0.25">
      <c r="A77" s="26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SUM(OSRRefD22_16x_0)</f>
        <v>120</v>
      </c>
      <c r="E77" s="1"/>
      <c r="F77" s="5">
        <f t="shared" si="69"/>
        <v>0</v>
      </c>
      <c r="G77" s="1"/>
      <c r="H77" s="1">
        <f>SUM(OSRRefH22_16x_0)</f>
        <v>0</v>
      </c>
      <c r="I77" s="1"/>
      <c r="J77" s="5">
        <f t="shared" si="70"/>
        <v>0</v>
      </c>
      <c r="K77" s="1"/>
      <c r="L77" s="1">
        <f t="shared" si="71"/>
        <v>120</v>
      </c>
      <c r="M77" s="1"/>
      <c r="N77" s="5">
        <f t="shared" si="72"/>
        <v>0</v>
      </c>
      <c r="O77" s="13"/>
      <c r="P77" s="1">
        <f>SUM(OSRRefP22_16x_0)</f>
        <v>585.65</v>
      </c>
      <c r="Q77" s="1"/>
      <c r="R77" s="5">
        <f t="shared" si="73"/>
        <v>8.1188991113836147E-4</v>
      </c>
      <c r="S77" s="1"/>
      <c r="T77" s="1">
        <f>SUM(OSRRefT22_16x_0)</f>
        <v>361.14</v>
      </c>
      <c r="U77" s="1"/>
      <c r="V77" s="5">
        <f t="shared" si="74"/>
        <v>4.1030928144271807E-4</v>
      </c>
      <c r="W77" s="1"/>
      <c r="X77" s="1">
        <f t="shared" si="75"/>
        <v>224.51</v>
      </c>
      <c r="Y77" s="1"/>
      <c r="Z77" s="5">
        <f t="shared" si="76"/>
        <v>0.62167026637868972</v>
      </c>
    </row>
    <row r="78" spans="1:26" s="24" customFormat="1" hidden="1" outlineLevel="2" x14ac:dyDescent="0.25">
      <c r="A78" s="27"/>
      <c r="B78" s="11" t="str">
        <f>CONCATENATE("          ", "6376", " - ", "TRAINING")</f>
        <v xml:space="preserve">          6376 - TRAINING</v>
      </c>
      <c r="C78" s="11"/>
      <c r="D78" s="6">
        <v>120</v>
      </c>
      <c r="E78" s="2"/>
      <c r="F78" s="7">
        <f t="shared" si="69"/>
        <v>0</v>
      </c>
      <c r="G78" s="2"/>
      <c r="H78" s="6"/>
      <c r="I78" s="2"/>
      <c r="J78" s="7">
        <f t="shared" si="70"/>
        <v>0</v>
      </c>
      <c r="K78" s="2"/>
      <c r="L78" s="6">
        <f t="shared" si="71"/>
        <v>120</v>
      </c>
      <c r="M78" s="2"/>
      <c r="N78" s="7">
        <f t="shared" si="72"/>
        <v>0</v>
      </c>
      <c r="O78" s="11"/>
      <c r="P78" s="6">
        <v>585.65</v>
      </c>
      <c r="Q78" s="2"/>
      <c r="R78" s="7">
        <f t="shared" si="73"/>
        <v>8.1188991113836147E-4</v>
      </c>
      <c r="S78" s="2"/>
      <c r="T78" s="6">
        <v>361.14</v>
      </c>
      <c r="U78" s="2"/>
      <c r="V78" s="7">
        <f t="shared" si="74"/>
        <v>4.1030928144271807E-4</v>
      </c>
      <c r="W78" s="2"/>
      <c r="X78" s="6">
        <f t="shared" si="75"/>
        <v>224.51</v>
      </c>
      <c r="Y78" s="2"/>
      <c r="Z78" s="7">
        <f t="shared" si="76"/>
        <v>0.62167026637868972</v>
      </c>
    </row>
    <row r="79" spans="1:26" s="25" customFormat="1" outlineLevel="1" collapsed="1" x14ac:dyDescent="0.25">
      <c r="A79" s="26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SUM(OSRRefD22_17x_0)</f>
        <v>0</v>
      </c>
      <c r="E79" s="1"/>
      <c r="F79" s="5">
        <f t="shared" si="69"/>
        <v>0</v>
      </c>
      <c r="G79" s="1"/>
      <c r="H79" s="1">
        <f>SUM(OSRRefH22_17x_0)</f>
        <v>6.78</v>
      </c>
      <c r="I79" s="1"/>
      <c r="J79" s="5">
        <f t="shared" si="70"/>
        <v>5.6356357038634694E-5</v>
      </c>
      <c r="K79" s="1"/>
      <c r="L79" s="1">
        <f t="shared" si="71"/>
        <v>-6.78</v>
      </c>
      <c r="M79" s="1"/>
      <c r="N79" s="5">
        <f t="shared" si="72"/>
        <v>-1</v>
      </c>
      <c r="O79" s="13"/>
      <c r="P79" s="1">
        <f>SUM(OSRRefP22_17x_0)</f>
        <v>0</v>
      </c>
      <c r="Q79" s="1"/>
      <c r="R79" s="5">
        <f t="shared" si="73"/>
        <v>0</v>
      </c>
      <c r="S79" s="1"/>
      <c r="T79" s="1">
        <f>SUM(OSRRefT22_17x_0)</f>
        <v>6.78</v>
      </c>
      <c r="U79" s="1"/>
      <c r="V79" s="5">
        <f t="shared" si="74"/>
        <v>7.7030983224833276E-6</v>
      </c>
      <c r="W79" s="1"/>
      <c r="X79" s="1">
        <f t="shared" si="75"/>
        <v>-6.78</v>
      </c>
      <c r="Y79" s="1"/>
      <c r="Z79" s="5">
        <f t="shared" si="76"/>
        <v>-1</v>
      </c>
    </row>
    <row r="80" spans="1:26" s="24" customFormat="1" hidden="1" outlineLevel="2" x14ac:dyDescent="0.25">
      <c r="A80" s="27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69"/>
        <v>0</v>
      </c>
      <c r="G80" s="2"/>
      <c r="H80" s="6">
        <v>6.78</v>
      </c>
      <c r="I80" s="2"/>
      <c r="J80" s="7">
        <f t="shared" si="70"/>
        <v>5.6356357038634694E-5</v>
      </c>
      <c r="K80" s="2"/>
      <c r="L80" s="6">
        <f t="shared" si="71"/>
        <v>-6.78</v>
      </c>
      <c r="M80" s="2"/>
      <c r="N80" s="7">
        <f t="shared" si="72"/>
        <v>-1</v>
      </c>
      <c r="O80" s="11"/>
      <c r="P80" s="6"/>
      <c r="Q80" s="2"/>
      <c r="R80" s="7">
        <f t="shared" si="73"/>
        <v>0</v>
      </c>
      <c r="S80" s="2"/>
      <c r="T80" s="6">
        <v>6.78</v>
      </c>
      <c r="U80" s="2"/>
      <c r="V80" s="7">
        <f t="shared" si="74"/>
        <v>7.7030983224833276E-6</v>
      </c>
      <c r="W80" s="2"/>
      <c r="X80" s="6">
        <f t="shared" si="75"/>
        <v>-6.78</v>
      </c>
      <c r="Y80" s="2"/>
      <c r="Z80" s="7">
        <f t="shared" si="76"/>
        <v>-1</v>
      </c>
    </row>
    <row r="81" spans="1:26" s="25" customFormat="1" outlineLevel="1" collapsed="1" x14ac:dyDescent="0.25">
      <c r="A81" s="26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SUM(OSRRefD22_18x_0)</f>
        <v>348</v>
      </c>
      <c r="E81" s="1"/>
      <c r="F81" s="5">
        <f t="shared" si="69"/>
        <v>0</v>
      </c>
      <c r="G81" s="1"/>
      <c r="H81" s="1">
        <f>SUM(OSRRefH22_18x_0)</f>
        <v>306</v>
      </c>
      <c r="I81" s="1"/>
      <c r="J81" s="5">
        <f t="shared" si="70"/>
        <v>2.5435169990888225E-3</v>
      </c>
      <c r="K81" s="1"/>
      <c r="L81" s="1">
        <f t="shared" si="71"/>
        <v>42</v>
      </c>
      <c r="M81" s="1"/>
      <c r="N81" s="5">
        <f t="shared" si="72"/>
        <v>0.13725490196078433</v>
      </c>
      <c r="O81" s="13"/>
      <c r="P81" s="1">
        <f>SUM(OSRRefP22_18x_0)</f>
        <v>3476</v>
      </c>
      <c r="Q81" s="1"/>
      <c r="R81" s="5">
        <f t="shared" si="73"/>
        <v>4.8187984822281992E-3</v>
      </c>
      <c r="S81" s="1"/>
      <c r="T81" s="1">
        <f>SUM(OSRRefT22_18x_0)</f>
        <v>2607.9</v>
      </c>
      <c r="U81" s="1"/>
      <c r="V81" s="5">
        <f t="shared" si="74"/>
        <v>2.962966093687945E-3</v>
      </c>
      <c r="W81" s="1"/>
      <c r="X81" s="1">
        <f t="shared" si="75"/>
        <v>868.09999999999991</v>
      </c>
      <c r="Y81" s="1"/>
      <c r="Z81" s="5">
        <f t="shared" si="76"/>
        <v>0.33287319299052875</v>
      </c>
    </row>
    <row r="82" spans="1:26" s="24" customFormat="1" hidden="1" outlineLevel="2" x14ac:dyDescent="0.25">
      <c r="A82" s="27"/>
      <c r="B82" s="11" t="str">
        <f>CONCATENATE("          ", "6274", " - ", "UTILITIES")</f>
        <v xml:space="preserve">          6274 - UTILITIES</v>
      </c>
      <c r="C82" s="11"/>
      <c r="D82" s="6">
        <v>348</v>
      </c>
      <c r="E82" s="2"/>
      <c r="F82" s="7">
        <f t="shared" si="69"/>
        <v>0</v>
      </c>
      <c r="G82" s="2"/>
      <c r="H82" s="6">
        <v>306</v>
      </c>
      <c r="I82" s="2"/>
      <c r="J82" s="7">
        <f t="shared" si="70"/>
        <v>2.5435169990888225E-3</v>
      </c>
      <c r="K82" s="2"/>
      <c r="L82" s="6">
        <f t="shared" si="71"/>
        <v>42</v>
      </c>
      <c r="M82" s="2"/>
      <c r="N82" s="7">
        <f t="shared" si="72"/>
        <v>0.13725490196078433</v>
      </c>
      <c r="O82" s="11"/>
      <c r="P82" s="6">
        <v>3476</v>
      </c>
      <c r="Q82" s="2"/>
      <c r="R82" s="7">
        <f t="shared" si="73"/>
        <v>4.8187984822281992E-3</v>
      </c>
      <c r="S82" s="2"/>
      <c r="T82" s="6">
        <v>2607.9</v>
      </c>
      <c r="U82" s="2"/>
      <c r="V82" s="7">
        <f t="shared" si="74"/>
        <v>2.962966093687945E-3</v>
      </c>
      <c r="W82" s="2"/>
      <c r="X82" s="6">
        <f t="shared" si="75"/>
        <v>868.09999999999991</v>
      </c>
      <c r="Y82" s="2"/>
      <c r="Z82" s="7">
        <f t="shared" si="76"/>
        <v>0.33287319299052875</v>
      </c>
    </row>
    <row r="83" spans="1:26" s="53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1">
        <f>+D20-D22+D84</f>
        <v>-15567.779999999999</v>
      </c>
      <c r="E86" s="14"/>
      <c r="F86" s="20">
        <f>IF(D$12=0,0,D86/D$12)</f>
        <v>0</v>
      </c>
      <c r="G86" s="14"/>
      <c r="H86" s="21">
        <f>+H20-H22+H84</f>
        <v>19831.149999999987</v>
      </c>
      <c r="I86" s="14"/>
      <c r="J86" s="20">
        <f>IF(H$12=0,0,H86/H$12)</f>
        <v>0.16483943508653681</v>
      </c>
      <c r="K86" s="15"/>
      <c r="L86" s="21">
        <f>+D86-H86</f>
        <v>-35398.929999999986</v>
      </c>
      <c r="M86" s="15"/>
      <c r="N86" s="20">
        <f>IF(H86=0,0,L86/H86)</f>
        <v>-1.7850165018165869</v>
      </c>
      <c r="O86" s="29"/>
      <c r="P86" s="21">
        <f>+P20-P22+P84</f>
        <v>-82497.299999999988</v>
      </c>
      <c r="Q86" s="14"/>
      <c r="R86" s="20">
        <f>IF(P$12=0,0,P86/P$12)</f>
        <v>-0.11436647411620378</v>
      </c>
      <c r="S86" s="14"/>
      <c r="T86" s="21">
        <f>+T20-T22+T84</f>
        <v>66910.119999999821</v>
      </c>
      <c r="U86" s="14"/>
      <c r="V86" s="20">
        <f>IF(T$12=0,0,T86/T$12)</f>
        <v>7.6019945889256146E-2</v>
      </c>
      <c r="W86" s="15"/>
      <c r="X86" s="21">
        <f>+P86-T86</f>
        <v>-149407.41999999981</v>
      </c>
      <c r="Y86" s="15"/>
      <c r="Z86" s="20">
        <f>IF(T86=0,0,X86/T86)</f>
        <v>-2.2329569876724209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4609.68</v>
      </c>
      <c r="E88" s="4"/>
      <c r="F88" s="12">
        <f>IF(D$12=0,0,D88/D$12)</f>
        <v>0</v>
      </c>
      <c r="G88" s="4"/>
      <c r="H88" s="4">
        <v>13256.13</v>
      </c>
      <c r="I88" s="4"/>
      <c r="J88" s="12">
        <f>IF(H$12=0,0,H88/H$12)</f>
        <v>0.11018690195140951</v>
      </c>
      <c r="K88" s="4"/>
      <c r="L88" s="4">
        <f>+D88-H88</f>
        <v>-8646.4499999999989</v>
      </c>
      <c r="M88" s="4"/>
      <c r="N88" s="12">
        <f>IF(H88=0,0,L88/H88)</f>
        <v>-0.65226050136804625</v>
      </c>
      <c r="O88" s="10"/>
      <c r="P88" s="4">
        <v>81903.180000000008</v>
      </c>
      <c r="Q88" s="4"/>
      <c r="R88" s="12">
        <f>IF(P$12=0,0,P88/P$12)</f>
        <v>0.11354284219610558</v>
      </c>
      <c r="S88" s="4"/>
      <c r="T88" s="4">
        <v>91500.71</v>
      </c>
      <c r="U88" s="4"/>
      <c r="V88" s="12">
        <f>IF(T$12=0,0,T88/T$12)</f>
        <v>0.10395854951431172</v>
      </c>
      <c r="W88" s="4"/>
      <c r="X88" s="4">
        <f>+P88-T88</f>
        <v>-9597.5299999999988</v>
      </c>
      <c r="Y88" s="4"/>
      <c r="Z88" s="12">
        <f>IF(T88=0,0,X88/T88)</f>
        <v>-0.1048902243490788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0">
        <f>+D86-D88</f>
        <v>-20177.46</v>
      </c>
      <c r="E90" s="14"/>
      <c r="F90" s="36">
        <f>IF(D$12=0,0,D90/D$12)</f>
        <v>0</v>
      </c>
      <c r="G90" s="14"/>
      <c r="H90" s="30">
        <f>+H86-H88</f>
        <v>6575.0199999999877</v>
      </c>
      <c r="I90" s="14"/>
      <c r="J90" s="36">
        <f>IF(H$12=0,0,H90/H$12)</f>
        <v>5.4652533135127315E-2</v>
      </c>
      <c r="K90" s="15"/>
      <c r="L90" s="30">
        <f>D90-H90</f>
        <v>-26752.479999999989</v>
      </c>
      <c r="M90" s="15"/>
      <c r="N90" s="36">
        <f>IF(H90=0,0,L90/H90)</f>
        <v>-4.0688058743547604</v>
      </c>
      <c r="O90" s="29"/>
      <c r="P90" s="30">
        <f>+P86-P88</f>
        <v>-164400.47999999998</v>
      </c>
      <c r="Q90" s="14"/>
      <c r="R90" s="36">
        <f>IF(P$12=0,0,P90/P$12)</f>
        <v>-0.22790931631230935</v>
      </c>
      <c r="S90" s="14"/>
      <c r="T90" s="30">
        <f>+T86-T88</f>
        <v>-24590.590000000186</v>
      </c>
      <c r="U90" s="14"/>
      <c r="V90" s="36">
        <f>IF(T$12=0,0,T90/T$12)</f>
        <v>-2.7938603625055559E-2</v>
      </c>
      <c r="W90" s="15"/>
      <c r="X90" s="30">
        <f>P90-T90</f>
        <v>-139809.88999999978</v>
      </c>
      <c r="Y90" s="15"/>
      <c r="Z90" s="36">
        <f>IF(T90=0,0,X90/T90)</f>
        <v>5.6855036825061429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1">
        <f>SUM(D90:D92)</f>
        <v>-20177.46</v>
      </c>
      <c r="E93" s="14"/>
      <c r="F93" s="32">
        <f>IF(D$12=0,0,D93/D$12)</f>
        <v>0</v>
      </c>
      <c r="G93" s="14"/>
      <c r="H93" s="31">
        <f>SUM(H90:H92)</f>
        <v>6575.0199999999877</v>
      </c>
      <c r="I93" s="14"/>
      <c r="J93" s="32">
        <f>IF(H$12=0,0,H93/H$12)</f>
        <v>5.4652533135127315E-2</v>
      </c>
      <c r="K93" s="15"/>
      <c r="L93" s="31">
        <f>+D93-H93</f>
        <v>-26752.479999999989</v>
      </c>
      <c r="M93" s="15"/>
      <c r="N93" s="32">
        <f>IF(H93=0,0,L93/H93)</f>
        <v>-4.0688058743547604</v>
      </c>
      <c r="O93" s="29"/>
      <c r="P93" s="31">
        <f>SUM(P90:P92)</f>
        <v>-164400.47999999998</v>
      </c>
      <c r="Q93" s="14"/>
      <c r="R93" s="32">
        <f>IF(P$12=0,0,P93/P$12)</f>
        <v>-0.22790931631230935</v>
      </c>
      <c r="S93" s="14"/>
      <c r="T93" s="31">
        <f>SUM(T90:T92)</f>
        <v>-24590.590000000186</v>
      </c>
      <c r="U93" s="14"/>
      <c r="V93" s="32">
        <f>IF(T$12=0,0,T93/T$12)</f>
        <v>-2.7938603625055559E-2</v>
      </c>
      <c r="W93" s="15"/>
      <c r="X93" s="31">
        <f>+P93-T93</f>
        <v>-139809.88999999978</v>
      </c>
      <c r="Y93" s="15"/>
      <c r="Z93" s="32">
        <f>IF(T93=0,0,X93/T93)</f>
        <v>5.6855036825061429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4">
        <v>43965.471221064814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9" t="s">
        <v>313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1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","406", " - ", "OPA! Greek")</f>
        <v>Department 406 - OPA! Greek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31473.270000000004</v>
      </c>
      <c r="I12" s="4"/>
      <c r="J12" s="12"/>
      <c r="K12" s="4"/>
      <c r="L12" s="4">
        <f t="shared" ref="L12:L14" si="0">+D12-H12</f>
        <v>-31473.270000000004</v>
      </c>
      <c r="M12" s="4"/>
      <c r="N12" s="12">
        <f t="shared" ref="N12:N14" si="1">IF(H12=0,0,L12/H12)</f>
        <v>-1</v>
      </c>
      <c r="O12" s="10"/>
      <c r="P12" s="4">
        <f>SUM(OSRRefP13x_0)</f>
        <v>189965.58000000002</v>
      </c>
      <c r="Q12" s="4"/>
      <c r="R12" s="12"/>
      <c r="S12" s="4"/>
      <c r="T12" s="4">
        <f>SUM(OSRRefT13x_0)</f>
        <v>228873.42</v>
      </c>
      <c r="U12" s="4"/>
      <c r="V12" s="12"/>
      <c r="W12" s="4"/>
      <c r="X12" s="4">
        <f t="shared" ref="X12:X14" si="2">+P12-T12</f>
        <v>-38907.839999999997</v>
      </c>
      <c r="Y12" s="4"/>
      <c r="Z12" s="12">
        <f t="shared" ref="Z12:Z14" si="3">IF(T12=0,0,X12/T12)</f>
        <v>-0.16999719757759549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--8641.44</f>
        <v>8641.44</v>
      </c>
      <c r="I13" s="2"/>
      <c r="J13" s="19"/>
      <c r="K13" s="2"/>
      <c r="L13" s="2">
        <f t="shared" si="0"/>
        <v>-8641.44</v>
      </c>
      <c r="M13" s="2"/>
      <c r="N13" s="19">
        <f t="shared" si="1"/>
        <v>-1</v>
      </c>
      <c r="O13" s="11"/>
      <c r="P13" s="2">
        <f>--43841.85</f>
        <v>43841.85</v>
      </c>
      <c r="Q13" s="2"/>
      <c r="R13" s="19"/>
      <c r="S13" s="2"/>
      <c r="T13" s="2">
        <f>--58007.13</f>
        <v>58007.13</v>
      </c>
      <c r="U13" s="2"/>
      <c r="V13" s="19"/>
      <c r="W13" s="2"/>
      <c r="X13" s="2">
        <f t="shared" si="2"/>
        <v>-14165.279999999999</v>
      </c>
      <c r="Y13" s="2"/>
      <c r="Z13" s="19">
        <f t="shared" si="3"/>
        <v>-0.24419894588820373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--22831.83</f>
        <v>22831.83</v>
      </c>
      <c r="I14" s="2"/>
      <c r="J14" s="19"/>
      <c r="K14" s="2"/>
      <c r="L14" s="2">
        <f t="shared" si="0"/>
        <v>-22831.83</v>
      </c>
      <c r="M14" s="2"/>
      <c r="N14" s="19">
        <f t="shared" si="1"/>
        <v>-1</v>
      </c>
      <c r="O14" s="11"/>
      <c r="P14" s="2">
        <f>--146123.73</f>
        <v>146123.73000000001</v>
      </c>
      <c r="Q14" s="2"/>
      <c r="R14" s="19"/>
      <c r="S14" s="2"/>
      <c r="T14" s="2">
        <f>--170866.29</f>
        <v>170866.29</v>
      </c>
      <c r="U14" s="2"/>
      <c r="V14" s="19"/>
      <c r="W14" s="2"/>
      <c r="X14" s="2">
        <f t="shared" si="2"/>
        <v>-24742.559999999998</v>
      </c>
      <c r="Y14" s="2"/>
      <c r="Z14" s="19">
        <f t="shared" si="3"/>
        <v>-0.14480656190287736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4501</v>
      </c>
      <c r="E16" s="4"/>
      <c r="F16" s="12">
        <f t="shared" ref="F16:F18" si="5">IF(D$12=0,0,D16/D$12)</f>
        <v>0</v>
      </c>
      <c r="G16" s="4"/>
      <c r="H16" s="4">
        <f>SUM(OSRRefH16x_0)</f>
        <v>10198.33</v>
      </c>
      <c r="I16" s="4"/>
      <c r="J16" s="12">
        <f t="shared" ref="J16:J18" si="6">IF(H$12=0,0,H16/H$12)</f>
        <v>0.32403147178542296</v>
      </c>
      <c r="K16" s="4"/>
      <c r="L16" s="4">
        <f t="shared" ref="L16:L18" si="7">+D16-H16</f>
        <v>-5697.33</v>
      </c>
      <c r="M16" s="4"/>
      <c r="N16" s="12">
        <f t="shared" ref="N16:N18" si="8">IF(H16=0,0,L16/H16)</f>
        <v>-0.55865323047989224</v>
      </c>
      <c r="O16" s="10"/>
      <c r="P16" s="4">
        <f>SUM(OSRRefP16x_0)</f>
        <v>71171.56</v>
      </c>
      <c r="Q16" s="4"/>
      <c r="R16" s="12">
        <f t="shared" ref="R16:R18" si="9">IF(P$12=0,0,P16/P$12)</f>
        <v>0.37465502961115371</v>
      </c>
      <c r="S16" s="4"/>
      <c r="T16" s="4">
        <f>SUM(OSRRefT16x_0)</f>
        <v>75009.439999999988</v>
      </c>
      <c r="U16" s="4"/>
      <c r="V16" s="12">
        <f t="shared" ref="V16:V18" si="10">IF(T$12=0,0,T16/T$12)</f>
        <v>0.32773329467440993</v>
      </c>
      <c r="W16" s="4"/>
      <c r="X16" s="4">
        <f t="shared" ref="X16:X18" si="11">+P16-T16</f>
        <v>-3837.8799999999901</v>
      </c>
      <c r="Y16" s="4"/>
      <c r="Z16" s="12">
        <f t="shared" ref="Z16:Z18" si="12">IF(T16=0,0,X16/T16)</f>
        <v>-5.1165293328412943E-2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9758.33</v>
      </c>
      <c r="I17" s="2"/>
      <c r="J17" s="19">
        <f t="shared" si="6"/>
        <v>0.31005135468923306</v>
      </c>
      <c r="K17" s="2"/>
      <c r="L17" s="2">
        <f t="shared" si="7"/>
        <v>-9758.33</v>
      </c>
      <c r="M17" s="2"/>
      <c r="N17" s="19">
        <f t="shared" si="8"/>
        <v>-1</v>
      </c>
      <c r="O17" s="11"/>
      <c r="P17" s="2">
        <v>69616.179999999993</v>
      </c>
      <c r="Q17" s="2"/>
      <c r="R17" s="19">
        <f t="shared" si="9"/>
        <v>0.36646733581946783</v>
      </c>
      <c r="S17" s="2"/>
      <c r="T17" s="2">
        <v>78638.439999999988</v>
      </c>
      <c r="U17" s="2"/>
      <c r="V17" s="19">
        <f t="shared" si="10"/>
        <v>0.3435892206268425</v>
      </c>
      <c r="W17" s="2"/>
      <c r="X17" s="2">
        <f t="shared" si="11"/>
        <v>-9022.2599999999948</v>
      </c>
      <c r="Y17" s="2"/>
      <c r="Z17" s="19">
        <f t="shared" si="12"/>
        <v>-0.11473091276988705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4501</v>
      </c>
      <c r="E18" s="2"/>
      <c r="F18" s="19">
        <f t="shared" si="5"/>
        <v>0</v>
      </c>
      <c r="G18" s="2"/>
      <c r="H18" s="2">
        <v>440</v>
      </c>
      <c r="I18" s="2"/>
      <c r="J18" s="19">
        <f t="shared" si="6"/>
        <v>1.3980117096189876E-2</v>
      </c>
      <c r="K18" s="2"/>
      <c r="L18" s="2">
        <f t="shared" si="7"/>
        <v>4061</v>
      </c>
      <c r="M18" s="2"/>
      <c r="N18" s="19">
        <f t="shared" si="8"/>
        <v>9.2295454545454554</v>
      </c>
      <c r="O18" s="11"/>
      <c r="P18" s="2">
        <v>1555.38</v>
      </c>
      <c r="Q18" s="2"/>
      <c r="R18" s="19">
        <f t="shared" si="9"/>
        <v>8.1876937916858412E-3</v>
      </c>
      <c r="S18" s="2"/>
      <c r="T18" s="2">
        <v>-3629</v>
      </c>
      <c r="U18" s="2"/>
      <c r="V18" s="19">
        <f t="shared" si="10"/>
        <v>-1.585592595243257E-2</v>
      </c>
      <c r="W18" s="2"/>
      <c r="X18" s="2">
        <f t="shared" si="11"/>
        <v>5184.38</v>
      </c>
      <c r="Y18" s="2"/>
      <c r="Z18" s="19">
        <f t="shared" si="12"/>
        <v>-1.4285974097547534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-4501</v>
      </c>
      <c r="E20" s="14"/>
      <c r="F20" s="20">
        <f>IF(D$12=0,0,D20/D$12)</f>
        <v>0</v>
      </c>
      <c r="G20" s="14"/>
      <c r="H20" s="21">
        <f>H12-H16</f>
        <v>21274.940000000002</v>
      </c>
      <c r="I20" s="14"/>
      <c r="J20" s="20">
        <f>IF(H$12=0,0,H20/H$12)</f>
        <v>0.67596852821457698</v>
      </c>
      <c r="K20" s="15"/>
      <c r="L20" s="21">
        <f>+D20-H20</f>
        <v>-25775.940000000002</v>
      </c>
      <c r="M20" s="15"/>
      <c r="N20" s="20">
        <f>IF(H20=0,0,L20/H20)</f>
        <v>-1.2115634638687582</v>
      </c>
      <c r="O20" s="29"/>
      <c r="P20" s="21">
        <f>P12-P16</f>
        <v>118794.02000000002</v>
      </c>
      <c r="Q20" s="14"/>
      <c r="R20" s="20">
        <f>IF(P$12=0,0,P20/P$12)</f>
        <v>0.62534497038884629</v>
      </c>
      <c r="S20" s="14"/>
      <c r="T20" s="21">
        <f>T12-T16</f>
        <v>153863.98000000004</v>
      </c>
      <c r="U20" s="14"/>
      <c r="V20" s="20">
        <f>IF(T$12=0,0,T20/T$12)</f>
        <v>0.67226670532559019</v>
      </c>
      <c r="W20" s="15"/>
      <c r="X20" s="21">
        <f>+P20-T20</f>
        <v>-35069.960000000021</v>
      </c>
      <c r="Y20" s="15"/>
      <c r="Z20" s="20">
        <f>IF(T20=0,0,X20/T20)</f>
        <v>-0.22792832994440942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1324.1799999999998</v>
      </c>
      <c r="E22" s="22"/>
      <c r="F22" s="35">
        <f t="shared" ref="F22:F31" si="13">IF(D$12=0,0,D22/D$12)</f>
        <v>0</v>
      </c>
      <c r="G22" s="22"/>
      <c r="H22" s="22">
        <f>SUM(OSRRefH22x_0)</f>
        <v>18479.420000000002</v>
      </c>
      <c r="I22" s="22"/>
      <c r="J22" s="35">
        <f t="shared" ref="J22:J31" si="14">IF(H$12=0,0,H22/H$12)</f>
        <v>0.58714648970380257</v>
      </c>
      <c r="K22" s="4"/>
      <c r="L22" s="22">
        <f t="shared" ref="L22:L31" si="15">+D22-H22</f>
        <v>-17155.240000000002</v>
      </c>
      <c r="M22" s="4"/>
      <c r="N22" s="35">
        <f t="shared" ref="N22:N31" si="16">IF(H22=0,0,L22/H22)</f>
        <v>-0.92834298911978841</v>
      </c>
      <c r="O22" s="10"/>
      <c r="P22" s="22">
        <f>SUM(OSRRefP22x_0)</f>
        <v>184739.94000000006</v>
      </c>
      <c r="Q22" s="22"/>
      <c r="R22" s="35">
        <f t="shared" ref="R22:R31" si="17">IF(P$12=0,0,P22/P$12)</f>
        <v>0.97249164822385215</v>
      </c>
      <c r="S22" s="22"/>
      <c r="T22" s="22">
        <f>SUM(OSRRefT22x_0)</f>
        <v>178502.75000000003</v>
      </c>
      <c r="U22" s="22"/>
      <c r="V22" s="35">
        <f t="shared" ref="V22:V31" si="18">IF(T$12=0,0,T22/T$12)</f>
        <v>0.77991909239613766</v>
      </c>
      <c r="W22" s="4"/>
      <c r="X22" s="22">
        <f t="shared" ref="X22:X31" si="19">+P22-T22</f>
        <v>6237.1900000000314</v>
      </c>
      <c r="Y22" s="4"/>
      <c r="Z22" s="35">
        <f t="shared" ref="Z22:Z31" si="20">IF(T22=0,0,X22/T22)</f>
        <v>3.4941702578811983E-2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692.02</v>
      </c>
      <c r="E23" s="1"/>
      <c r="F23" s="5">
        <f t="shared" si="13"/>
        <v>0</v>
      </c>
      <c r="G23" s="1"/>
      <c r="H23" s="1">
        <f>SUM(OSRRefH22_0x_0)</f>
        <v>1856.2799999999997</v>
      </c>
      <c r="I23" s="1"/>
      <c r="J23" s="5">
        <f t="shared" si="14"/>
        <v>5.8979572189353048E-2</v>
      </c>
      <c r="K23" s="1"/>
      <c r="L23" s="1">
        <f t="shared" si="15"/>
        <v>-1164.2599999999998</v>
      </c>
      <c r="M23" s="1"/>
      <c r="N23" s="5">
        <f t="shared" si="16"/>
        <v>-0.62720063783480939</v>
      </c>
      <c r="O23" s="13"/>
      <c r="P23" s="1">
        <f>SUM(OSRRefP22_0x_0)</f>
        <v>20098.699999999997</v>
      </c>
      <c r="Q23" s="1"/>
      <c r="R23" s="5">
        <f t="shared" si="17"/>
        <v>0.10580179841000667</v>
      </c>
      <c r="S23" s="1"/>
      <c r="T23" s="1">
        <f>SUM(OSRRefT22_0x_0)</f>
        <v>19211.300000000003</v>
      </c>
      <c r="U23" s="1"/>
      <c r="V23" s="5">
        <f t="shared" si="18"/>
        <v>8.393853685587431E-2</v>
      </c>
      <c r="W23" s="1"/>
      <c r="X23" s="1">
        <f t="shared" si="19"/>
        <v>887.39999999999418</v>
      </c>
      <c r="Y23" s="1"/>
      <c r="Z23" s="5">
        <f t="shared" si="20"/>
        <v>4.6191564339737243E-2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>
        <v>31.22</v>
      </c>
      <c r="E24" s="2"/>
      <c r="F24" s="7">
        <f t="shared" si="13"/>
        <v>0</v>
      </c>
      <c r="G24" s="2"/>
      <c r="H24" s="6">
        <v>527.67999999999995</v>
      </c>
      <c r="I24" s="2"/>
      <c r="J24" s="7">
        <f t="shared" si="14"/>
        <v>1.676597315753971E-2</v>
      </c>
      <c r="K24" s="2"/>
      <c r="L24" s="6">
        <f t="shared" si="15"/>
        <v>-496.45999999999992</v>
      </c>
      <c r="M24" s="2"/>
      <c r="N24" s="7">
        <f t="shared" si="16"/>
        <v>-0.94083535476046087</v>
      </c>
      <c r="O24" s="11"/>
      <c r="P24" s="6">
        <v>6831.57</v>
      </c>
      <c r="Q24" s="2"/>
      <c r="R24" s="7">
        <f t="shared" si="17"/>
        <v>3.5962146405680434E-2</v>
      </c>
      <c r="S24" s="2"/>
      <c r="T24" s="6">
        <v>5545.39</v>
      </c>
      <c r="U24" s="2"/>
      <c r="V24" s="7">
        <f t="shared" si="18"/>
        <v>2.4229069500512554E-2</v>
      </c>
      <c r="W24" s="2"/>
      <c r="X24" s="6">
        <f t="shared" si="19"/>
        <v>1286.1799999999994</v>
      </c>
      <c r="Y24" s="2"/>
      <c r="Z24" s="7">
        <f t="shared" si="20"/>
        <v>0.23193679795289407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441.89</v>
      </c>
      <c r="I25" s="2"/>
      <c r="J25" s="7">
        <f t="shared" si="14"/>
        <v>1.4040168053716691E-2</v>
      </c>
      <c r="K25" s="2"/>
      <c r="L25" s="6">
        <f t="shared" si="15"/>
        <v>-441.89</v>
      </c>
      <c r="M25" s="2"/>
      <c r="N25" s="7">
        <f t="shared" si="16"/>
        <v>-1</v>
      </c>
      <c r="O25" s="11"/>
      <c r="P25" s="6">
        <v>4016.54</v>
      </c>
      <c r="Q25" s="2"/>
      <c r="R25" s="7">
        <f t="shared" si="17"/>
        <v>2.1143514525105021E-2</v>
      </c>
      <c r="S25" s="2"/>
      <c r="T25" s="6">
        <v>3986.83</v>
      </c>
      <c r="U25" s="2"/>
      <c r="V25" s="7">
        <f t="shared" si="18"/>
        <v>1.7419366565152038E-2</v>
      </c>
      <c r="W25" s="2"/>
      <c r="X25" s="6">
        <f t="shared" si="19"/>
        <v>29.710000000000036</v>
      </c>
      <c r="Y25" s="2"/>
      <c r="Z25" s="7">
        <f t="shared" si="20"/>
        <v>7.4520358279635797E-3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>
        <v>660.8</v>
      </c>
      <c r="E26" s="2"/>
      <c r="F26" s="7">
        <f t="shared" si="13"/>
        <v>0</v>
      </c>
      <c r="G26" s="2"/>
      <c r="H26" s="6">
        <v>34.97</v>
      </c>
      <c r="I26" s="2"/>
      <c r="J26" s="7">
        <f t="shared" si="14"/>
        <v>1.1111015792130909E-3</v>
      </c>
      <c r="K26" s="2"/>
      <c r="L26" s="6">
        <f t="shared" si="15"/>
        <v>625.82999999999993</v>
      </c>
      <c r="M26" s="2"/>
      <c r="N26" s="7">
        <f t="shared" si="16"/>
        <v>17.896196740062909</v>
      </c>
      <c r="O26" s="11"/>
      <c r="P26" s="6">
        <v>942.72</v>
      </c>
      <c r="Q26" s="2"/>
      <c r="R26" s="7">
        <f t="shared" si="17"/>
        <v>4.9625832216552068E-3</v>
      </c>
      <c r="S26" s="2"/>
      <c r="T26" s="6">
        <v>329.3</v>
      </c>
      <c r="U26" s="2"/>
      <c r="V26" s="7">
        <f t="shared" si="18"/>
        <v>1.4387865572157744E-3</v>
      </c>
      <c r="W26" s="2"/>
      <c r="X26" s="6">
        <f t="shared" si="19"/>
        <v>613.42000000000007</v>
      </c>
      <c r="Y26" s="2"/>
      <c r="Z26" s="7">
        <f t="shared" si="20"/>
        <v>1.8627998785302158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32.83</v>
      </c>
      <c r="I27" s="2"/>
      <c r="J27" s="7">
        <f t="shared" si="14"/>
        <v>1.0431073733361673E-3</v>
      </c>
      <c r="K27" s="2"/>
      <c r="L27" s="6">
        <f t="shared" si="15"/>
        <v>-32.83</v>
      </c>
      <c r="M27" s="2"/>
      <c r="N27" s="7">
        <f t="shared" si="16"/>
        <v>-1</v>
      </c>
      <c r="O27" s="11"/>
      <c r="P27" s="6">
        <v>319.64</v>
      </c>
      <c r="Q27" s="2"/>
      <c r="R27" s="7">
        <f t="shared" si="17"/>
        <v>1.6826206094809383E-3</v>
      </c>
      <c r="S27" s="2"/>
      <c r="T27" s="6">
        <v>329.29</v>
      </c>
      <c r="U27" s="2"/>
      <c r="V27" s="7">
        <f t="shared" si="18"/>
        <v>1.4387428649425521E-3</v>
      </c>
      <c r="W27" s="2"/>
      <c r="X27" s="6">
        <f t="shared" si="19"/>
        <v>-9.6500000000000341</v>
      </c>
      <c r="Y27" s="2"/>
      <c r="Z27" s="7">
        <f t="shared" si="20"/>
        <v>-2.9305475416805955E-2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300</v>
      </c>
      <c r="I28" s="2"/>
      <c r="J28" s="7">
        <f t="shared" si="14"/>
        <v>9.5318980201294611E-3</v>
      </c>
      <c r="K28" s="2"/>
      <c r="L28" s="6">
        <f t="shared" si="15"/>
        <v>-300</v>
      </c>
      <c r="M28" s="2"/>
      <c r="N28" s="7">
        <f t="shared" si="16"/>
        <v>-1</v>
      </c>
      <c r="O28" s="11"/>
      <c r="P28" s="6">
        <v>2839.06</v>
      </c>
      <c r="Q28" s="2"/>
      <c r="R28" s="7">
        <f t="shared" si="17"/>
        <v>1.4945128480643702E-2</v>
      </c>
      <c r="S28" s="2"/>
      <c r="T28" s="6">
        <v>3180.24</v>
      </c>
      <c r="U28" s="2"/>
      <c r="V28" s="7">
        <f t="shared" si="18"/>
        <v>1.3895191499301228E-2</v>
      </c>
      <c r="W28" s="2"/>
      <c r="X28" s="6">
        <f t="shared" si="19"/>
        <v>-341.17999999999984</v>
      </c>
      <c r="Y28" s="2"/>
      <c r="Z28" s="7">
        <f t="shared" si="20"/>
        <v>-0.10728121148089448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>
        <v>168.8</v>
      </c>
      <c r="I29" s="2"/>
      <c r="J29" s="7">
        <f t="shared" si="14"/>
        <v>5.3632812859928441E-3</v>
      </c>
      <c r="K29" s="2"/>
      <c r="L29" s="6">
        <f t="shared" si="15"/>
        <v>-168.8</v>
      </c>
      <c r="M29" s="2"/>
      <c r="N29" s="7">
        <f t="shared" si="16"/>
        <v>-1</v>
      </c>
      <c r="O29" s="11"/>
      <c r="P29" s="6">
        <v>1634.87</v>
      </c>
      <c r="Q29" s="2"/>
      <c r="R29" s="7">
        <f t="shared" si="17"/>
        <v>8.6061380172134331E-3</v>
      </c>
      <c r="S29" s="2"/>
      <c r="T29" s="6">
        <v>1823.87</v>
      </c>
      <c r="U29" s="2"/>
      <c r="V29" s="7">
        <f t="shared" si="18"/>
        <v>7.9689026362257352E-3</v>
      </c>
      <c r="W29" s="2"/>
      <c r="X29" s="6">
        <f t="shared" si="19"/>
        <v>-189</v>
      </c>
      <c r="Y29" s="2"/>
      <c r="Z29" s="7">
        <f t="shared" si="20"/>
        <v>-0.10362580666385214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>
        <v>202.24</v>
      </c>
      <c r="I30" s="2"/>
      <c r="J30" s="7">
        <f t="shared" si="14"/>
        <v>6.4257701853032744E-3</v>
      </c>
      <c r="K30" s="2"/>
      <c r="L30" s="6">
        <f t="shared" si="15"/>
        <v>-202.24</v>
      </c>
      <c r="M30" s="2"/>
      <c r="N30" s="7">
        <f t="shared" si="16"/>
        <v>-1</v>
      </c>
      <c r="O30" s="11"/>
      <c r="P30" s="6">
        <v>1996.53</v>
      </c>
      <c r="Q30" s="2"/>
      <c r="R30" s="7">
        <f t="shared" si="17"/>
        <v>1.0509956593189144E-2</v>
      </c>
      <c r="S30" s="2"/>
      <c r="T30" s="6">
        <v>2541.65</v>
      </c>
      <c r="U30" s="2"/>
      <c r="V30" s="7">
        <f t="shared" si="18"/>
        <v>1.1105046623587833E-2</v>
      </c>
      <c r="W30" s="2"/>
      <c r="X30" s="6">
        <f t="shared" si="19"/>
        <v>-545.12000000000012</v>
      </c>
      <c r="Y30" s="2"/>
      <c r="Z30" s="7">
        <f t="shared" si="20"/>
        <v>-0.21447484901540342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>
        <v>147.87</v>
      </c>
      <c r="I31" s="2"/>
      <c r="J31" s="7">
        <f t="shared" si="14"/>
        <v>4.6982725341218117E-3</v>
      </c>
      <c r="K31" s="2"/>
      <c r="L31" s="6">
        <f t="shared" si="15"/>
        <v>-147.87</v>
      </c>
      <c r="M31" s="2"/>
      <c r="N31" s="7">
        <f t="shared" si="16"/>
        <v>-1</v>
      </c>
      <c r="O31" s="11"/>
      <c r="P31" s="6">
        <v>1517.77</v>
      </c>
      <c r="Q31" s="2"/>
      <c r="R31" s="7">
        <f t="shared" si="17"/>
        <v>7.9897105570388063E-3</v>
      </c>
      <c r="S31" s="2"/>
      <c r="T31" s="6">
        <v>1474.73</v>
      </c>
      <c r="U31" s="2"/>
      <c r="V31" s="7">
        <f t="shared" si="18"/>
        <v>6.4434306089365904E-3</v>
      </c>
      <c r="W31" s="2"/>
      <c r="X31" s="6">
        <f t="shared" si="19"/>
        <v>43.039999999999964</v>
      </c>
      <c r="Y31" s="2"/>
      <c r="Z31" s="7">
        <f t="shared" si="20"/>
        <v>2.9185003356546595E-2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204</v>
      </c>
      <c r="E32" s="1"/>
      <c r="F32" s="5">
        <f t="shared" ref="F32:F38" si="21">IF(D$12=0,0,D32/D$12)</f>
        <v>0</v>
      </c>
      <c r="G32" s="1"/>
      <c r="H32" s="1">
        <f>SUM(OSRRefH22_1x_0)</f>
        <v>11769.550000000001</v>
      </c>
      <c r="I32" s="1"/>
      <c r="J32" s="5">
        <f t="shared" ref="J32:J38" si="22">IF(H$12=0,0,H32/H$12)</f>
        <v>0.37395383447604902</v>
      </c>
      <c r="K32" s="1"/>
      <c r="L32" s="1">
        <f t="shared" ref="L32:L38" si="23">+D32-H32</f>
        <v>-11565.550000000001</v>
      </c>
      <c r="M32" s="1"/>
      <c r="N32" s="5">
        <f t="shared" ref="N32:N38" si="24">IF(H32=0,0,L32/H32)</f>
        <v>-0.98266713680641993</v>
      </c>
      <c r="O32" s="13"/>
      <c r="P32" s="1">
        <f>SUM(OSRRefP22_1x_0)</f>
        <v>112168.78</v>
      </c>
      <c r="Q32" s="1"/>
      <c r="R32" s="5">
        <f t="shared" ref="R32:R38" si="25">IF(P$12=0,0,P32/P$12)</f>
        <v>0.59046896811517113</v>
      </c>
      <c r="S32" s="1"/>
      <c r="T32" s="1">
        <f>SUM(OSRRefT22_1x_0)</f>
        <v>111362.89</v>
      </c>
      <c r="U32" s="1"/>
      <c r="V32" s="5">
        <f t="shared" ref="V32:V38" si="26">IF(T$12=0,0,T32/T$12)</f>
        <v>0.48656978167233222</v>
      </c>
      <c r="W32" s="1"/>
      <c r="X32" s="1">
        <f t="shared" ref="X32:X38" si="27">+P32-T32</f>
        <v>805.88999999999942</v>
      </c>
      <c r="Y32" s="1"/>
      <c r="Z32" s="5">
        <f t="shared" ref="Z32:Z38" si="28">IF(T32=0,0,X32/T32)</f>
        <v>7.236611765373541E-3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4513.8599999999997</v>
      </c>
      <c r="I33" s="2"/>
      <c r="J33" s="7">
        <f t="shared" si="22"/>
        <v>0.14341884399047189</v>
      </c>
      <c r="K33" s="2"/>
      <c r="L33" s="6">
        <f t="shared" si="23"/>
        <v>-4513.8599999999997</v>
      </c>
      <c r="M33" s="2"/>
      <c r="N33" s="7">
        <f t="shared" si="24"/>
        <v>-1</v>
      </c>
      <c r="O33" s="11"/>
      <c r="P33" s="6">
        <v>37546.44</v>
      </c>
      <c r="Q33" s="2"/>
      <c r="R33" s="7">
        <f t="shared" si="25"/>
        <v>0.19764864771818136</v>
      </c>
      <c r="S33" s="2"/>
      <c r="T33" s="6">
        <v>45603.049999999996</v>
      </c>
      <c r="U33" s="2"/>
      <c r="V33" s="7">
        <f t="shared" si="26"/>
        <v>0.19925009203777352</v>
      </c>
      <c r="W33" s="2"/>
      <c r="X33" s="6">
        <f t="shared" si="27"/>
        <v>-8056.6099999999933</v>
      </c>
      <c r="Y33" s="2"/>
      <c r="Z33" s="7">
        <f t="shared" si="28"/>
        <v>-0.17666822723480105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408</v>
      </c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408</v>
      </c>
      <c r="M34" s="2"/>
      <c r="N34" s="7">
        <f t="shared" si="24"/>
        <v>0</v>
      </c>
      <c r="O34" s="11"/>
      <c r="P34" s="6">
        <v>2484.31</v>
      </c>
      <c r="Q34" s="2"/>
      <c r="R34" s="7">
        <f t="shared" si="25"/>
        <v>1.3077684915340978E-2</v>
      </c>
      <c r="S34" s="2"/>
      <c r="T34" s="6"/>
      <c r="U34" s="2"/>
      <c r="V34" s="7">
        <f t="shared" si="26"/>
        <v>0</v>
      </c>
      <c r="W34" s="2"/>
      <c r="X34" s="6">
        <f t="shared" si="27"/>
        <v>2484.31</v>
      </c>
      <c r="Y34" s="2"/>
      <c r="Z34" s="7">
        <f t="shared" si="28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2384</v>
      </c>
      <c r="I35" s="2"/>
      <c r="J35" s="7">
        <f t="shared" si="22"/>
        <v>7.5746816266628783E-2</v>
      </c>
      <c r="K35" s="2"/>
      <c r="L35" s="6">
        <f t="shared" si="23"/>
        <v>-2384</v>
      </c>
      <c r="M35" s="2"/>
      <c r="N35" s="7">
        <f t="shared" si="24"/>
        <v>-1</v>
      </c>
      <c r="O35" s="11"/>
      <c r="P35" s="6">
        <v>40119.120000000003</v>
      </c>
      <c r="Q35" s="2"/>
      <c r="R35" s="7">
        <f t="shared" si="25"/>
        <v>0.21119152216943721</v>
      </c>
      <c r="S35" s="2"/>
      <c r="T35" s="6">
        <v>21734.75</v>
      </c>
      <c r="U35" s="2"/>
      <c r="V35" s="7">
        <f t="shared" si="26"/>
        <v>9.4964063542197247E-2</v>
      </c>
      <c r="W35" s="2"/>
      <c r="X35" s="6">
        <f t="shared" si="27"/>
        <v>18384.370000000003</v>
      </c>
      <c r="Y35" s="2"/>
      <c r="Z35" s="7">
        <f t="shared" si="28"/>
        <v>0.8458514590690025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1294.4100000000001</v>
      </c>
      <c r="Q36" s="2"/>
      <c r="R36" s="7">
        <f t="shared" si="25"/>
        <v>6.8139186056758285E-3</v>
      </c>
      <c r="S36" s="2"/>
      <c r="T36" s="6"/>
      <c r="U36" s="2"/>
      <c r="V36" s="7">
        <f t="shared" si="26"/>
        <v>0</v>
      </c>
      <c r="W36" s="2"/>
      <c r="X36" s="6">
        <f t="shared" si="27"/>
        <v>1294.4100000000001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-204</v>
      </c>
      <c r="E37" s="2"/>
      <c r="F37" s="7">
        <f t="shared" si="21"/>
        <v>0</v>
      </c>
      <c r="G37" s="2"/>
      <c r="H37" s="6">
        <v>4366</v>
      </c>
      <c r="I37" s="2"/>
      <c r="J37" s="7">
        <f t="shared" si="22"/>
        <v>0.13872088918628409</v>
      </c>
      <c r="K37" s="2"/>
      <c r="L37" s="6">
        <f t="shared" si="23"/>
        <v>-4570</v>
      </c>
      <c r="M37" s="2"/>
      <c r="N37" s="7">
        <f t="shared" si="24"/>
        <v>-1.0467246907924874</v>
      </c>
      <c r="O37" s="11"/>
      <c r="P37" s="6">
        <v>28126.86</v>
      </c>
      <c r="Q37" s="2"/>
      <c r="R37" s="7">
        <f t="shared" si="25"/>
        <v>0.14806292803148866</v>
      </c>
      <c r="S37" s="2"/>
      <c r="T37" s="6">
        <v>36118.460000000006</v>
      </c>
      <c r="U37" s="2"/>
      <c r="V37" s="7">
        <f t="shared" si="26"/>
        <v>0.15780976226946758</v>
      </c>
      <c r="W37" s="2"/>
      <c r="X37" s="6">
        <f t="shared" si="27"/>
        <v>-7991.6000000000058</v>
      </c>
      <c r="Y37" s="2"/>
      <c r="Z37" s="7">
        <f t="shared" si="28"/>
        <v>-0.22126081787540233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505.69</v>
      </c>
      <c r="I38" s="2"/>
      <c r="J38" s="7">
        <f t="shared" si="22"/>
        <v>1.6067285032664223E-2</v>
      </c>
      <c r="K38" s="2"/>
      <c r="L38" s="6">
        <f t="shared" si="23"/>
        <v>-505.69</v>
      </c>
      <c r="M38" s="2"/>
      <c r="N38" s="7">
        <f t="shared" si="24"/>
        <v>-1</v>
      </c>
      <c r="O38" s="11"/>
      <c r="P38" s="6">
        <v>2597.64</v>
      </c>
      <c r="Q38" s="2"/>
      <c r="R38" s="7">
        <f t="shared" si="25"/>
        <v>1.367426667504713E-2</v>
      </c>
      <c r="S38" s="2"/>
      <c r="T38" s="6">
        <v>7906.63</v>
      </c>
      <c r="U38" s="2"/>
      <c r="V38" s="7">
        <f t="shared" si="26"/>
        <v>3.4545863822893895E-2</v>
      </c>
      <c r="W38" s="2"/>
      <c r="X38" s="6">
        <f t="shared" si="27"/>
        <v>-5308.99</v>
      </c>
      <c r="Y38" s="2"/>
      <c r="Z38" s="7">
        <f t="shared" si="28"/>
        <v>-0.67146053375458314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6" si="29">IF(D$12=0,0,D39/D$12)</f>
        <v>0</v>
      </c>
      <c r="G39" s="1"/>
      <c r="H39" s="1">
        <f>SUM(OSRRefH22_2x_0)</f>
        <v>245.57</v>
      </c>
      <c r="I39" s="1"/>
      <c r="J39" s="5">
        <f t="shared" ref="J39:J56" si="30">IF(H$12=0,0,H39/H$12)</f>
        <v>7.802493989343972E-3</v>
      </c>
      <c r="K39" s="1"/>
      <c r="L39" s="1">
        <f t="shared" ref="L39:L56" si="31">+D39-H39</f>
        <v>-245.57</v>
      </c>
      <c r="M39" s="1"/>
      <c r="N39" s="5">
        <f t="shared" ref="N39:N56" si="32">IF(H39=0,0,L39/H39)</f>
        <v>-1</v>
      </c>
      <c r="O39" s="13"/>
      <c r="P39" s="1">
        <f>SUM(OSRRefP22_2x_0)</f>
        <v>3228.7</v>
      </c>
      <c r="Q39" s="1"/>
      <c r="R39" s="5">
        <f t="shared" ref="R39:R56" si="33">IF(P$12=0,0,P39/P$12)</f>
        <v>1.6996236897231592E-2</v>
      </c>
      <c r="S39" s="1"/>
      <c r="T39" s="1">
        <f>SUM(OSRRefT22_2x_0)</f>
        <v>2195.33</v>
      </c>
      <c r="U39" s="1"/>
      <c r="V39" s="5">
        <f t="shared" ref="V39:V56" si="34">IF(T$12=0,0,T39/T$12)</f>
        <v>9.591895817347422E-3</v>
      </c>
      <c r="W39" s="1"/>
      <c r="X39" s="1">
        <f t="shared" ref="X39:X56" si="35">+P39-T39</f>
        <v>1033.3699999999999</v>
      </c>
      <c r="Y39" s="1"/>
      <c r="Z39" s="5">
        <f t="shared" ref="Z39:Z56" si="36">IF(T39=0,0,X39/T39)</f>
        <v>0.47071283132831965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9"/>
        <v>0</v>
      </c>
      <c r="G40" s="2"/>
      <c r="H40" s="6">
        <v>245.57</v>
      </c>
      <c r="I40" s="2"/>
      <c r="J40" s="7">
        <f t="shared" si="30"/>
        <v>7.802493989343972E-3</v>
      </c>
      <c r="K40" s="2"/>
      <c r="L40" s="6">
        <f t="shared" si="31"/>
        <v>-245.57</v>
      </c>
      <c r="M40" s="2"/>
      <c r="N40" s="7">
        <f t="shared" si="32"/>
        <v>-1</v>
      </c>
      <c r="O40" s="11"/>
      <c r="P40" s="6">
        <v>3228.7</v>
      </c>
      <c r="Q40" s="2"/>
      <c r="R40" s="7">
        <f t="shared" si="33"/>
        <v>1.6996236897231592E-2</v>
      </c>
      <c r="S40" s="2"/>
      <c r="T40" s="6">
        <v>2195.33</v>
      </c>
      <c r="U40" s="2"/>
      <c r="V40" s="7">
        <f t="shared" si="34"/>
        <v>9.591895817347422E-3</v>
      </c>
      <c r="W40" s="2"/>
      <c r="X40" s="6">
        <f t="shared" si="35"/>
        <v>1033.3699999999999</v>
      </c>
      <c r="Y40" s="2"/>
      <c r="Z40" s="7">
        <f t="shared" si="36"/>
        <v>0.47071283132831965</v>
      </c>
    </row>
    <row r="41" spans="1:26" s="25" customFormat="1" outlineLevel="1" collapsed="1" x14ac:dyDescent="0.25">
      <c r="A41" s="26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1.1599999999999999</v>
      </c>
      <c r="I41" s="1"/>
      <c r="J41" s="5">
        <f t="shared" si="30"/>
        <v>3.6856672344500577E-5</v>
      </c>
      <c r="K41" s="1"/>
      <c r="L41" s="1">
        <f t="shared" si="31"/>
        <v>-1.1599999999999999</v>
      </c>
      <c r="M41" s="1"/>
      <c r="N41" s="5">
        <f t="shared" si="32"/>
        <v>-1</v>
      </c>
      <c r="O41" s="13"/>
      <c r="P41" s="1">
        <f>SUM(OSRRefP22_3x_0)</f>
        <v>-42.37</v>
      </c>
      <c r="Q41" s="1"/>
      <c r="R41" s="5">
        <f t="shared" si="33"/>
        <v>-2.2304040553030709E-4</v>
      </c>
      <c r="S41" s="1"/>
      <c r="T41" s="1">
        <f>SUM(OSRRefT22_3x_0)</f>
        <v>-27.38</v>
      </c>
      <c r="U41" s="1"/>
      <c r="V41" s="5">
        <f t="shared" si="34"/>
        <v>-1.1962944408310933E-4</v>
      </c>
      <c r="W41" s="1"/>
      <c r="X41" s="1">
        <f t="shared" si="35"/>
        <v>-14.989999999999998</v>
      </c>
      <c r="Y41" s="1"/>
      <c r="Z41" s="5">
        <f t="shared" si="36"/>
        <v>0.54747991234477722</v>
      </c>
    </row>
    <row r="42" spans="1:26" s="24" customFormat="1" hidden="1" outlineLevel="2" x14ac:dyDescent="0.25">
      <c r="A42" s="27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1.1599999999999999</v>
      </c>
      <c r="I42" s="2"/>
      <c r="J42" s="7">
        <f t="shared" si="30"/>
        <v>3.6856672344500577E-5</v>
      </c>
      <c r="K42" s="2"/>
      <c r="L42" s="6">
        <f t="shared" si="31"/>
        <v>-1.1599999999999999</v>
      </c>
      <c r="M42" s="2"/>
      <c r="N42" s="7">
        <f t="shared" si="32"/>
        <v>-1</v>
      </c>
      <c r="O42" s="11"/>
      <c r="P42" s="6">
        <v>-42.37</v>
      </c>
      <c r="Q42" s="2"/>
      <c r="R42" s="7">
        <f t="shared" si="33"/>
        <v>-2.2304040553030709E-4</v>
      </c>
      <c r="S42" s="2"/>
      <c r="T42" s="6">
        <v>-27.38</v>
      </c>
      <c r="U42" s="2"/>
      <c r="V42" s="7">
        <f t="shared" si="34"/>
        <v>-1.1962944408310933E-4</v>
      </c>
      <c r="W42" s="2"/>
      <c r="X42" s="6">
        <f t="shared" si="35"/>
        <v>-14.989999999999998</v>
      </c>
      <c r="Y42" s="2"/>
      <c r="Z42" s="7">
        <f t="shared" si="36"/>
        <v>0.54747991234477722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93.54</v>
      </c>
      <c r="E43" s="1"/>
      <c r="F43" s="5">
        <f t="shared" si="29"/>
        <v>0</v>
      </c>
      <c r="G43" s="1"/>
      <c r="H43" s="1">
        <f>SUM(OSRRefH22_4x_0)</f>
        <v>898.26</v>
      </c>
      <c r="I43" s="1"/>
      <c r="J43" s="5">
        <f t="shared" si="30"/>
        <v>2.8540409051871631E-2</v>
      </c>
      <c r="K43" s="1"/>
      <c r="L43" s="1">
        <f t="shared" si="31"/>
        <v>-804.72</v>
      </c>
      <c r="M43" s="1"/>
      <c r="N43" s="5">
        <f t="shared" si="32"/>
        <v>-0.89586533965666959</v>
      </c>
      <c r="O43" s="13"/>
      <c r="P43" s="1">
        <f>SUM(OSRRefP22_4x_0)</f>
        <v>7084.51</v>
      </c>
      <c r="Q43" s="1"/>
      <c r="R43" s="5">
        <f t="shared" si="33"/>
        <v>3.7293650776103755E-2</v>
      </c>
      <c r="S43" s="1"/>
      <c r="T43" s="1">
        <f>SUM(OSRRefT22_4x_0)</f>
        <v>8575.73</v>
      </c>
      <c r="U43" s="1"/>
      <c r="V43" s="5">
        <f t="shared" si="34"/>
        <v>3.7469313824209032E-2</v>
      </c>
      <c r="W43" s="1"/>
      <c r="X43" s="1">
        <f t="shared" si="35"/>
        <v>-1491.2199999999993</v>
      </c>
      <c r="Y43" s="1"/>
      <c r="Z43" s="5">
        <f t="shared" si="36"/>
        <v>-0.17388840366942515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93.54</v>
      </c>
      <c r="E44" s="2"/>
      <c r="F44" s="7">
        <f t="shared" si="29"/>
        <v>0</v>
      </c>
      <c r="G44" s="2"/>
      <c r="H44" s="6">
        <v>898.26</v>
      </c>
      <c r="I44" s="2"/>
      <c r="J44" s="7">
        <f t="shared" si="30"/>
        <v>2.8540409051871631E-2</v>
      </c>
      <c r="K44" s="2"/>
      <c r="L44" s="6">
        <f t="shared" si="31"/>
        <v>-804.72</v>
      </c>
      <c r="M44" s="2"/>
      <c r="N44" s="7">
        <f t="shared" si="32"/>
        <v>-0.89586533965666959</v>
      </c>
      <c r="O44" s="11"/>
      <c r="P44" s="6">
        <v>7084.51</v>
      </c>
      <c r="Q44" s="2"/>
      <c r="R44" s="7">
        <f t="shared" si="33"/>
        <v>3.7293650776103755E-2</v>
      </c>
      <c r="S44" s="2"/>
      <c r="T44" s="6">
        <v>8575.73</v>
      </c>
      <c r="U44" s="2"/>
      <c r="V44" s="7">
        <f t="shared" si="34"/>
        <v>3.7469313824209032E-2</v>
      </c>
      <c r="W44" s="2"/>
      <c r="X44" s="6">
        <f t="shared" si="35"/>
        <v>-1491.2199999999993</v>
      </c>
      <c r="Y44" s="2"/>
      <c r="Z44" s="7">
        <f t="shared" si="36"/>
        <v>-0.17388840366942515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119.55</v>
      </c>
      <c r="E45" s="1"/>
      <c r="F45" s="5">
        <f t="shared" si="29"/>
        <v>0</v>
      </c>
      <c r="G45" s="1"/>
      <c r="H45" s="1">
        <f>SUM(OSRRefH22_5x_0)</f>
        <v>2776.01</v>
      </c>
      <c r="I45" s="1"/>
      <c r="J45" s="5">
        <f t="shared" si="30"/>
        <v>8.8202147409531959E-2</v>
      </c>
      <c r="K45" s="1"/>
      <c r="L45" s="1">
        <f t="shared" si="31"/>
        <v>-2656.46</v>
      </c>
      <c r="M45" s="1"/>
      <c r="N45" s="5">
        <f t="shared" si="32"/>
        <v>-0.95693459317509655</v>
      </c>
      <c r="O45" s="13"/>
      <c r="P45" s="1">
        <f>SUM(OSRRefP22_5x_0)</f>
        <v>25097.4</v>
      </c>
      <c r="Q45" s="1"/>
      <c r="R45" s="5">
        <f t="shared" si="33"/>
        <v>0.13211551271551403</v>
      </c>
      <c r="S45" s="1"/>
      <c r="T45" s="1">
        <f>SUM(OSRRefT22_5x_0)</f>
        <v>27760.1</v>
      </c>
      <c r="U45" s="1"/>
      <c r="V45" s="5">
        <f t="shared" si="34"/>
        <v>0.12129018738829522</v>
      </c>
      <c r="W45" s="1"/>
      <c r="X45" s="1">
        <f t="shared" si="35"/>
        <v>-2662.6999999999971</v>
      </c>
      <c r="Y45" s="1"/>
      <c r="Z45" s="5">
        <f t="shared" si="36"/>
        <v>-9.591824236944381E-2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119.55</v>
      </c>
      <c r="E46" s="2"/>
      <c r="F46" s="7">
        <f t="shared" si="29"/>
        <v>0</v>
      </c>
      <c r="G46" s="2"/>
      <c r="H46" s="6">
        <v>2776.01</v>
      </c>
      <c r="I46" s="2"/>
      <c r="J46" s="7">
        <f t="shared" si="30"/>
        <v>8.8202147409531959E-2</v>
      </c>
      <c r="K46" s="2"/>
      <c r="L46" s="6">
        <f t="shared" si="31"/>
        <v>-2656.46</v>
      </c>
      <c r="M46" s="2"/>
      <c r="N46" s="7">
        <f t="shared" si="32"/>
        <v>-0.95693459317509655</v>
      </c>
      <c r="O46" s="11"/>
      <c r="P46" s="6">
        <v>25097.4</v>
      </c>
      <c r="Q46" s="2"/>
      <c r="R46" s="7">
        <f t="shared" si="33"/>
        <v>0.13211551271551403</v>
      </c>
      <c r="S46" s="2"/>
      <c r="T46" s="6">
        <v>27760.1</v>
      </c>
      <c r="U46" s="2"/>
      <c r="V46" s="7">
        <f t="shared" si="34"/>
        <v>0.12129018738829522</v>
      </c>
      <c r="W46" s="2"/>
      <c r="X46" s="6">
        <f t="shared" si="35"/>
        <v>-2662.6999999999971</v>
      </c>
      <c r="Y46" s="2"/>
      <c r="Z46" s="7">
        <f t="shared" si="36"/>
        <v>-9.591824236944381E-2</v>
      </c>
    </row>
    <row r="47" spans="1:26" s="25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9"/>
        <v>0</v>
      </c>
      <c r="G47" s="1"/>
      <c r="H47" s="1">
        <f>SUM(OSRRefH22_6x_0)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SUM(OSRRefP22_6x_0)</f>
        <v>107.51</v>
      </c>
      <c r="Q47" s="1"/>
      <c r="R47" s="5">
        <f t="shared" si="33"/>
        <v>5.6594463060097517E-4</v>
      </c>
      <c r="S47" s="1"/>
      <c r="T47" s="1">
        <f>SUM(OSRRefT22_6x_0)</f>
        <v>108.69</v>
      </c>
      <c r="U47" s="1"/>
      <c r="V47" s="5">
        <f t="shared" si="34"/>
        <v>4.7489131765497276E-4</v>
      </c>
      <c r="W47" s="1"/>
      <c r="X47" s="1">
        <f t="shared" si="35"/>
        <v>-1.1799999999999926</v>
      </c>
      <c r="Y47" s="1"/>
      <c r="Z47" s="5">
        <f t="shared" si="36"/>
        <v>-1.0856564541356082E-2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107.51</v>
      </c>
      <c r="Q48" s="2"/>
      <c r="R48" s="7">
        <f t="shared" si="33"/>
        <v>5.6594463060097517E-4</v>
      </c>
      <c r="S48" s="2"/>
      <c r="T48" s="6">
        <v>108.69</v>
      </c>
      <c r="U48" s="2"/>
      <c r="V48" s="7">
        <f t="shared" si="34"/>
        <v>4.7489131765497276E-4</v>
      </c>
      <c r="W48" s="2"/>
      <c r="X48" s="6">
        <f t="shared" si="35"/>
        <v>-1.1799999999999926</v>
      </c>
      <c r="Y48" s="2"/>
      <c r="Z48" s="7">
        <f t="shared" si="36"/>
        <v>-1.0856564541356082E-2</v>
      </c>
    </row>
    <row r="49" spans="1:26" s="25" customFormat="1" outlineLevel="1" collapsed="1" x14ac:dyDescent="0.25">
      <c r="A49" s="26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64.02</v>
      </c>
      <c r="E49" s="1"/>
      <c r="F49" s="5">
        <f t="shared" si="29"/>
        <v>0</v>
      </c>
      <c r="G49" s="1"/>
      <c r="H49" s="1">
        <f>SUM(OSRRefH22_7x_0)</f>
        <v>0</v>
      </c>
      <c r="I49" s="1"/>
      <c r="J49" s="5">
        <f t="shared" si="30"/>
        <v>0</v>
      </c>
      <c r="K49" s="1"/>
      <c r="L49" s="1">
        <f t="shared" si="31"/>
        <v>64.02</v>
      </c>
      <c r="M49" s="1"/>
      <c r="N49" s="5">
        <f t="shared" si="32"/>
        <v>0</v>
      </c>
      <c r="O49" s="13"/>
      <c r="P49" s="1">
        <f>SUM(OSRRefP22_7x_0)</f>
        <v>1584.74</v>
      </c>
      <c r="Q49" s="1"/>
      <c r="R49" s="5">
        <f t="shared" si="33"/>
        <v>8.3422481062095551E-3</v>
      </c>
      <c r="S49" s="1"/>
      <c r="T49" s="1">
        <f>SUM(OSRRefT22_7x_0)</f>
        <v>0</v>
      </c>
      <c r="U49" s="1"/>
      <c r="V49" s="5">
        <f t="shared" si="34"/>
        <v>0</v>
      </c>
      <c r="W49" s="1"/>
      <c r="X49" s="1">
        <f t="shared" si="35"/>
        <v>1584.74</v>
      </c>
      <c r="Y49" s="1"/>
      <c r="Z49" s="5">
        <f t="shared" si="36"/>
        <v>0</v>
      </c>
    </row>
    <row r="50" spans="1:26" s="24" customFormat="1" hidden="1" outlineLevel="2" x14ac:dyDescent="0.25">
      <c r="A50" s="27"/>
      <c r="B50" s="11" t="str">
        <f>CONCATENATE("          ", "6351", " - ", "EQUIPMENT RENTAL")</f>
        <v xml:space="preserve">          6351 - EQUIPMENT RENTAL</v>
      </c>
      <c r="C50" s="11"/>
      <c r="D50" s="6">
        <v>64.02</v>
      </c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64.02</v>
      </c>
      <c r="M50" s="2"/>
      <c r="N50" s="7">
        <f t="shared" si="32"/>
        <v>0</v>
      </c>
      <c r="O50" s="11"/>
      <c r="P50" s="6">
        <v>1584.74</v>
      </c>
      <c r="Q50" s="2"/>
      <c r="R50" s="7">
        <f t="shared" si="33"/>
        <v>8.3422481062095551E-3</v>
      </c>
      <c r="S50" s="2"/>
      <c r="T50" s="6"/>
      <c r="U50" s="2"/>
      <c r="V50" s="7">
        <f t="shared" si="34"/>
        <v>0</v>
      </c>
      <c r="W50" s="2"/>
      <c r="X50" s="6">
        <f t="shared" si="35"/>
        <v>1584.74</v>
      </c>
      <c r="Y50" s="2"/>
      <c r="Z50" s="7">
        <f t="shared" si="36"/>
        <v>0</v>
      </c>
    </row>
    <row r="51" spans="1:26" s="25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29"/>
        <v>0</v>
      </c>
      <c r="G51" s="1"/>
      <c r="H51" s="1">
        <f>SUM(OSRRefH22_8x_0)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SUM(OSRRefP22_8x_0)</f>
        <v>768.15</v>
      </c>
      <c r="Q51" s="1"/>
      <c r="R51" s="5">
        <f t="shared" si="33"/>
        <v>4.0436272718457726E-3</v>
      </c>
      <c r="S51" s="1"/>
      <c r="T51" s="1">
        <f>SUM(OSRRefT22_8x_0)</f>
        <v>769.2</v>
      </c>
      <c r="U51" s="1"/>
      <c r="V51" s="5">
        <f t="shared" si="34"/>
        <v>3.3608096562720126E-3</v>
      </c>
      <c r="W51" s="1"/>
      <c r="X51" s="1">
        <f t="shared" si="35"/>
        <v>-1.0500000000000682</v>
      </c>
      <c r="Y51" s="1"/>
      <c r="Z51" s="5">
        <f t="shared" si="36"/>
        <v>-1.3650546021841759E-3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768.15</v>
      </c>
      <c r="Q52" s="2"/>
      <c r="R52" s="7">
        <f t="shared" si="33"/>
        <v>4.0436272718457726E-3</v>
      </c>
      <c r="S52" s="2"/>
      <c r="T52" s="6">
        <v>769.2</v>
      </c>
      <c r="U52" s="2"/>
      <c r="V52" s="7">
        <f t="shared" si="34"/>
        <v>3.3608096562720126E-3</v>
      </c>
      <c r="W52" s="2"/>
      <c r="X52" s="6">
        <f t="shared" si="35"/>
        <v>-1.0500000000000682</v>
      </c>
      <c r="Y52" s="2"/>
      <c r="Z52" s="7">
        <f t="shared" si="36"/>
        <v>-1.3650546021841759E-3</v>
      </c>
    </row>
    <row r="53" spans="1:26" s="25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0</v>
      </c>
      <c r="E53" s="1"/>
      <c r="F53" s="5">
        <f t="shared" si="29"/>
        <v>0</v>
      </c>
      <c r="G53" s="1"/>
      <c r="H53" s="1">
        <f>SUM(OSRRefH22_9x_0)</f>
        <v>400</v>
      </c>
      <c r="I53" s="1"/>
      <c r="J53" s="5">
        <f t="shared" si="30"/>
        <v>1.2709197360172614E-2</v>
      </c>
      <c r="K53" s="1"/>
      <c r="L53" s="1">
        <f t="shared" si="31"/>
        <v>-400</v>
      </c>
      <c r="M53" s="1"/>
      <c r="N53" s="5">
        <f t="shared" si="32"/>
        <v>-1</v>
      </c>
      <c r="O53" s="13"/>
      <c r="P53" s="1">
        <f>SUM(OSRRefP22_9x_0)</f>
        <v>5494.59</v>
      </c>
      <c r="Q53" s="1"/>
      <c r="R53" s="5">
        <f t="shared" si="33"/>
        <v>2.8924134572168282E-2</v>
      </c>
      <c r="S53" s="1"/>
      <c r="T53" s="1">
        <f>SUM(OSRRefT22_9x_0)</f>
        <v>2292.1999999999998</v>
      </c>
      <c r="U53" s="1"/>
      <c r="V53" s="5">
        <f t="shared" si="34"/>
        <v>1.0015142868053441E-2</v>
      </c>
      <c r="W53" s="1"/>
      <c r="X53" s="1">
        <f t="shared" si="35"/>
        <v>3202.3900000000003</v>
      </c>
      <c r="Y53" s="1"/>
      <c r="Z53" s="5">
        <f t="shared" si="36"/>
        <v>1.3970814065090309</v>
      </c>
    </row>
    <row r="54" spans="1:26" s="24" customFormat="1" hidden="1" outlineLevel="2" x14ac:dyDescent="0.2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2186.54</v>
      </c>
      <c r="Q54" s="2"/>
      <c r="R54" s="7">
        <f t="shared" si="33"/>
        <v>1.1510190425023312E-2</v>
      </c>
      <c r="S54" s="2"/>
      <c r="T54" s="6"/>
      <c r="U54" s="2"/>
      <c r="V54" s="7">
        <f t="shared" si="34"/>
        <v>0</v>
      </c>
      <c r="W54" s="2"/>
      <c r="X54" s="6">
        <f t="shared" si="35"/>
        <v>2186.54</v>
      </c>
      <c r="Y54" s="2"/>
      <c r="Z54" s="7">
        <f t="shared" si="36"/>
        <v>0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9"/>
        <v>0</v>
      </c>
      <c r="G55" s="2"/>
      <c r="H55" s="6">
        <v>400</v>
      </c>
      <c r="I55" s="2"/>
      <c r="J55" s="7">
        <f t="shared" si="30"/>
        <v>1.2709197360172614E-2</v>
      </c>
      <c r="K55" s="2"/>
      <c r="L55" s="6">
        <f t="shared" si="31"/>
        <v>-400</v>
      </c>
      <c r="M55" s="2"/>
      <c r="N55" s="7">
        <f t="shared" si="32"/>
        <v>-1</v>
      </c>
      <c r="O55" s="11"/>
      <c r="P55" s="6">
        <v>909.57</v>
      </c>
      <c r="Q55" s="2"/>
      <c r="R55" s="7">
        <f t="shared" si="33"/>
        <v>4.7880779244324151E-3</v>
      </c>
      <c r="S55" s="2"/>
      <c r="T55" s="6">
        <v>597.97</v>
      </c>
      <c r="U55" s="2"/>
      <c r="V55" s="7">
        <f t="shared" si="34"/>
        <v>2.6126668618837432E-3</v>
      </c>
      <c r="W55" s="2"/>
      <c r="X55" s="6">
        <f t="shared" si="35"/>
        <v>311.60000000000002</v>
      </c>
      <c r="Y55" s="2"/>
      <c r="Z55" s="7">
        <f t="shared" si="36"/>
        <v>0.52109637607237824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2398.48</v>
      </c>
      <c r="Q56" s="2"/>
      <c r="R56" s="7">
        <f t="shared" si="33"/>
        <v>1.2625866222712556E-2</v>
      </c>
      <c r="S56" s="2"/>
      <c r="T56" s="6">
        <v>1694.23</v>
      </c>
      <c r="U56" s="2"/>
      <c r="V56" s="7">
        <f t="shared" si="34"/>
        <v>7.4024760061696983E-3</v>
      </c>
      <c r="W56" s="2"/>
      <c r="X56" s="6">
        <f t="shared" si="35"/>
        <v>704.25</v>
      </c>
      <c r="Y56" s="2"/>
      <c r="Z56" s="7">
        <f t="shared" si="36"/>
        <v>0.415675557627949</v>
      </c>
    </row>
    <row r="57" spans="1:26" s="25" customFormat="1" outlineLevel="1" collapsed="1" x14ac:dyDescent="0.25">
      <c r="A57" s="26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SUM(OSRRefD22_10x_0)</f>
        <v>0</v>
      </c>
      <c r="E57" s="1"/>
      <c r="F57" s="5">
        <f t="shared" ref="F57:F59" si="37">IF(D$12=0,0,D57/D$12)</f>
        <v>0</v>
      </c>
      <c r="G57" s="1"/>
      <c r="H57" s="1">
        <f>SUM(OSRRefH22_10x_0)</f>
        <v>0</v>
      </c>
      <c r="I57" s="1"/>
      <c r="J57" s="5">
        <f t="shared" ref="J57:J59" si="38">IF(H$12=0,0,H57/H$12)</f>
        <v>0</v>
      </c>
      <c r="K57" s="1"/>
      <c r="L57" s="1">
        <f t="shared" ref="L57:L59" si="39">+D57-H57</f>
        <v>0</v>
      </c>
      <c r="M57" s="1"/>
      <c r="N57" s="5">
        <f t="shared" ref="N57:N59" si="40">IF(H57=0,0,L57/H57)</f>
        <v>0</v>
      </c>
      <c r="O57" s="13"/>
      <c r="P57" s="1">
        <f>SUM(OSRRefP22_10x_0)</f>
        <v>1739.62</v>
      </c>
      <c r="Q57" s="1"/>
      <c r="R57" s="5">
        <f t="shared" ref="R57:R59" si="41">IF(P$12=0,0,P57/P$12)</f>
        <v>9.1575536999913346E-3</v>
      </c>
      <c r="S57" s="1"/>
      <c r="T57" s="1">
        <f>SUM(OSRRefT22_10x_0)</f>
        <v>1246.1799999999998</v>
      </c>
      <c r="U57" s="1"/>
      <c r="V57" s="5">
        <f t="shared" ref="V57:V59" si="42">IF(T$12=0,0,T57/T$12)</f>
        <v>5.4448437044371505E-3</v>
      </c>
      <c r="W57" s="1"/>
      <c r="X57" s="1">
        <f t="shared" ref="X57:X59" si="43">+P57-T57</f>
        <v>493.44000000000005</v>
      </c>
      <c r="Y57" s="1"/>
      <c r="Z57" s="5">
        <f t="shared" ref="Z57:Z59" si="44">IF(T57=0,0,X57/T57)</f>
        <v>0.39596206005552981</v>
      </c>
    </row>
    <row r="58" spans="1:26" s="24" customFormat="1" hidden="1" outlineLevel="2" x14ac:dyDescent="0.25">
      <c r="A58" s="27"/>
      <c r="B58" s="11" t="str">
        <f>CONCATENATE("          ", "6285", " - ", "JANITORIAL SERVICES")</f>
        <v xml:space="preserve">          6285 - JANITORIAL SERVICES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1305.25</v>
      </c>
      <c r="Q58" s="2"/>
      <c r="R58" s="7">
        <f t="shared" si="41"/>
        <v>6.8709815746621043E-3</v>
      </c>
      <c r="S58" s="2"/>
      <c r="T58" s="6">
        <v>619</v>
      </c>
      <c r="U58" s="2"/>
      <c r="V58" s="7">
        <f t="shared" si="42"/>
        <v>2.7045517124705872E-3</v>
      </c>
      <c r="W58" s="2"/>
      <c r="X58" s="6">
        <f t="shared" si="43"/>
        <v>686.25</v>
      </c>
      <c r="Y58" s="2"/>
      <c r="Z58" s="7">
        <f t="shared" si="44"/>
        <v>1.1086429725363489</v>
      </c>
    </row>
    <row r="59" spans="1:26" s="24" customFormat="1" hidden="1" outlineLevel="2" x14ac:dyDescent="0.25">
      <c r="A59" s="27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>
        <v>434.37</v>
      </c>
      <c r="Q59" s="2"/>
      <c r="R59" s="7">
        <f t="shared" si="41"/>
        <v>2.2865721253292307E-3</v>
      </c>
      <c r="S59" s="2"/>
      <c r="T59" s="6">
        <v>627.17999999999995</v>
      </c>
      <c r="U59" s="2"/>
      <c r="V59" s="7">
        <f t="shared" si="42"/>
        <v>2.7402919919665633E-3</v>
      </c>
      <c r="W59" s="2"/>
      <c r="X59" s="6">
        <f t="shared" si="43"/>
        <v>-192.80999999999995</v>
      </c>
      <c r="Y59" s="2"/>
      <c r="Z59" s="7">
        <f t="shared" si="44"/>
        <v>-0.30742370611307751</v>
      </c>
    </row>
    <row r="60" spans="1:26" s="25" customFormat="1" outlineLevel="1" collapsed="1" x14ac:dyDescent="0.25">
      <c r="A60" s="26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65.05</v>
      </c>
      <c r="E60" s="1"/>
      <c r="F60" s="5">
        <f t="shared" ref="F60:F66" si="45">IF(D$12=0,0,D60/D$12)</f>
        <v>0</v>
      </c>
      <c r="G60" s="1"/>
      <c r="H60" s="1">
        <f>SUM(OSRRefH22_11x_0)</f>
        <v>389.81</v>
      </c>
      <c r="I60" s="1"/>
      <c r="J60" s="5">
        <f t="shared" ref="J60:J66" si="46">IF(H$12=0,0,H60/H$12)</f>
        <v>1.2385430557422217E-2</v>
      </c>
      <c r="K60" s="1"/>
      <c r="L60" s="1">
        <f t="shared" ref="L60:L66" si="47">+D60-H60</f>
        <v>-324.76</v>
      </c>
      <c r="M60" s="1"/>
      <c r="N60" s="5">
        <f t="shared" ref="N60:N66" si="48">IF(H60=0,0,L60/H60)</f>
        <v>-0.8331238295579898</v>
      </c>
      <c r="O60" s="13"/>
      <c r="P60" s="1">
        <f>SUM(OSRRefP22_11x_0)</f>
        <v>6361.66</v>
      </c>
      <c r="Q60" s="1"/>
      <c r="R60" s="5">
        <f t="shared" ref="R60:R66" si="49">IF(P$12=0,0,P60/P$12)</f>
        <v>3.3488487756571476E-2</v>
      </c>
      <c r="S60" s="1"/>
      <c r="T60" s="1">
        <f>SUM(OSRRefT22_11x_0)</f>
        <v>3945.38</v>
      </c>
      <c r="U60" s="1"/>
      <c r="V60" s="5">
        <f t="shared" ref="V60:V66" si="50">IF(T$12=0,0,T60/T$12)</f>
        <v>1.723826209264492E-2</v>
      </c>
      <c r="W60" s="1"/>
      <c r="X60" s="1">
        <f t="shared" ref="X60:X66" si="51">+P60-T60</f>
        <v>2416.2799999999997</v>
      </c>
      <c r="Y60" s="1"/>
      <c r="Z60" s="5">
        <f t="shared" ref="Z60:Z66" si="52">IF(T60=0,0,X60/T60)</f>
        <v>0.61243276946707281</v>
      </c>
    </row>
    <row r="61" spans="1:26" s="24" customFormat="1" hidden="1" outlineLevel="2" x14ac:dyDescent="0.25">
      <c r="A61" s="27"/>
      <c r="B61" s="11" t="str">
        <f>CONCATENATE("          ", "6237", " - ", "JANITORIAL SUPPLIES")</f>
        <v xml:space="preserve">          6237 - JANITORIAL SUPPLIES</v>
      </c>
      <c r="C61" s="11"/>
      <c r="D61" s="6"/>
      <c r="E61" s="2"/>
      <c r="F61" s="7">
        <f t="shared" si="45"/>
        <v>0</v>
      </c>
      <c r="G61" s="2"/>
      <c r="H61" s="6"/>
      <c r="I61" s="2"/>
      <c r="J61" s="7">
        <f t="shared" si="46"/>
        <v>0</v>
      </c>
      <c r="K61" s="2"/>
      <c r="L61" s="6">
        <f t="shared" si="47"/>
        <v>0</v>
      </c>
      <c r="M61" s="2"/>
      <c r="N61" s="7">
        <f t="shared" si="48"/>
        <v>0</v>
      </c>
      <c r="O61" s="11"/>
      <c r="P61" s="6">
        <v>10.95</v>
      </c>
      <c r="Q61" s="2"/>
      <c r="R61" s="7">
        <f t="shared" si="49"/>
        <v>5.7642021254587271E-5</v>
      </c>
      <c r="S61" s="2"/>
      <c r="T61" s="6">
        <v>11.08</v>
      </c>
      <c r="U61" s="2"/>
      <c r="V61" s="7">
        <f t="shared" si="50"/>
        <v>4.8411038730491288E-5</v>
      </c>
      <c r="W61" s="2"/>
      <c r="X61" s="6">
        <f t="shared" si="51"/>
        <v>-0.13000000000000078</v>
      </c>
      <c r="Y61" s="2"/>
      <c r="Z61" s="7">
        <f t="shared" si="52"/>
        <v>-1.1732851985559638E-2</v>
      </c>
    </row>
    <row r="62" spans="1:26" s="24" customFormat="1" hidden="1" outlineLevel="2" x14ac:dyDescent="0.25">
      <c r="A62" s="27"/>
      <c r="B62" s="11" t="str">
        <f>CONCATENATE("          ", "6239", " - ", "KITCHEN SUPPLIES")</f>
        <v xml:space="preserve">          6239 - KITCHEN SUPPLIES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>
        <v>2898.22</v>
      </c>
      <c r="Q62" s="2"/>
      <c r="R62" s="7">
        <f t="shared" si="49"/>
        <v>1.5256553318764375E-2</v>
      </c>
      <c r="S62" s="2"/>
      <c r="T62" s="6">
        <v>61.49</v>
      </c>
      <c r="U62" s="2"/>
      <c r="V62" s="7">
        <f t="shared" si="50"/>
        <v>2.6866378804493767E-4</v>
      </c>
      <c r="W62" s="2"/>
      <c r="X62" s="6">
        <f t="shared" si="51"/>
        <v>2836.73</v>
      </c>
      <c r="Y62" s="2"/>
      <c r="Z62" s="7">
        <f t="shared" si="52"/>
        <v>46.133192389006339</v>
      </c>
    </row>
    <row r="63" spans="1:26" s="24" customFormat="1" hidden="1" outlineLevel="2" x14ac:dyDescent="0.25">
      <c r="A63" s="27"/>
      <c r="B63" s="11" t="str">
        <f>CONCATENATE("          ", "6241", " - ", "OFFICE EXPENSE")</f>
        <v xml:space="preserve">          6241 - OFFICE EXPENSE</v>
      </c>
      <c r="C63" s="11"/>
      <c r="D63" s="6">
        <v>65.05</v>
      </c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65.05</v>
      </c>
      <c r="M63" s="2"/>
      <c r="N63" s="7">
        <f t="shared" si="48"/>
        <v>0</v>
      </c>
      <c r="O63" s="11"/>
      <c r="P63" s="6">
        <v>853.96</v>
      </c>
      <c r="Q63" s="2"/>
      <c r="R63" s="7">
        <f t="shared" si="49"/>
        <v>4.4953406822435937E-3</v>
      </c>
      <c r="S63" s="2"/>
      <c r="T63" s="6">
        <v>130.33000000000001</v>
      </c>
      <c r="U63" s="2"/>
      <c r="V63" s="7">
        <f t="shared" si="50"/>
        <v>5.6944139690838719E-4</v>
      </c>
      <c r="W63" s="2"/>
      <c r="X63" s="6">
        <f t="shared" si="51"/>
        <v>723.63</v>
      </c>
      <c r="Y63" s="2"/>
      <c r="Z63" s="7">
        <f t="shared" si="52"/>
        <v>5.5522903399063912</v>
      </c>
    </row>
    <row r="64" spans="1:26" s="24" customFormat="1" hidden="1" outlineLevel="2" x14ac:dyDescent="0.25">
      <c r="A64" s="27"/>
      <c r="B64" s="11" t="str">
        <f>CONCATENATE("          ", "6243", " - ", "PAPER SUPPLIES")</f>
        <v xml:space="preserve">          6243 - PAPER SUPPLIES</v>
      </c>
      <c r="C64" s="11"/>
      <c r="D64" s="6"/>
      <c r="E64" s="2"/>
      <c r="F64" s="7">
        <f t="shared" si="45"/>
        <v>0</v>
      </c>
      <c r="G64" s="2"/>
      <c r="H64" s="6">
        <v>389.81</v>
      </c>
      <c r="I64" s="2"/>
      <c r="J64" s="7">
        <f t="shared" si="46"/>
        <v>1.2385430557422217E-2</v>
      </c>
      <c r="K64" s="2"/>
      <c r="L64" s="6">
        <f t="shared" si="47"/>
        <v>-389.81</v>
      </c>
      <c r="M64" s="2"/>
      <c r="N64" s="7">
        <f t="shared" si="48"/>
        <v>-1</v>
      </c>
      <c r="O64" s="11"/>
      <c r="P64" s="6">
        <v>1858.86</v>
      </c>
      <c r="Q64" s="2"/>
      <c r="R64" s="7">
        <f t="shared" si="49"/>
        <v>9.7852463588403733E-3</v>
      </c>
      <c r="S64" s="2"/>
      <c r="T64" s="6">
        <v>2232.15</v>
      </c>
      <c r="U64" s="2"/>
      <c r="V64" s="7">
        <f t="shared" si="50"/>
        <v>9.7527707673525383E-3</v>
      </c>
      <c r="W64" s="2"/>
      <c r="X64" s="6">
        <f t="shared" si="51"/>
        <v>-373.29000000000019</v>
      </c>
      <c r="Y64" s="2"/>
      <c r="Z64" s="7">
        <f t="shared" si="52"/>
        <v>-0.16723338485316855</v>
      </c>
    </row>
    <row r="65" spans="1:26" s="24" customFormat="1" hidden="1" outlineLevel="2" x14ac:dyDescent="0.25">
      <c r="A65" s="27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1"/>
      <c r="P65" s="6">
        <v>102.64</v>
      </c>
      <c r="Q65" s="2"/>
      <c r="R65" s="7">
        <f t="shared" si="49"/>
        <v>5.4030840744939159E-4</v>
      </c>
      <c r="S65" s="2"/>
      <c r="T65" s="6">
        <v>771.1</v>
      </c>
      <c r="U65" s="2"/>
      <c r="V65" s="7">
        <f t="shared" si="50"/>
        <v>3.3691111881842808E-3</v>
      </c>
      <c r="W65" s="2"/>
      <c r="X65" s="6">
        <f t="shared" si="51"/>
        <v>-668.46</v>
      </c>
      <c r="Y65" s="2"/>
      <c r="Z65" s="7">
        <f t="shared" si="52"/>
        <v>-0.86689145376734533</v>
      </c>
    </row>
    <row r="66" spans="1:26" s="24" customFormat="1" hidden="1" outlineLevel="2" x14ac:dyDescent="0.25">
      <c r="A66" s="27"/>
      <c r="B66" s="11" t="str">
        <f>CONCATENATE("          ", "6248", " - ", "UNIFORMS")</f>
        <v xml:space="preserve">          6248 - UNIFORMS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>
        <v>637.03</v>
      </c>
      <c r="Q66" s="2"/>
      <c r="R66" s="7">
        <f t="shared" si="49"/>
        <v>3.3533969680191534E-3</v>
      </c>
      <c r="S66" s="2"/>
      <c r="T66" s="6">
        <v>739.23</v>
      </c>
      <c r="U66" s="2"/>
      <c r="V66" s="7">
        <f t="shared" si="50"/>
        <v>3.2298639134242849E-3</v>
      </c>
      <c r="W66" s="2"/>
      <c r="X66" s="6">
        <f t="shared" si="51"/>
        <v>-102.20000000000005</v>
      </c>
      <c r="Y66" s="2"/>
      <c r="Z66" s="7">
        <f t="shared" si="52"/>
        <v>-0.13825196488237768</v>
      </c>
    </row>
    <row r="67" spans="1:26" s="25" customFormat="1" outlineLevel="1" collapsed="1" x14ac:dyDescent="0.25">
      <c r="A67" s="26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86</v>
      </c>
      <c r="E67" s="1"/>
      <c r="F67" s="5">
        <f t="shared" ref="F67:F73" si="53">IF(D$12=0,0,D67/D$12)</f>
        <v>0</v>
      </c>
      <c r="G67" s="1"/>
      <c r="H67" s="1">
        <f>SUM(OSRRefH22_12x_0)</f>
        <v>136</v>
      </c>
      <c r="I67" s="1"/>
      <c r="J67" s="5">
        <f t="shared" ref="J67:J73" si="54">IF(H$12=0,0,H67/H$12)</f>
        <v>4.3211271024586892E-3</v>
      </c>
      <c r="K67" s="1"/>
      <c r="L67" s="1">
        <f t="shared" ref="L67:L73" si="55">+D67-H67</f>
        <v>-50</v>
      </c>
      <c r="M67" s="1"/>
      <c r="N67" s="5">
        <f t="shared" ref="N67:N73" si="56">IF(H67=0,0,L67/H67)</f>
        <v>-0.36764705882352944</v>
      </c>
      <c r="O67" s="13"/>
      <c r="P67" s="1">
        <f>SUM(OSRRefP22_12x_0)</f>
        <v>865.5</v>
      </c>
      <c r="Q67" s="1"/>
      <c r="R67" s="5">
        <f t="shared" ref="R67:R73" si="57">IF(P$12=0,0,P67/P$12)</f>
        <v>4.5560885293009397E-3</v>
      </c>
      <c r="S67" s="1"/>
      <c r="T67" s="1">
        <f>SUM(OSRRefT22_12x_0)</f>
        <v>1056.3499999999999</v>
      </c>
      <c r="U67" s="1"/>
      <c r="V67" s="5">
        <f t="shared" ref="V67:V73" si="58">IF(T$12=0,0,T67/T$12)</f>
        <v>4.6154332818550961E-3</v>
      </c>
      <c r="W67" s="1"/>
      <c r="X67" s="1">
        <f t="shared" ref="X67:X73" si="59">+P67-T67</f>
        <v>-190.84999999999991</v>
      </c>
      <c r="Y67" s="1"/>
      <c r="Z67" s="5">
        <f t="shared" ref="Z67:Z73" si="60">IF(T67=0,0,X67/T67)</f>
        <v>-0.18066928574809479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6">
        <v>86</v>
      </c>
      <c r="E68" s="2"/>
      <c r="F68" s="7">
        <f t="shared" si="53"/>
        <v>0</v>
      </c>
      <c r="G68" s="2"/>
      <c r="H68" s="6">
        <v>136</v>
      </c>
      <c r="I68" s="2"/>
      <c r="J68" s="7">
        <f t="shared" si="54"/>
        <v>4.3211271024586892E-3</v>
      </c>
      <c r="K68" s="2"/>
      <c r="L68" s="6">
        <f t="shared" si="55"/>
        <v>-50</v>
      </c>
      <c r="M68" s="2"/>
      <c r="N68" s="7">
        <f t="shared" si="56"/>
        <v>-0.36764705882352944</v>
      </c>
      <c r="O68" s="11"/>
      <c r="P68" s="6">
        <v>865.5</v>
      </c>
      <c r="Q68" s="2"/>
      <c r="R68" s="7">
        <f t="shared" si="57"/>
        <v>4.5560885293009397E-3</v>
      </c>
      <c r="S68" s="2"/>
      <c r="T68" s="6">
        <v>1056.3499999999999</v>
      </c>
      <c r="U68" s="2"/>
      <c r="V68" s="7">
        <f t="shared" si="58"/>
        <v>4.6154332818550961E-3</v>
      </c>
      <c r="W68" s="2"/>
      <c r="X68" s="6">
        <f t="shared" si="59"/>
        <v>-190.84999999999991</v>
      </c>
      <c r="Y68" s="2"/>
      <c r="Z68" s="7">
        <f t="shared" si="60"/>
        <v>-0.18066928574809479</v>
      </c>
    </row>
    <row r="69" spans="1:26" s="25" customFormat="1" outlineLevel="1" collapsed="1" x14ac:dyDescent="0.25">
      <c r="A69" s="26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53"/>
        <v>0</v>
      </c>
      <c r="G69" s="1"/>
      <c r="H69" s="1">
        <f>SUM(OSRRefH22_13x_0)</f>
        <v>0</v>
      </c>
      <c r="I69" s="1"/>
      <c r="J69" s="5">
        <f t="shared" si="54"/>
        <v>0</v>
      </c>
      <c r="K69" s="1"/>
      <c r="L69" s="1">
        <f t="shared" si="55"/>
        <v>0</v>
      </c>
      <c r="M69" s="1"/>
      <c r="N69" s="5">
        <f t="shared" si="56"/>
        <v>0</v>
      </c>
      <c r="O69" s="13"/>
      <c r="P69" s="1">
        <f>SUM(OSRRefP22_13x_0)</f>
        <v>170.95</v>
      </c>
      <c r="Q69" s="1"/>
      <c r="R69" s="5">
        <f t="shared" si="57"/>
        <v>8.9989986607047435E-4</v>
      </c>
      <c r="S69" s="1"/>
      <c r="T69" s="1">
        <f>SUM(OSRRefT22_13x_0)</f>
        <v>0</v>
      </c>
      <c r="U69" s="1"/>
      <c r="V69" s="5">
        <f t="shared" si="58"/>
        <v>0</v>
      </c>
      <c r="W69" s="1"/>
      <c r="X69" s="1">
        <f t="shared" si="59"/>
        <v>170.95</v>
      </c>
      <c r="Y69" s="1"/>
      <c r="Z69" s="5">
        <f t="shared" si="60"/>
        <v>0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170.95</v>
      </c>
      <c r="Q70" s="2"/>
      <c r="R70" s="7">
        <f t="shared" si="57"/>
        <v>8.9989986607047435E-4</v>
      </c>
      <c r="S70" s="2"/>
      <c r="T70" s="6"/>
      <c r="U70" s="2"/>
      <c r="V70" s="7">
        <f t="shared" si="58"/>
        <v>0</v>
      </c>
      <c r="W70" s="2"/>
      <c r="X70" s="6">
        <f t="shared" si="59"/>
        <v>170.95</v>
      </c>
      <c r="Y70" s="2"/>
      <c r="Z70" s="7">
        <f t="shared" si="60"/>
        <v>0</v>
      </c>
    </row>
    <row r="71" spans="1:26" s="25" customFormat="1" outlineLevel="1" collapsed="1" x14ac:dyDescent="0.25">
      <c r="A71" s="26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SUM(OSRRefD22_14x_0)</f>
        <v>0</v>
      </c>
      <c r="E71" s="1"/>
      <c r="F71" s="5">
        <f t="shared" si="53"/>
        <v>0</v>
      </c>
      <c r="G71" s="1"/>
      <c r="H71" s="1">
        <f>SUM(OSRRefH22_14x_0)</f>
        <v>6.78</v>
      </c>
      <c r="I71" s="1"/>
      <c r="J71" s="5">
        <f t="shared" si="54"/>
        <v>2.1542089525492582E-4</v>
      </c>
      <c r="K71" s="1"/>
      <c r="L71" s="1">
        <f t="shared" si="55"/>
        <v>-6.78</v>
      </c>
      <c r="M71" s="1"/>
      <c r="N71" s="5">
        <f t="shared" si="56"/>
        <v>-1</v>
      </c>
      <c r="O71" s="13"/>
      <c r="P71" s="1">
        <f>SUM(OSRRefP22_14x_0)</f>
        <v>11.5</v>
      </c>
      <c r="Q71" s="1"/>
      <c r="R71" s="5">
        <f t="shared" si="57"/>
        <v>6.0537282596141888E-5</v>
      </c>
      <c r="S71" s="1"/>
      <c r="T71" s="1">
        <f>SUM(OSRRefT22_14x_0)</f>
        <v>6.78</v>
      </c>
      <c r="U71" s="1"/>
      <c r="V71" s="5">
        <f t="shared" si="58"/>
        <v>2.9623361244831314E-5</v>
      </c>
      <c r="W71" s="1"/>
      <c r="X71" s="1">
        <f t="shared" si="59"/>
        <v>4.72</v>
      </c>
      <c r="Y71" s="1"/>
      <c r="Z71" s="5">
        <f t="shared" si="60"/>
        <v>0.69616519174041291</v>
      </c>
    </row>
    <row r="72" spans="1:26" s="24" customFormat="1" hidden="1" outlineLevel="2" x14ac:dyDescent="0.25">
      <c r="A72" s="27"/>
      <c r="B72" s="11" t="str">
        <f>CONCATENATE("          ", "6292", " - ", "TRAVEL/CONFERENCE")</f>
        <v xml:space="preserve">          6292 - TRAVEL/CONFERENCE</v>
      </c>
      <c r="C72" s="11"/>
      <c r="D72" s="6"/>
      <c r="E72" s="2"/>
      <c r="F72" s="7">
        <f t="shared" si="53"/>
        <v>0</v>
      </c>
      <c r="G72" s="2"/>
      <c r="H72" s="6">
        <v>6.78</v>
      </c>
      <c r="I72" s="2"/>
      <c r="J72" s="7">
        <f t="shared" si="54"/>
        <v>2.1542089525492582E-4</v>
      </c>
      <c r="K72" s="2"/>
      <c r="L72" s="6">
        <f t="shared" si="55"/>
        <v>-6.78</v>
      </c>
      <c r="M72" s="2"/>
      <c r="N72" s="7">
        <f t="shared" si="56"/>
        <v>-1</v>
      </c>
      <c r="O72" s="11"/>
      <c r="P72" s="6"/>
      <c r="Q72" s="2"/>
      <c r="R72" s="7">
        <f t="shared" si="57"/>
        <v>0</v>
      </c>
      <c r="S72" s="2"/>
      <c r="T72" s="6">
        <v>6.78</v>
      </c>
      <c r="U72" s="2"/>
      <c r="V72" s="7">
        <f t="shared" si="58"/>
        <v>2.9623361244831314E-5</v>
      </c>
      <c r="W72" s="2"/>
      <c r="X72" s="6">
        <f t="shared" si="59"/>
        <v>-6.78</v>
      </c>
      <c r="Y72" s="2"/>
      <c r="Z72" s="7">
        <f t="shared" si="60"/>
        <v>-1</v>
      </c>
    </row>
    <row r="73" spans="1:26" s="24" customFormat="1" hidden="1" outlineLevel="2" x14ac:dyDescent="0.25">
      <c r="A73" s="27"/>
      <c r="B73" s="11" t="str">
        <f>CONCATENATE("          ", "6294", " - ", "TRAVEL OPERATIONAL")</f>
        <v xml:space="preserve">          6294 - TRAVEL OPERATIONAL</v>
      </c>
      <c r="C73" s="11"/>
      <c r="D73" s="6"/>
      <c r="E73" s="2"/>
      <c r="F73" s="7">
        <f t="shared" si="53"/>
        <v>0</v>
      </c>
      <c r="G73" s="2"/>
      <c r="H73" s="6"/>
      <c r="I73" s="2"/>
      <c r="J73" s="7">
        <f t="shared" si="54"/>
        <v>0</v>
      </c>
      <c r="K73" s="2"/>
      <c r="L73" s="6">
        <f t="shared" si="55"/>
        <v>0</v>
      </c>
      <c r="M73" s="2"/>
      <c r="N73" s="7">
        <f t="shared" si="56"/>
        <v>0</v>
      </c>
      <c r="O73" s="11"/>
      <c r="P73" s="6">
        <v>11.5</v>
      </c>
      <c r="Q73" s="2"/>
      <c r="R73" s="7">
        <f t="shared" si="57"/>
        <v>6.0537282596141888E-5</v>
      </c>
      <c r="S73" s="2"/>
      <c r="T73" s="6"/>
      <c r="U73" s="2"/>
      <c r="V73" s="7">
        <f t="shared" si="58"/>
        <v>0</v>
      </c>
      <c r="W73" s="2"/>
      <c r="X73" s="6">
        <f t="shared" si="59"/>
        <v>11.5</v>
      </c>
      <c r="Y73" s="2"/>
      <c r="Z73" s="7">
        <f t="shared" si="60"/>
        <v>0</v>
      </c>
    </row>
    <row r="74" spans="1:26" s="53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1">
        <f>+D20-D22+D75</f>
        <v>-5825.18</v>
      </c>
      <c r="E77" s="14"/>
      <c r="F77" s="20">
        <f>IF(D$12=0,0,D77/D$12)</f>
        <v>0</v>
      </c>
      <c r="G77" s="14"/>
      <c r="H77" s="21">
        <f>+H20-H22+H75</f>
        <v>2795.5200000000004</v>
      </c>
      <c r="I77" s="14"/>
      <c r="J77" s="20">
        <f>IF(H$12=0,0,H77/H$12)</f>
        <v>8.8822038510774387E-2</v>
      </c>
      <c r="K77" s="15"/>
      <c r="L77" s="21">
        <f>+D77-H77</f>
        <v>-8620.7000000000007</v>
      </c>
      <c r="M77" s="15"/>
      <c r="N77" s="20">
        <f>IF(H77=0,0,L77/H77)</f>
        <v>-3.083755437271062</v>
      </c>
      <c r="O77" s="29"/>
      <c r="P77" s="21">
        <f>+P20-P22+P75</f>
        <v>-65945.920000000042</v>
      </c>
      <c r="Q77" s="14"/>
      <c r="R77" s="20">
        <f>IF(P$12=0,0,P77/P$12)</f>
        <v>-0.34714667783500586</v>
      </c>
      <c r="S77" s="14"/>
      <c r="T77" s="21">
        <f>+T20-T22+T75</f>
        <v>-24638.76999999999</v>
      </c>
      <c r="U77" s="14"/>
      <c r="V77" s="20">
        <f>IF(T$12=0,0,T77/T$12)</f>
        <v>-0.1076523870705475</v>
      </c>
      <c r="W77" s="15"/>
      <c r="X77" s="21">
        <f>+P77-T77</f>
        <v>-41307.150000000052</v>
      </c>
      <c r="Y77" s="15"/>
      <c r="Z77" s="20">
        <f>IF(T77=0,0,X77/T77)</f>
        <v>1.676510231639001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1213.96</v>
      </c>
      <c r="E79" s="4"/>
      <c r="F79" s="12">
        <f>IF(D$12=0,0,D79/D$12)</f>
        <v>0</v>
      </c>
      <c r="G79" s="4"/>
      <c r="H79" s="4">
        <v>3466.58</v>
      </c>
      <c r="I79" s="4"/>
      <c r="J79" s="12">
        <f>IF(H$12=0,0,H79/H$12)</f>
        <v>0.11014362346206795</v>
      </c>
      <c r="K79" s="4"/>
      <c r="L79" s="4">
        <f>+D79-H79</f>
        <v>-2252.62</v>
      </c>
      <c r="M79" s="4"/>
      <c r="N79" s="12">
        <f>IF(H79=0,0,L79/H79)</f>
        <v>-0.64981047603113151</v>
      </c>
      <c r="O79" s="10"/>
      <c r="P79" s="4">
        <v>21569.230000000003</v>
      </c>
      <c r="Q79" s="4"/>
      <c r="R79" s="12">
        <f>IF(P$12=0,0,P79/P$12)</f>
        <v>0.11354283233836363</v>
      </c>
      <c r="S79" s="4"/>
      <c r="T79" s="4">
        <v>23793.350000000002</v>
      </c>
      <c r="U79" s="4"/>
      <c r="V79" s="12">
        <f>IF(T$12=0,0,T79/T$12)</f>
        <v>0.10395855490777392</v>
      </c>
      <c r="W79" s="4"/>
      <c r="X79" s="4">
        <f>+P79-T79</f>
        <v>-2224.119999999999</v>
      </c>
      <c r="Y79" s="4"/>
      <c r="Z79" s="12">
        <f>IF(T79=0,0,X79/T79)</f>
        <v>-9.3476538612679544E-2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0">
        <f>+D77-D79</f>
        <v>-7039.14</v>
      </c>
      <c r="E81" s="14"/>
      <c r="F81" s="36">
        <f>IF(D$12=0,0,D81/D$12)</f>
        <v>0</v>
      </c>
      <c r="G81" s="14"/>
      <c r="H81" s="30">
        <f>+H77-H79</f>
        <v>-671.05999999999949</v>
      </c>
      <c r="I81" s="14"/>
      <c r="J81" s="36">
        <f>IF(H$12=0,0,H81/H$12)</f>
        <v>-2.1321584951293569E-2</v>
      </c>
      <c r="K81" s="15"/>
      <c r="L81" s="30">
        <f>D81-H81</f>
        <v>-6368.0800000000008</v>
      </c>
      <c r="M81" s="15"/>
      <c r="N81" s="36">
        <f>IF(H81=0,0,L81/H81)</f>
        <v>9.4895836437874497</v>
      </c>
      <c r="O81" s="29"/>
      <c r="P81" s="30">
        <f>+P77-P79</f>
        <v>-87515.150000000052</v>
      </c>
      <c r="Q81" s="14"/>
      <c r="R81" s="36">
        <f>IF(P$12=0,0,P81/P$12)</f>
        <v>-0.46068951017336957</v>
      </c>
      <c r="S81" s="14"/>
      <c r="T81" s="30">
        <f>+T77-T79</f>
        <v>-48432.119999999995</v>
      </c>
      <c r="U81" s="14"/>
      <c r="V81" s="36">
        <f>IF(T$12=0,0,T81/T$12)</f>
        <v>-0.21161094197832145</v>
      </c>
      <c r="W81" s="15"/>
      <c r="X81" s="30">
        <f>P81-T81</f>
        <v>-39083.030000000057</v>
      </c>
      <c r="Y81" s="15"/>
      <c r="Z81" s="36">
        <f>IF(T81=0,0,X81/T81)</f>
        <v>0.80696508845782633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1">
        <f>SUM(D81:D83)</f>
        <v>-7039.14</v>
      </c>
      <c r="E84" s="14"/>
      <c r="F84" s="32">
        <f>IF(D$12=0,0,D84/D$12)</f>
        <v>0</v>
      </c>
      <c r="G84" s="14"/>
      <c r="H84" s="31">
        <f>SUM(H81:H83)</f>
        <v>-671.05999999999949</v>
      </c>
      <c r="I84" s="14"/>
      <c r="J84" s="32">
        <f>IF(H$12=0,0,H84/H$12)</f>
        <v>-2.1321584951293569E-2</v>
      </c>
      <c r="K84" s="15"/>
      <c r="L84" s="31">
        <f>+D84-H84</f>
        <v>-6368.0800000000008</v>
      </c>
      <c r="M84" s="15"/>
      <c r="N84" s="32">
        <f>IF(H84=0,0,L84/H84)</f>
        <v>9.4895836437874497</v>
      </c>
      <c r="O84" s="29"/>
      <c r="P84" s="31">
        <f>SUM(P81:P83)</f>
        <v>-87515.150000000052</v>
      </c>
      <c r="Q84" s="14"/>
      <c r="R84" s="32">
        <f>IF(P$12=0,0,P84/P$12)</f>
        <v>-0.46068951017336957</v>
      </c>
      <c r="S84" s="14"/>
      <c r="T84" s="31">
        <f>SUM(T81:T83)</f>
        <v>-48432.119999999995</v>
      </c>
      <c r="U84" s="14"/>
      <c r="V84" s="32">
        <f>IF(T$12=0,0,T84/T$12)</f>
        <v>-0.21161094197832145</v>
      </c>
      <c r="W84" s="15"/>
      <c r="X84" s="31">
        <f>+P84-T84</f>
        <v>-39083.030000000057</v>
      </c>
      <c r="Y84" s="15"/>
      <c r="Z84" s="32">
        <f>IF(T84=0,0,X84/T84)</f>
        <v>0.80696508845782633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4">
        <v>43965.471236030091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9" t="s">
        <v>313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1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","411", " - ", "University Dining")</f>
        <v>Department 411 - University Dining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48052.229999999996</v>
      </c>
      <c r="E18" s="22"/>
      <c r="F18" s="35">
        <f t="shared" ref="F18:F28" si="0">IF(D$12=0,0,D18/D$12)</f>
        <v>0</v>
      </c>
      <c r="G18" s="22"/>
      <c r="H18" s="22">
        <f>SUM(OSRRefH22x_0)</f>
        <v>87503.37999999999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-39451.149999999994</v>
      </c>
      <c r="M18" s="4"/>
      <c r="N18" s="35">
        <f t="shared" ref="N18:N28" si="3">IF(H18=0,0,L18/H18)</f>
        <v>-0.45085286991199652</v>
      </c>
      <c r="O18" s="10"/>
      <c r="P18" s="22">
        <f>SUM(OSRRefP22x_0)</f>
        <v>930050.35000000009</v>
      </c>
      <c r="Q18" s="22"/>
      <c r="R18" s="35">
        <f t="shared" ref="R18:R28" si="4">IF(P$12=0,0,P18/P$12)</f>
        <v>0</v>
      </c>
      <c r="S18" s="22"/>
      <c r="T18" s="22">
        <f>SUM(OSRRefT22x_0)</f>
        <v>933121.57999999984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-3071.2299999997485</v>
      </c>
      <c r="Y18" s="4"/>
      <c r="Z18" s="35">
        <f t="shared" ref="Z18:Z28" si="7">IF(T18=0,0,X18/T18)</f>
        <v>-3.2913503082843171E-3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-985.73000000000047</v>
      </c>
      <c r="E19" s="1"/>
      <c r="F19" s="5">
        <f t="shared" si="0"/>
        <v>0</v>
      </c>
      <c r="G19" s="1"/>
      <c r="H19" s="1">
        <f>SUM(OSRRefH22_0x_0)</f>
        <v>9426.3699999999972</v>
      </c>
      <c r="I19" s="1"/>
      <c r="J19" s="5">
        <f t="shared" si="1"/>
        <v>0</v>
      </c>
      <c r="K19" s="1"/>
      <c r="L19" s="1">
        <f t="shared" si="2"/>
        <v>-10412.099999999999</v>
      </c>
      <c r="M19" s="1"/>
      <c r="N19" s="5">
        <f t="shared" si="3"/>
        <v>-1.1045715370816127</v>
      </c>
      <c r="O19" s="13"/>
      <c r="P19" s="1">
        <f>SUM(OSRRefP22_0x_0)</f>
        <v>69090.239999999991</v>
      </c>
      <c r="Q19" s="1"/>
      <c r="R19" s="5">
        <f t="shared" si="4"/>
        <v>0</v>
      </c>
      <c r="S19" s="1"/>
      <c r="T19" s="1">
        <f>SUM(OSRRefT22_0x_0)</f>
        <v>101840.12</v>
      </c>
      <c r="U19" s="1"/>
      <c r="V19" s="5">
        <f t="shared" si="5"/>
        <v>0</v>
      </c>
      <c r="W19" s="1"/>
      <c r="X19" s="1">
        <f t="shared" si="6"/>
        <v>-32749.880000000005</v>
      </c>
      <c r="Y19" s="1"/>
      <c r="Z19" s="5">
        <f t="shared" si="7"/>
        <v>-0.32158131785390676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1182.81</v>
      </c>
      <c r="E20" s="2"/>
      <c r="F20" s="7">
        <f t="shared" si="0"/>
        <v>0</v>
      </c>
      <c r="G20" s="2"/>
      <c r="H20" s="6">
        <v>1641.03</v>
      </c>
      <c r="I20" s="2"/>
      <c r="J20" s="7">
        <f t="shared" si="1"/>
        <v>0</v>
      </c>
      <c r="K20" s="2"/>
      <c r="L20" s="6">
        <f t="shared" si="2"/>
        <v>-458.22</v>
      </c>
      <c r="M20" s="2"/>
      <c r="N20" s="7">
        <f t="shared" si="3"/>
        <v>-0.27922707080309322</v>
      </c>
      <c r="O20" s="11"/>
      <c r="P20" s="6">
        <v>23327.18</v>
      </c>
      <c r="Q20" s="2"/>
      <c r="R20" s="7">
        <f t="shared" si="4"/>
        <v>0</v>
      </c>
      <c r="S20" s="2"/>
      <c r="T20" s="6">
        <v>17660.72</v>
      </c>
      <c r="U20" s="2"/>
      <c r="V20" s="7">
        <f t="shared" si="5"/>
        <v>0</v>
      </c>
      <c r="W20" s="2"/>
      <c r="X20" s="6">
        <f t="shared" si="6"/>
        <v>5666.4599999999991</v>
      </c>
      <c r="Y20" s="2"/>
      <c r="Z20" s="7">
        <f t="shared" si="7"/>
        <v>0.3208510185315207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182.31</v>
      </c>
      <c r="E21" s="2"/>
      <c r="F21" s="7">
        <f t="shared" si="0"/>
        <v>0</v>
      </c>
      <c r="G21" s="2"/>
      <c r="H21" s="6">
        <v>706.75</v>
      </c>
      <c r="I21" s="2"/>
      <c r="J21" s="7">
        <f t="shared" si="1"/>
        <v>0</v>
      </c>
      <c r="K21" s="2"/>
      <c r="L21" s="6">
        <f t="shared" si="2"/>
        <v>-524.44000000000005</v>
      </c>
      <c r="M21" s="2"/>
      <c r="N21" s="7">
        <f t="shared" si="3"/>
        <v>-0.74204457021577652</v>
      </c>
      <c r="O21" s="11"/>
      <c r="P21" s="6">
        <v>8542.17</v>
      </c>
      <c r="Q21" s="2"/>
      <c r="R21" s="7">
        <f t="shared" si="4"/>
        <v>0</v>
      </c>
      <c r="S21" s="2"/>
      <c r="T21" s="6">
        <v>6708.98</v>
      </c>
      <c r="U21" s="2"/>
      <c r="V21" s="7">
        <f t="shared" si="5"/>
        <v>0</v>
      </c>
      <c r="W21" s="2"/>
      <c r="X21" s="6">
        <f t="shared" si="6"/>
        <v>1833.1900000000005</v>
      </c>
      <c r="Y21" s="2"/>
      <c r="Z21" s="7">
        <f t="shared" si="7"/>
        <v>0.27324421894237283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2158.9699999999998</v>
      </c>
      <c r="E22" s="2"/>
      <c r="F22" s="7">
        <f t="shared" si="0"/>
        <v>0</v>
      </c>
      <c r="G22" s="2"/>
      <c r="H22" s="6">
        <v>3524.52</v>
      </c>
      <c r="I22" s="2"/>
      <c r="J22" s="7">
        <f t="shared" si="1"/>
        <v>0</v>
      </c>
      <c r="K22" s="2"/>
      <c r="L22" s="6">
        <f t="shared" si="2"/>
        <v>-1365.5500000000002</v>
      </c>
      <c r="M22" s="2"/>
      <c r="N22" s="7">
        <f t="shared" si="3"/>
        <v>-0.38744282909445832</v>
      </c>
      <c r="O22" s="11"/>
      <c r="P22" s="6">
        <v>33140.5</v>
      </c>
      <c r="Q22" s="2"/>
      <c r="R22" s="7">
        <f t="shared" si="4"/>
        <v>0</v>
      </c>
      <c r="S22" s="2"/>
      <c r="T22" s="6">
        <v>34329.39</v>
      </c>
      <c r="U22" s="2"/>
      <c r="V22" s="7">
        <f t="shared" si="5"/>
        <v>0</v>
      </c>
      <c r="W22" s="2"/>
      <c r="X22" s="6">
        <f t="shared" si="6"/>
        <v>-1188.8899999999994</v>
      </c>
      <c r="Y22" s="2"/>
      <c r="Z22" s="7">
        <f t="shared" si="7"/>
        <v>-3.4631841695992836E-2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26.8</v>
      </c>
      <c r="E23" s="2"/>
      <c r="F23" s="7">
        <f t="shared" si="0"/>
        <v>0</v>
      </c>
      <c r="G23" s="2"/>
      <c r="H23" s="6">
        <v>56.03</v>
      </c>
      <c r="I23" s="2"/>
      <c r="J23" s="7">
        <f t="shared" si="1"/>
        <v>0</v>
      </c>
      <c r="K23" s="2"/>
      <c r="L23" s="6">
        <f t="shared" si="2"/>
        <v>-29.23</v>
      </c>
      <c r="M23" s="2"/>
      <c r="N23" s="7">
        <f t="shared" si="3"/>
        <v>-0.52168481170801351</v>
      </c>
      <c r="O23" s="11"/>
      <c r="P23" s="6">
        <v>799.72</v>
      </c>
      <c r="Q23" s="2"/>
      <c r="R23" s="7">
        <f t="shared" si="4"/>
        <v>0</v>
      </c>
      <c r="S23" s="2"/>
      <c r="T23" s="6">
        <v>628.04</v>
      </c>
      <c r="U23" s="2"/>
      <c r="V23" s="7">
        <f t="shared" si="5"/>
        <v>0</v>
      </c>
      <c r="W23" s="2"/>
      <c r="X23" s="6">
        <f t="shared" si="6"/>
        <v>171.68000000000006</v>
      </c>
      <c r="Y23" s="2"/>
      <c r="Z23" s="7">
        <f t="shared" si="7"/>
        <v>0.27335838481625385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918.93</v>
      </c>
      <c r="E24" s="2"/>
      <c r="F24" s="7">
        <f t="shared" si="0"/>
        <v>0</v>
      </c>
      <c r="G24" s="2"/>
      <c r="H24" s="6">
        <v>1067.8699999999999</v>
      </c>
      <c r="I24" s="2"/>
      <c r="J24" s="7">
        <f t="shared" si="1"/>
        <v>0</v>
      </c>
      <c r="K24" s="2"/>
      <c r="L24" s="6">
        <f t="shared" si="2"/>
        <v>-148.93999999999994</v>
      </c>
      <c r="M24" s="2"/>
      <c r="N24" s="7">
        <f t="shared" si="3"/>
        <v>-0.13947390599979395</v>
      </c>
      <c r="O24" s="11"/>
      <c r="P24" s="6">
        <v>15569.96</v>
      </c>
      <c r="Q24" s="2"/>
      <c r="R24" s="7">
        <f t="shared" si="4"/>
        <v>0</v>
      </c>
      <c r="S24" s="2"/>
      <c r="T24" s="6">
        <v>12609.82</v>
      </c>
      <c r="U24" s="2"/>
      <c r="V24" s="7">
        <f t="shared" si="5"/>
        <v>0</v>
      </c>
      <c r="W24" s="2"/>
      <c r="X24" s="6">
        <f t="shared" si="6"/>
        <v>2960.1399999999994</v>
      </c>
      <c r="Y24" s="2"/>
      <c r="Z24" s="7">
        <f t="shared" si="7"/>
        <v>0.23474879102160059</v>
      </c>
    </row>
    <row r="25" spans="1:26" s="24" customFormat="1" hidden="1" outlineLevel="2" x14ac:dyDescent="0.25">
      <c r="A25" s="27"/>
      <c r="B25" s="11" t="str">
        <f>CONCATENATE("          ", "6117", " - ", "RETIREMENT STAFF HOURLY")</f>
        <v xml:space="preserve">          6117 - RETIREMENT STAFF HOURLY</v>
      </c>
      <c r="C25" s="11"/>
      <c r="D25" s="6">
        <v>84</v>
      </c>
      <c r="E25" s="2"/>
      <c r="F25" s="7">
        <f t="shared" si="0"/>
        <v>0</v>
      </c>
      <c r="G25" s="2"/>
      <c r="H25" s="6">
        <v>84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588</v>
      </c>
      <c r="Q25" s="2"/>
      <c r="R25" s="7">
        <f t="shared" si="4"/>
        <v>0</v>
      </c>
      <c r="S25" s="2"/>
      <c r="T25" s="6">
        <v>616</v>
      </c>
      <c r="U25" s="2"/>
      <c r="V25" s="7">
        <f t="shared" si="5"/>
        <v>0</v>
      </c>
      <c r="W25" s="2"/>
      <c r="X25" s="6">
        <f t="shared" si="6"/>
        <v>-28</v>
      </c>
      <c r="Y25" s="2"/>
      <c r="Z25" s="7">
        <f t="shared" si="7"/>
        <v>-4.5454545454545456E-2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1321.05</v>
      </c>
      <c r="E26" s="2"/>
      <c r="F26" s="7">
        <f t="shared" si="0"/>
        <v>0</v>
      </c>
      <c r="G26" s="2"/>
      <c r="H26" s="6">
        <v>1326.06</v>
      </c>
      <c r="I26" s="2"/>
      <c r="J26" s="7">
        <f t="shared" si="1"/>
        <v>0</v>
      </c>
      <c r="K26" s="2"/>
      <c r="L26" s="6">
        <f t="shared" si="2"/>
        <v>-5.0099999999999909</v>
      </c>
      <c r="M26" s="2"/>
      <c r="N26" s="7">
        <f t="shared" si="3"/>
        <v>-3.7781095878014503E-3</v>
      </c>
      <c r="O26" s="11"/>
      <c r="P26" s="6">
        <v>15559.21</v>
      </c>
      <c r="Q26" s="2"/>
      <c r="R26" s="7">
        <f t="shared" si="4"/>
        <v>0</v>
      </c>
      <c r="S26" s="2"/>
      <c r="T26" s="6">
        <v>13310.39</v>
      </c>
      <c r="U26" s="2"/>
      <c r="V26" s="7">
        <f t="shared" si="5"/>
        <v>0</v>
      </c>
      <c r="W26" s="2"/>
      <c r="X26" s="6">
        <f t="shared" si="6"/>
        <v>2248.8199999999997</v>
      </c>
      <c r="Y26" s="2"/>
      <c r="Z26" s="7">
        <f t="shared" si="7"/>
        <v>0.16895222454037784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-6940.6</v>
      </c>
      <c r="E27" s="2"/>
      <c r="F27" s="7">
        <f t="shared" si="0"/>
        <v>0</v>
      </c>
      <c r="G27" s="2"/>
      <c r="H27" s="6">
        <v>675.14</v>
      </c>
      <c r="I27" s="2"/>
      <c r="J27" s="7">
        <f t="shared" si="1"/>
        <v>0</v>
      </c>
      <c r="K27" s="2"/>
      <c r="L27" s="6">
        <f t="shared" si="2"/>
        <v>-7615.7400000000007</v>
      </c>
      <c r="M27" s="2"/>
      <c r="N27" s="7">
        <f t="shared" si="3"/>
        <v>-11.280238172823415</v>
      </c>
      <c r="O27" s="11"/>
      <c r="P27" s="6">
        <v>-31940.670000000002</v>
      </c>
      <c r="Q27" s="2"/>
      <c r="R27" s="7">
        <f t="shared" si="4"/>
        <v>0</v>
      </c>
      <c r="S27" s="2"/>
      <c r="T27" s="6">
        <v>11228.12</v>
      </c>
      <c r="U27" s="2"/>
      <c r="V27" s="7">
        <f t="shared" si="5"/>
        <v>0</v>
      </c>
      <c r="W27" s="2"/>
      <c r="X27" s="6">
        <f t="shared" si="6"/>
        <v>-43168.79</v>
      </c>
      <c r="Y27" s="2"/>
      <c r="Z27" s="7">
        <f t="shared" si="7"/>
        <v>-3.8447032985041125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80</v>
      </c>
      <c r="E28" s="2"/>
      <c r="F28" s="7">
        <f t="shared" si="0"/>
        <v>0</v>
      </c>
      <c r="G28" s="2"/>
      <c r="H28" s="6">
        <v>344.97</v>
      </c>
      <c r="I28" s="2"/>
      <c r="J28" s="7">
        <f t="shared" si="1"/>
        <v>0</v>
      </c>
      <c r="K28" s="2"/>
      <c r="L28" s="6">
        <f t="shared" si="2"/>
        <v>-264.97000000000003</v>
      </c>
      <c r="M28" s="2"/>
      <c r="N28" s="7">
        <f t="shared" si="3"/>
        <v>-0.76809577644432847</v>
      </c>
      <c r="O28" s="11"/>
      <c r="P28" s="6">
        <v>3504.17</v>
      </c>
      <c r="Q28" s="2"/>
      <c r="R28" s="7">
        <f t="shared" si="4"/>
        <v>0</v>
      </c>
      <c r="S28" s="2"/>
      <c r="T28" s="6">
        <v>4748.66</v>
      </c>
      <c r="U28" s="2"/>
      <c r="V28" s="7">
        <f t="shared" si="5"/>
        <v>0</v>
      </c>
      <c r="W28" s="2"/>
      <c r="X28" s="6">
        <f t="shared" si="6"/>
        <v>-1244.4899999999998</v>
      </c>
      <c r="Y28" s="2"/>
      <c r="Z28" s="7">
        <f t="shared" si="7"/>
        <v>-0.26207182657844524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4753.6499999999996</v>
      </c>
      <c r="E29" s="1"/>
      <c r="F29" s="5">
        <f t="shared" ref="F29:F35" si="8">IF(D$12=0,0,D29/D$12)</f>
        <v>0</v>
      </c>
      <c r="G29" s="1"/>
      <c r="H29" s="1">
        <f>SUM(OSRRefH22_1x_0)</f>
        <v>19851.689999999999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-15098.039999999999</v>
      </c>
      <c r="M29" s="1"/>
      <c r="N29" s="5">
        <f t="shared" ref="N29:N35" si="11">IF(H29=0,0,L29/H29)</f>
        <v>-0.76054179770085062</v>
      </c>
      <c r="O29" s="13"/>
      <c r="P29" s="1">
        <f>SUM(OSRRefP22_1x_0)</f>
        <v>253553.05000000002</v>
      </c>
      <c r="Q29" s="1"/>
      <c r="R29" s="5">
        <f t="shared" ref="R29:R35" si="12">IF(P$12=0,0,P29/P$12)</f>
        <v>0</v>
      </c>
      <c r="S29" s="1"/>
      <c r="T29" s="1">
        <f>SUM(OSRRefT22_1x_0)</f>
        <v>211414.38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42138.670000000013</v>
      </c>
      <c r="Y29" s="1"/>
      <c r="Z29" s="5">
        <f t="shared" ref="Z29:Z35" si="15">IF(T29=0,0,X29/T29)</f>
        <v>0.19931789881085674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7701.44</v>
      </c>
      <c r="I30" s="2"/>
      <c r="J30" s="7">
        <f t="shared" si="9"/>
        <v>0</v>
      </c>
      <c r="K30" s="2"/>
      <c r="L30" s="6">
        <f t="shared" si="10"/>
        <v>-7701.44</v>
      </c>
      <c r="M30" s="2"/>
      <c r="N30" s="7">
        <f t="shared" si="11"/>
        <v>-1</v>
      </c>
      <c r="O30" s="11"/>
      <c r="P30" s="6">
        <v>67427.61</v>
      </c>
      <c r="Q30" s="2"/>
      <c r="R30" s="7">
        <f t="shared" si="12"/>
        <v>0</v>
      </c>
      <c r="S30" s="2"/>
      <c r="T30" s="6">
        <v>83004.160000000003</v>
      </c>
      <c r="U30" s="2"/>
      <c r="V30" s="7">
        <f t="shared" si="13"/>
        <v>0</v>
      </c>
      <c r="W30" s="2"/>
      <c r="X30" s="6">
        <f t="shared" si="14"/>
        <v>-15576.550000000003</v>
      </c>
      <c r="Y30" s="2"/>
      <c r="Z30" s="7">
        <f t="shared" si="15"/>
        <v>-0.18765987150523541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4753.6499999999996</v>
      </c>
      <c r="E31" s="2"/>
      <c r="F31" s="7">
        <f t="shared" si="8"/>
        <v>0</v>
      </c>
      <c r="G31" s="2"/>
      <c r="H31" s="6">
        <v>3264</v>
      </c>
      <c r="I31" s="2"/>
      <c r="J31" s="7">
        <f t="shared" si="9"/>
        <v>0</v>
      </c>
      <c r="K31" s="2"/>
      <c r="L31" s="6">
        <f t="shared" si="10"/>
        <v>1489.6499999999996</v>
      </c>
      <c r="M31" s="2"/>
      <c r="N31" s="7">
        <f t="shared" si="11"/>
        <v>0.45638786764705869</v>
      </c>
      <c r="O31" s="11"/>
      <c r="P31" s="6">
        <v>49852.86</v>
      </c>
      <c r="Q31" s="2"/>
      <c r="R31" s="7">
        <f t="shared" si="12"/>
        <v>0</v>
      </c>
      <c r="S31" s="2"/>
      <c r="T31" s="6">
        <v>37316.32</v>
      </c>
      <c r="U31" s="2"/>
      <c r="V31" s="7">
        <f t="shared" si="13"/>
        <v>0</v>
      </c>
      <c r="W31" s="2"/>
      <c r="X31" s="6">
        <f t="shared" si="14"/>
        <v>12536.54</v>
      </c>
      <c r="Y31" s="2"/>
      <c r="Z31" s="7">
        <f t="shared" si="15"/>
        <v>0.33595327727921726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1680</v>
      </c>
      <c r="I32" s="2"/>
      <c r="J32" s="7">
        <f t="shared" si="9"/>
        <v>0</v>
      </c>
      <c r="K32" s="2"/>
      <c r="L32" s="6">
        <f t="shared" si="10"/>
        <v>-1680</v>
      </c>
      <c r="M32" s="2"/>
      <c r="N32" s="7">
        <f t="shared" si="11"/>
        <v>-1</v>
      </c>
      <c r="O32" s="11"/>
      <c r="P32" s="6">
        <v>23599.230000000003</v>
      </c>
      <c r="Q32" s="2"/>
      <c r="R32" s="7">
        <f t="shared" si="12"/>
        <v>0</v>
      </c>
      <c r="S32" s="2"/>
      <c r="T32" s="6">
        <v>18808.63</v>
      </c>
      <c r="U32" s="2"/>
      <c r="V32" s="7">
        <f t="shared" si="13"/>
        <v>0</v>
      </c>
      <c r="W32" s="2"/>
      <c r="X32" s="6">
        <f t="shared" si="14"/>
        <v>4790.6000000000022</v>
      </c>
      <c r="Y32" s="2"/>
      <c r="Z32" s="7">
        <f t="shared" si="15"/>
        <v>0.25470222977431117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6936.25</v>
      </c>
      <c r="I33" s="2"/>
      <c r="J33" s="7">
        <f t="shared" si="9"/>
        <v>0</v>
      </c>
      <c r="K33" s="2"/>
      <c r="L33" s="6">
        <f t="shared" si="10"/>
        <v>-6936.25</v>
      </c>
      <c r="M33" s="2"/>
      <c r="N33" s="7">
        <f t="shared" si="11"/>
        <v>-1</v>
      </c>
      <c r="O33" s="11"/>
      <c r="P33" s="6">
        <v>94654.75</v>
      </c>
      <c r="Q33" s="2"/>
      <c r="R33" s="7">
        <f t="shared" si="12"/>
        <v>0</v>
      </c>
      <c r="S33" s="2"/>
      <c r="T33" s="6">
        <v>66341.52</v>
      </c>
      <c r="U33" s="2"/>
      <c r="V33" s="7">
        <f t="shared" si="13"/>
        <v>0</v>
      </c>
      <c r="W33" s="2"/>
      <c r="X33" s="6">
        <f t="shared" si="14"/>
        <v>28313.229999999996</v>
      </c>
      <c r="Y33" s="2"/>
      <c r="Z33" s="7">
        <f t="shared" si="15"/>
        <v>0.42677994112887363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1236.8800000000001</v>
      </c>
      <c r="Q34" s="2"/>
      <c r="R34" s="7">
        <f t="shared" si="12"/>
        <v>0</v>
      </c>
      <c r="S34" s="2"/>
      <c r="T34" s="6">
        <v>1176.75</v>
      </c>
      <c r="U34" s="2"/>
      <c r="V34" s="7">
        <f t="shared" si="13"/>
        <v>0</v>
      </c>
      <c r="W34" s="2"/>
      <c r="X34" s="6">
        <f t="shared" si="14"/>
        <v>60.130000000000109</v>
      </c>
      <c r="Y34" s="2"/>
      <c r="Z34" s="7">
        <f t="shared" si="15"/>
        <v>5.1098364138517198E-2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270</v>
      </c>
      <c r="I35" s="2"/>
      <c r="J35" s="7">
        <f t="shared" si="9"/>
        <v>0</v>
      </c>
      <c r="K35" s="2"/>
      <c r="L35" s="6">
        <f t="shared" si="10"/>
        <v>-270</v>
      </c>
      <c r="M35" s="2"/>
      <c r="N35" s="7">
        <f t="shared" si="11"/>
        <v>-1</v>
      </c>
      <c r="O35" s="11"/>
      <c r="P35" s="6">
        <v>16781.72</v>
      </c>
      <c r="Q35" s="2"/>
      <c r="R35" s="7">
        <f t="shared" si="12"/>
        <v>0</v>
      </c>
      <c r="S35" s="2"/>
      <c r="T35" s="6">
        <v>4767</v>
      </c>
      <c r="U35" s="2"/>
      <c r="V35" s="7">
        <f t="shared" si="13"/>
        <v>0</v>
      </c>
      <c r="W35" s="2"/>
      <c r="X35" s="6">
        <f t="shared" si="14"/>
        <v>12014.720000000001</v>
      </c>
      <c r="Y35" s="2"/>
      <c r="Z35" s="7">
        <f t="shared" si="15"/>
        <v>2.5203943780155238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330.24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-330.24</v>
      </c>
      <c r="M36" s="1"/>
      <c r="N36" s="5">
        <f t="shared" ref="N36:N43" si="19">IF(H36=0,0,L36/H36)</f>
        <v>-1</v>
      </c>
      <c r="O36" s="13"/>
      <c r="P36" s="1">
        <f>SUM(OSRRefP22_2x_0)</f>
        <v>3780.74</v>
      </c>
      <c r="Q36" s="1"/>
      <c r="R36" s="5">
        <f t="shared" ref="R36:R43" si="20">IF(P$12=0,0,P36/P$12)</f>
        <v>0</v>
      </c>
      <c r="S36" s="1"/>
      <c r="T36" s="1">
        <f>SUM(OSRRefT22_2x_0)</f>
        <v>2156.62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1624.12</v>
      </c>
      <c r="Y36" s="1"/>
      <c r="Z36" s="5">
        <f t="shared" ref="Z36:Z43" si="23">IF(T36=0,0,X36/T36)</f>
        <v>0.75308584729808681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330.24</v>
      </c>
      <c r="I37" s="2"/>
      <c r="J37" s="7">
        <f t="shared" si="17"/>
        <v>0</v>
      </c>
      <c r="K37" s="2"/>
      <c r="L37" s="6">
        <f t="shared" si="18"/>
        <v>-330.24</v>
      </c>
      <c r="M37" s="2"/>
      <c r="N37" s="7">
        <f t="shared" si="19"/>
        <v>-1</v>
      </c>
      <c r="O37" s="11"/>
      <c r="P37" s="6">
        <v>3780.74</v>
      </c>
      <c r="Q37" s="2"/>
      <c r="R37" s="7">
        <f t="shared" si="20"/>
        <v>0</v>
      </c>
      <c r="S37" s="2"/>
      <c r="T37" s="6">
        <v>2156.62</v>
      </c>
      <c r="U37" s="2"/>
      <c r="V37" s="7">
        <f t="shared" si="21"/>
        <v>0</v>
      </c>
      <c r="W37" s="2"/>
      <c r="X37" s="6">
        <f t="shared" si="22"/>
        <v>1624.12</v>
      </c>
      <c r="Y37" s="2"/>
      <c r="Z37" s="7">
        <f t="shared" si="23"/>
        <v>0.75308584729808681</v>
      </c>
    </row>
    <row r="38" spans="1:26" s="25" customFormat="1" outlineLevel="1" collapsed="1" x14ac:dyDescent="0.25">
      <c r="A38" s="26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5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5</v>
      </c>
      <c r="M38" s="1"/>
      <c r="N38" s="5">
        <f t="shared" si="19"/>
        <v>0</v>
      </c>
      <c r="O38" s="13"/>
      <c r="P38" s="1">
        <f>SUM(OSRRefP22_3x_0)</f>
        <v>5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5</v>
      </c>
      <c r="Y38" s="1"/>
      <c r="Z38" s="5">
        <f t="shared" si="23"/>
        <v>0</v>
      </c>
    </row>
    <row r="39" spans="1:26" s="24" customFormat="1" hidden="1" outlineLevel="2" x14ac:dyDescent="0.25">
      <c r="A39" s="27"/>
      <c r="B39" s="11" t="str">
        <f>CONCATENATE("          ", "6381", " - ", "BANK/CREDIT CARD FEES")</f>
        <v xml:space="preserve">          6381 - BANK/CREDIT CARD FEES</v>
      </c>
      <c r="C39" s="11"/>
      <c r="D39" s="6">
        <v>5</v>
      </c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5</v>
      </c>
      <c r="M39" s="2"/>
      <c r="N39" s="7">
        <f t="shared" si="19"/>
        <v>0</v>
      </c>
      <c r="O39" s="11"/>
      <c r="P39" s="6">
        <v>5</v>
      </c>
      <c r="Q39" s="2"/>
      <c r="R39" s="7">
        <f t="shared" si="20"/>
        <v>0</v>
      </c>
      <c r="S39" s="2"/>
      <c r="T39" s="6"/>
      <c r="U39" s="2"/>
      <c r="V39" s="7">
        <f t="shared" si="21"/>
        <v>0</v>
      </c>
      <c r="W39" s="2"/>
      <c r="X39" s="6">
        <f t="shared" si="22"/>
        <v>5</v>
      </c>
      <c r="Y39" s="2"/>
      <c r="Z39" s="7">
        <f t="shared" si="23"/>
        <v>0</v>
      </c>
    </row>
    <row r="40" spans="1:26" s="25" customFormat="1" outlineLevel="1" collapsed="1" x14ac:dyDescent="0.25">
      <c r="A40" s="26"/>
      <c r="B40" s="13" t="str">
        <f>CONCATENATE("     ","Depreciation                                      ")</f>
        <v xml:space="preserve">     Depreciation                                      </v>
      </c>
      <c r="C40" s="13"/>
      <c r="D40" s="1">
        <f>SUM(OSRRefD22_4x_0)</f>
        <v>7612.7800000000007</v>
      </c>
      <c r="E40" s="1"/>
      <c r="F40" s="5">
        <f t="shared" si="16"/>
        <v>0</v>
      </c>
      <c r="G40" s="1"/>
      <c r="H40" s="1">
        <f>SUM(OSRRefH22_4x_0)</f>
        <v>8279.7999999999993</v>
      </c>
      <c r="I40" s="1"/>
      <c r="J40" s="5">
        <f t="shared" si="17"/>
        <v>0</v>
      </c>
      <c r="K40" s="1"/>
      <c r="L40" s="1">
        <f t="shared" si="18"/>
        <v>-667.01999999999862</v>
      </c>
      <c r="M40" s="1"/>
      <c r="N40" s="5">
        <f t="shared" si="19"/>
        <v>-8.0559916906205301E-2</v>
      </c>
      <c r="O40" s="13"/>
      <c r="P40" s="1">
        <f>SUM(OSRRefP22_4x_0)</f>
        <v>71197.72</v>
      </c>
      <c r="Q40" s="1"/>
      <c r="R40" s="5">
        <f t="shared" si="20"/>
        <v>0</v>
      </c>
      <c r="S40" s="1"/>
      <c r="T40" s="1">
        <f>SUM(OSRRefT22_4x_0)</f>
        <v>93299.12</v>
      </c>
      <c r="U40" s="1"/>
      <c r="V40" s="5">
        <f t="shared" si="21"/>
        <v>0</v>
      </c>
      <c r="W40" s="1"/>
      <c r="X40" s="1">
        <f t="shared" si="22"/>
        <v>-22101.399999999994</v>
      </c>
      <c r="Y40" s="1"/>
      <c r="Z40" s="5">
        <f t="shared" si="23"/>
        <v>-0.23688755049350943</v>
      </c>
    </row>
    <row r="41" spans="1:26" s="24" customFormat="1" hidden="1" outlineLevel="2" x14ac:dyDescent="0.25">
      <c r="A41" s="27"/>
      <c r="B41" s="11" t="str">
        <f>CONCATENATE("          ", "6321", " - ", "BUILDING DEPRECIATION")</f>
        <v xml:space="preserve">          6321 - BUILDING DEPRECIATION</v>
      </c>
      <c r="C41" s="11"/>
      <c r="D41" s="6">
        <v>2266.9499999999998</v>
      </c>
      <c r="E41" s="2"/>
      <c r="F41" s="7">
        <f t="shared" si="16"/>
        <v>0</v>
      </c>
      <c r="G41" s="2"/>
      <c r="H41" s="6">
        <v>4849.1000000000004</v>
      </c>
      <c r="I41" s="2"/>
      <c r="J41" s="7">
        <f t="shared" si="17"/>
        <v>0</v>
      </c>
      <c r="K41" s="2"/>
      <c r="L41" s="6">
        <f t="shared" si="18"/>
        <v>-2582.1500000000005</v>
      </c>
      <c r="M41" s="2"/>
      <c r="N41" s="7">
        <f t="shared" si="19"/>
        <v>-0.53250087645130029</v>
      </c>
      <c r="O41" s="11"/>
      <c r="P41" s="6">
        <v>22669.5</v>
      </c>
      <c r="Q41" s="2"/>
      <c r="R41" s="7">
        <f t="shared" si="20"/>
        <v>0</v>
      </c>
      <c r="S41" s="2"/>
      <c r="T41" s="6">
        <v>61150.749999999993</v>
      </c>
      <c r="U41" s="2"/>
      <c r="V41" s="7">
        <f t="shared" si="21"/>
        <v>0</v>
      </c>
      <c r="W41" s="2"/>
      <c r="X41" s="6">
        <f t="shared" si="22"/>
        <v>-38481.249999999993</v>
      </c>
      <c r="Y41" s="2"/>
      <c r="Z41" s="7">
        <f t="shared" si="23"/>
        <v>-0.62928500468105453</v>
      </c>
    </row>
    <row r="42" spans="1:26" s="24" customFormat="1" hidden="1" outlineLevel="2" x14ac:dyDescent="0.25">
      <c r="A42" s="27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4921.6000000000004</v>
      </c>
      <c r="E42" s="2"/>
      <c r="F42" s="7">
        <f t="shared" si="16"/>
        <v>0</v>
      </c>
      <c r="G42" s="2"/>
      <c r="H42" s="6">
        <v>3006.45</v>
      </c>
      <c r="I42" s="2"/>
      <c r="J42" s="7">
        <f t="shared" si="17"/>
        <v>0</v>
      </c>
      <c r="K42" s="2"/>
      <c r="L42" s="6">
        <f t="shared" si="18"/>
        <v>1915.1500000000005</v>
      </c>
      <c r="M42" s="2"/>
      <c r="N42" s="7">
        <f t="shared" si="19"/>
        <v>0.63701375376274361</v>
      </c>
      <c r="O42" s="11"/>
      <c r="P42" s="6">
        <v>44285.740000000005</v>
      </c>
      <c r="Q42" s="2"/>
      <c r="R42" s="7">
        <f t="shared" si="20"/>
        <v>0</v>
      </c>
      <c r="S42" s="2"/>
      <c r="T42" s="6">
        <v>27905.870000000003</v>
      </c>
      <c r="U42" s="2"/>
      <c r="V42" s="7">
        <f t="shared" si="21"/>
        <v>0</v>
      </c>
      <c r="W42" s="2"/>
      <c r="X42" s="6">
        <f t="shared" si="22"/>
        <v>16379.870000000003</v>
      </c>
      <c r="Y42" s="2"/>
      <c r="Z42" s="7">
        <f t="shared" si="23"/>
        <v>0.58696861986384952</v>
      </c>
    </row>
    <row r="43" spans="1:26" s="24" customFormat="1" hidden="1" outlineLevel="2" x14ac:dyDescent="0.25">
      <c r="A43" s="27"/>
      <c r="B43" s="11" t="str">
        <f>CONCATENATE("          ", "6326", " - ", "VEHICLES DEPRECIATION EXPENSE")</f>
        <v xml:space="preserve">          6326 - VEHICLES DEPRECIATION EXPENSE</v>
      </c>
      <c r="C43" s="11"/>
      <c r="D43" s="6">
        <v>424.23</v>
      </c>
      <c r="E43" s="2"/>
      <c r="F43" s="7">
        <f t="shared" si="16"/>
        <v>0</v>
      </c>
      <c r="G43" s="2"/>
      <c r="H43" s="6">
        <v>424.25</v>
      </c>
      <c r="I43" s="2"/>
      <c r="J43" s="7">
        <f t="shared" si="17"/>
        <v>0</v>
      </c>
      <c r="K43" s="2"/>
      <c r="L43" s="6">
        <f t="shared" si="18"/>
        <v>-1.999999999998181E-2</v>
      </c>
      <c r="M43" s="2"/>
      <c r="N43" s="7">
        <f t="shared" si="19"/>
        <v>-4.7142015321112106E-5</v>
      </c>
      <c r="O43" s="11"/>
      <c r="P43" s="6">
        <v>4242.4799999999996</v>
      </c>
      <c r="Q43" s="2"/>
      <c r="R43" s="7">
        <f t="shared" si="20"/>
        <v>0</v>
      </c>
      <c r="S43" s="2"/>
      <c r="T43" s="6">
        <v>4242.5</v>
      </c>
      <c r="U43" s="2"/>
      <c r="V43" s="7">
        <f t="shared" si="21"/>
        <v>0</v>
      </c>
      <c r="W43" s="2"/>
      <c r="X43" s="6">
        <f t="shared" si="22"/>
        <v>-2.0000000000436557E-2</v>
      </c>
      <c r="Y43" s="2"/>
      <c r="Z43" s="7">
        <f t="shared" si="23"/>
        <v>-4.7142015322183987E-6</v>
      </c>
    </row>
    <row r="44" spans="1:26" s="25" customFormat="1" outlineLevel="1" collapsed="1" x14ac:dyDescent="0.25">
      <c r="A44" s="26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SUM(OSRRefD22_5x_0)</f>
        <v>0</v>
      </c>
      <c r="E44" s="1"/>
      <c r="F44" s="5">
        <f t="shared" ref="F44:F62" si="24">IF(D$12=0,0,D44/D$12)</f>
        <v>0</v>
      </c>
      <c r="G44" s="1"/>
      <c r="H44" s="1">
        <f>SUM(OSRRefH22_5x_0)</f>
        <v>0</v>
      </c>
      <c r="I44" s="1"/>
      <c r="J44" s="5">
        <f t="shared" ref="J44:J62" si="25">IF(H$12=0,0,H44/H$12)</f>
        <v>0</v>
      </c>
      <c r="K44" s="1"/>
      <c r="L44" s="1">
        <f t="shared" ref="L44:L62" si="26">+D44-H44</f>
        <v>0</v>
      </c>
      <c r="M44" s="1"/>
      <c r="N44" s="5">
        <f t="shared" ref="N44:N62" si="27">IF(H44=0,0,L44/H44)</f>
        <v>0</v>
      </c>
      <c r="O44" s="13"/>
      <c r="P44" s="1">
        <f>SUM(OSRRefP22_5x_0)</f>
        <v>163.68</v>
      </c>
      <c r="Q44" s="1"/>
      <c r="R44" s="5">
        <f t="shared" ref="R44:R62" si="28">IF(P$12=0,0,P44/P$12)</f>
        <v>0</v>
      </c>
      <c r="S44" s="1"/>
      <c r="T44" s="1">
        <f>SUM(OSRRefT22_5x_0)</f>
        <v>876.48</v>
      </c>
      <c r="U44" s="1"/>
      <c r="V44" s="5">
        <f t="shared" ref="V44:V62" si="29">IF(T$12=0,0,T44/T$12)</f>
        <v>0</v>
      </c>
      <c r="W44" s="1"/>
      <c r="X44" s="1">
        <f t="shared" ref="X44:X62" si="30">+P44-T44</f>
        <v>-712.8</v>
      </c>
      <c r="Y44" s="1"/>
      <c r="Z44" s="5">
        <f t="shared" ref="Z44:Z62" si="31">IF(T44=0,0,X44/T44)</f>
        <v>-0.81325301204819267</v>
      </c>
    </row>
    <row r="45" spans="1:26" s="24" customFormat="1" hidden="1" outlineLevel="2" x14ac:dyDescent="0.25">
      <c r="A45" s="27"/>
      <c r="B45" s="11" t="str">
        <f>CONCATENATE("          ", "6399", " - ", "DONATION-ON CAMPUS")</f>
        <v xml:space="preserve">          6399 - DONATION-ON CAMPUS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>
        <v>163.68</v>
      </c>
      <c r="Q45" s="2"/>
      <c r="R45" s="7">
        <f t="shared" si="28"/>
        <v>0</v>
      </c>
      <c r="S45" s="2"/>
      <c r="T45" s="6">
        <v>876.48</v>
      </c>
      <c r="U45" s="2"/>
      <c r="V45" s="7">
        <f t="shared" si="29"/>
        <v>0</v>
      </c>
      <c r="W45" s="2"/>
      <c r="X45" s="6">
        <f t="shared" si="30"/>
        <v>-712.8</v>
      </c>
      <c r="Y45" s="2"/>
      <c r="Z45" s="7">
        <f t="shared" si="31"/>
        <v>-0.81325301204819267</v>
      </c>
    </row>
    <row r="46" spans="1:26" s="25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3"/>
      <c r="P46" s="1">
        <f>SUM(OSRRefP22_6x_0)</f>
        <v>502.38</v>
      </c>
      <c r="Q46" s="1"/>
      <c r="R46" s="5">
        <f t="shared" si="28"/>
        <v>0</v>
      </c>
      <c r="S46" s="1"/>
      <c r="T46" s="1">
        <f>SUM(OSRRefT22_6x_0)</f>
        <v>1445.7</v>
      </c>
      <c r="U46" s="1"/>
      <c r="V46" s="5">
        <f t="shared" si="29"/>
        <v>0</v>
      </c>
      <c r="W46" s="1"/>
      <c r="X46" s="1">
        <f t="shared" si="30"/>
        <v>-943.32</v>
      </c>
      <c r="Y46" s="1"/>
      <c r="Z46" s="5">
        <f t="shared" si="31"/>
        <v>-0.65250051877982984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>
        <v>502.38</v>
      </c>
      <c r="Q47" s="2"/>
      <c r="R47" s="7">
        <f t="shared" si="28"/>
        <v>0</v>
      </c>
      <c r="S47" s="2"/>
      <c r="T47" s="6">
        <v>1445.7</v>
      </c>
      <c r="U47" s="2"/>
      <c r="V47" s="7">
        <f t="shared" si="29"/>
        <v>0</v>
      </c>
      <c r="W47" s="2"/>
      <c r="X47" s="6">
        <f t="shared" si="30"/>
        <v>-943.32</v>
      </c>
      <c r="Y47" s="2"/>
      <c r="Z47" s="7">
        <f t="shared" si="31"/>
        <v>-0.65250051877982984</v>
      </c>
    </row>
    <row r="48" spans="1:26" s="25" customFormat="1" outlineLevel="1" collapsed="1" x14ac:dyDescent="0.25">
      <c r="A48" s="26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876.28</v>
      </c>
      <c r="E48" s="1"/>
      <c r="F48" s="5">
        <f t="shared" si="24"/>
        <v>0</v>
      </c>
      <c r="G48" s="1"/>
      <c r="H48" s="1">
        <f>SUM(OSRRefH22_7x_0)</f>
        <v>1129.9000000000001</v>
      </c>
      <c r="I48" s="1"/>
      <c r="J48" s="5">
        <f t="shared" si="25"/>
        <v>0</v>
      </c>
      <c r="K48" s="1"/>
      <c r="L48" s="1">
        <f t="shared" si="26"/>
        <v>-253.62000000000012</v>
      </c>
      <c r="M48" s="1"/>
      <c r="N48" s="5">
        <f t="shared" si="27"/>
        <v>-0.22446234180015939</v>
      </c>
      <c r="O48" s="13"/>
      <c r="P48" s="1">
        <f>SUM(OSRRefP22_7x_0)</f>
        <v>10509.4</v>
      </c>
      <c r="Q48" s="1"/>
      <c r="R48" s="5">
        <f t="shared" si="28"/>
        <v>0</v>
      </c>
      <c r="S48" s="1"/>
      <c r="T48" s="1">
        <f>SUM(OSRRefT22_7x_0)</f>
        <v>10092.19</v>
      </c>
      <c r="U48" s="1"/>
      <c r="V48" s="5">
        <f t="shared" si="29"/>
        <v>0</v>
      </c>
      <c r="W48" s="1"/>
      <c r="X48" s="1">
        <f t="shared" si="30"/>
        <v>417.20999999999913</v>
      </c>
      <c r="Y48" s="1"/>
      <c r="Z48" s="5">
        <f t="shared" si="31"/>
        <v>4.1339887576432775E-2</v>
      </c>
    </row>
    <row r="49" spans="1:26" s="24" customFormat="1" hidden="1" outlineLevel="2" x14ac:dyDescent="0.25">
      <c r="A49" s="27"/>
      <c r="B49" s="11" t="str">
        <f>CONCATENATE("          ", "6351", " - ", "EQUIPMENT RENTAL")</f>
        <v xml:space="preserve">          6351 - EQUIPMENT RENTAL</v>
      </c>
      <c r="C49" s="11"/>
      <c r="D49" s="6">
        <v>876.28</v>
      </c>
      <c r="E49" s="2"/>
      <c r="F49" s="7">
        <f t="shared" si="24"/>
        <v>0</v>
      </c>
      <c r="G49" s="2"/>
      <c r="H49" s="6">
        <v>1129.9000000000001</v>
      </c>
      <c r="I49" s="2"/>
      <c r="J49" s="7">
        <f t="shared" si="25"/>
        <v>0</v>
      </c>
      <c r="K49" s="2"/>
      <c r="L49" s="6">
        <f t="shared" si="26"/>
        <v>-253.62000000000012</v>
      </c>
      <c r="M49" s="2"/>
      <c r="N49" s="7">
        <f t="shared" si="27"/>
        <v>-0.22446234180015939</v>
      </c>
      <c r="O49" s="11"/>
      <c r="P49" s="6">
        <v>10509.4</v>
      </c>
      <c r="Q49" s="2"/>
      <c r="R49" s="7">
        <f t="shared" si="28"/>
        <v>0</v>
      </c>
      <c r="S49" s="2"/>
      <c r="T49" s="6">
        <v>10092.19</v>
      </c>
      <c r="U49" s="2"/>
      <c r="V49" s="7">
        <f t="shared" si="29"/>
        <v>0</v>
      </c>
      <c r="W49" s="2"/>
      <c r="X49" s="6">
        <f t="shared" si="30"/>
        <v>417.20999999999913</v>
      </c>
      <c r="Y49" s="2"/>
      <c r="Z49" s="7">
        <f t="shared" si="31"/>
        <v>4.1339887576432775E-2</v>
      </c>
    </row>
    <row r="50" spans="1:26" s="25" customFormat="1" outlineLevel="1" collapsed="1" x14ac:dyDescent="0.25">
      <c r="A50" s="26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3"/>
      <c r="P50" s="1">
        <f>SUM(OSRRefP22_8x_0)</f>
        <v>0</v>
      </c>
      <c r="Q50" s="1"/>
      <c r="R50" s="5">
        <f t="shared" si="28"/>
        <v>0</v>
      </c>
      <c r="S50" s="1"/>
      <c r="T50" s="1">
        <f>SUM(OSRRefT22_8x_0)</f>
        <v>9.01</v>
      </c>
      <c r="U50" s="1"/>
      <c r="V50" s="5">
        <f t="shared" si="29"/>
        <v>0</v>
      </c>
      <c r="W50" s="1"/>
      <c r="X50" s="1">
        <f t="shared" si="30"/>
        <v>-9.01</v>
      </c>
      <c r="Y50" s="1"/>
      <c r="Z50" s="5">
        <f t="shared" si="31"/>
        <v>-1</v>
      </c>
    </row>
    <row r="51" spans="1:26" s="24" customFormat="1" hidden="1" outlineLevel="2" x14ac:dyDescent="0.25">
      <c r="A51" s="27"/>
      <c r="B51" s="11" t="str">
        <f>CONCATENATE("          ", "6307", " - ", "POSTAGE")</f>
        <v xml:space="preserve">          6307 - POSTAGE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/>
      <c r="Q51" s="2"/>
      <c r="R51" s="7">
        <f t="shared" si="28"/>
        <v>0</v>
      </c>
      <c r="S51" s="2"/>
      <c r="T51" s="6">
        <v>9.01</v>
      </c>
      <c r="U51" s="2"/>
      <c r="V51" s="7">
        <f t="shared" si="29"/>
        <v>0</v>
      </c>
      <c r="W51" s="2"/>
      <c r="X51" s="6">
        <f t="shared" si="30"/>
        <v>-9.01</v>
      </c>
      <c r="Y51" s="2"/>
      <c r="Z51" s="7">
        <f t="shared" si="31"/>
        <v>-1</v>
      </c>
    </row>
    <row r="52" spans="1:26" s="25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SUM(OSRRefD22_9x_0)</f>
        <v>205</v>
      </c>
      <c r="E52" s="1"/>
      <c r="F52" s="5">
        <f t="shared" si="24"/>
        <v>0</v>
      </c>
      <c r="G52" s="1"/>
      <c r="H52" s="1">
        <f>SUM(OSRRefH22_9x_0)</f>
        <v>1711.38</v>
      </c>
      <c r="I52" s="1"/>
      <c r="J52" s="5">
        <f t="shared" si="25"/>
        <v>0</v>
      </c>
      <c r="K52" s="1"/>
      <c r="L52" s="1">
        <f t="shared" si="26"/>
        <v>-1506.38</v>
      </c>
      <c r="M52" s="1"/>
      <c r="N52" s="5">
        <f t="shared" si="27"/>
        <v>-0.88021362876742748</v>
      </c>
      <c r="O52" s="13"/>
      <c r="P52" s="1">
        <f>SUM(OSRRefP22_9x_0)</f>
        <v>23322.710000000003</v>
      </c>
      <c r="Q52" s="1"/>
      <c r="R52" s="5">
        <f t="shared" si="28"/>
        <v>0</v>
      </c>
      <c r="S52" s="1"/>
      <c r="T52" s="1">
        <f>SUM(OSRRefT22_9x_0)</f>
        <v>5080.82</v>
      </c>
      <c r="U52" s="1"/>
      <c r="V52" s="5">
        <f t="shared" si="29"/>
        <v>0</v>
      </c>
      <c r="W52" s="1"/>
      <c r="X52" s="1">
        <f t="shared" si="30"/>
        <v>18241.890000000003</v>
      </c>
      <c r="Y52" s="1"/>
      <c r="Z52" s="5">
        <f t="shared" si="31"/>
        <v>3.5903436846808199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6">
        <v>205</v>
      </c>
      <c r="E53" s="2"/>
      <c r="F53" s="7">
        <f t="shared" si="24"/>
        <v>0</v>
      </c>
      <c r="G53" s="2"/>
      <c r="H53" s="6">
        <v>1711.38</v>
      </c>
      <c r="I53" s="2"/>
      <c r="J53" s="7">
        <f t="shared" si="25"/>
        <v>0</v>
      </c>
      <c r="K53" s="2"/>
      <c r="L53" s="6">
        <f t="shared" si="26"/>
        <v>-1506.38</v>
      </c>
      <c r="M53" s="2"/>
      <c r="N53" s="7">
        <f t="shared" si="27"/>
        <v>-0.88021362876742748</v>
      </c>
      <c r="O53" s="11"/>
      <c r="P53" s="6">
        <v>23322.710000000003</v>
      </c>
      <c r="Q53" s="2"/>
      <c r="R53" s="7">
        <f t="shared" si="28"/>
        <v>0</v>
      </c>
      <c r="S53" s="2"/>
      <c r="T53" s="6">
        <v>5080.82</v>
      </c>
      <c r="U53" s="2"/>
      <c r="V53" s="7">
        <f t="shared" si="29"/>
        <v>0</v>
      </c>
      <c r="W53" s="2"/>
      <c r="X53" s="6">
        <f t="shared" si="30"/>
        <v>18241.890000000003</v>
      </c>
      <c r="Y53" s="2"/>
      <c r="Z53" s="7">
        <f t="shared" si="31"/>
        <v>3.5903436846808199</v>
      </c>
    </row>
    <row r="54" spans="1:26" s="25" customFormat="1" outlineLevel="1" collapsed="1" x14ac:dyDescent="0.25">
      <c r="A54" s="26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3389.02</v>
      </c>
      <c r="I54" s="1"/>
      <c r="J54" s="5">
        <f t="shared" si="25"/>
        <v>0</v>
      </c>
      <c r="K54" s="1"/>
      <c r="L54" s="1">
        <f t="shared" si="26"/>
        <v>209.82999999999993</v>
      </c>
      <c r="M54" s="1"/>
      <c r="N54" s="5">
        <f t="shared" si="27"/>
        <v>6.191465379372206E-2</v>
      </c>
      <c r="O54" s="13"/>
      <c r="P54" s="1">
        <f>SUM(OSRRefP22_10x_0)</f>
        <v>41749.5</v>
      </c>
      <c r="Q54" s="1"/>
      <c r="R54" s="5">
        <f t="shared" si="28"/>
        <v>0</v>
      </c>
      <c r="S54" s="1"/>
      <c r="T54" s="1">
        <f>SUM(OSRRefT22_10x_0)</f>
        <v>32452.860000000004</v>
      </c>
      <c r="U54" s="1"/>
      <c r="V54" s="5">
        <f t="shared" si="29"/>
        <v>0</v>
      </c>
      <c r="W54" s="1"/>
      <c r="X54" s="1">
        <f t="shared" si="30"/>
        <v>9296.6399999999958</v>
      </c>
      <c r="Y54" s="1"/>
      <c r="Z54" s="5">
        <f t="shared" si="31"/>
        <v>0.28646596940916746</v>
      </c>
    </row>
    <row r="55" spans="1:26" s="24" customFormat="1" hidden="1" outlineLevel="2" x14ac:dyDescent="0.25">
      <c r="A55" s="27"/>
      <c r="B55" s="11" t="str">
        <f>CONCATENATE("          ", "6314", " - ", "LIABILITY INSURANCE")</f>
        <v xml:space="preserve">          6314 - LIABILITY INSURANCE</v>
      </c>
      <c r="C55" s="11"/>
      <c r="D55" s="6">
        <v>3598.85</v>
      </c>
      <c r="E55" s="2"/>
      <c r="F55" s="7">
        <f t="shared" si="24"/>
        <v>0</v>
      </c>
      <c r="G55" s="2"/>
      <c r="H55" s="6">
        <v>3389.02</v>
      </c>
      <c r="I55" s="2"/>
      <c r="J55" s="7">
        <f t="shared" si="25"/>
        <v>0</v>
      </c>
      <c r="K55" s="2"/>
      <c r="L55" s="6">
        <f t="shared" si="26"/>
        <v>209.82999999999993</v>
      </c>
      <c r="M55" s="2"/>
      <c r="N55" s="7">
        <f t="shared" si="27"/>
        <v>6.191465379372206E-2</v>
      </c>
      <c r="O55" s="11"/>
      <c r="P55" s="6">
        <v>41749.5</v>
      </c>
      <c r="Q55" s="2"/>
      <c r="R55" s="7">
        <f t="shared" si="28"/>
        <v>0</v>
      </c>
      <c r="S55" s="2"/>
      <c r="T55" s="6">
        <v>32452.860000000004</v>
      </c>
      <c r="U55" s="2"/>
      <c r="V55" s="7">
        <f t="shared" si="29"/>
        <v>0</v>
      </c>
      <c r="W55" s="2"/>
      <c r="X55" s="6">
        <f t="shared" si="30"/>
        <v>9296.6399999999958</v>
      </c>
      <c r="Y55" s="2"/>
      <c r="Z55" s="7">
        <f t="shared" si="31"/>
        <v>0.28646596940916746</v>
      </c>
    </row>
    <row r="56" spans="1:26" s="25" customFormat="1" outlineLevel="1" collapsed="1" x14ac:dyDescent="0.25">
      <c r="A56" s="26"/>
      <c r="B56" s="13" t="str">
        <f>CONCATENATE("     ","Professional Services                             ")</f>
        <v xml:space="preserve">     Professional Services                             </v>
      </c>
      <c r="C56" s="13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SUM(OSRRefP22_11x_0)</f>
        <v>125</v>
      </c>
      <c r="Q56" s="1"/>
      <c r="R56" s="5">
        <f t="shared" si="28"/>
        <v>0</v>
      </c>
      <c r="S56" s="1"/>
      <c r="T56" s="1">
        <f>SUM(OSRRefT22_11x_0)</f>
        <v>0</v>
      </c>
      <c r="U56" s="1"/>
      <c r="V56" s="5">
        <f t="shared" si="29"/>
        <v>0</v>
      </c>
      <c r="W56" s="1"/>
      <c r="X56" s="1">
        <f t="shared" si="30"/>
        <v>125</v>
      </c>
      <c r="Y56" s="1"/>
      <c r="Z56" s="5">
        <f t="shared" si="31"/>
        <v>0</v>
      </c>
    </row>
    <row r="57" spans="1:26" s="24" customFormat="1" hidden="1" outlineLevel="2" x14ac:dyDescent="0.25">
      <c r="A57" s="27"/>
      <c r="B57" s="11" t="str">
        <f>CONCATENATE("          ", "6336", " - ", "PROFESSIONAL SERVICES")</f>
        <v xml:space="preserve">          6336 - PROFESSIONAL SERVICES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>
        <v>125</v>
      </c>
      <c r="Q57" s="2"/>
      <c r="R57" s="7">
        <f t="shared" si="28"/>
        <v>0</v>
      </c>
      <c r="S57" s="2"/>
      <c r="T57" s="6"/>
      <c r="U57" s="2"/>
      <c r="V57" s="7">
        <f t="shared" si="29"/>
        <v>0</v>
      </c>
      <c r="W57" s="2"/>
      <c r="X57" s="6">
        <f t="shared" si="30"/>
        <v>125</v>
      </c>
      <c r="Y57" s="2"/>
      <c r="Z57" s="7">
        <f t="shared" si="31"/>
        <v>0</v>
      </c>
    </row>
    <row r="58" spans="1:26" s="25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SUM(OSRRefD22_12x_0)</f>
        <v>13144.09</v>
      </c>
      <c r="E58" s="1"/>
      <c r="F58" s="5">
        <f t="shared" si="24"/>
        <v>0</v>
      </c>
      <c r="G58" s="1"/>
      <c r="H58" s="1">
        <f>SUM(OSRRefH22_12x_0)</f>
        <v>8166.5399999999991</v>
      </c>
      <c r="I58" s="1"/>
      <c r="J58" s="5">
        <f t="shared" si="25"/>
        <v>0</v>
      </c>
      <c r="K58" s="1"/>
      <c r="L58" s="1">
        <f t="shared" si="26"/>
        <v>4977.5500000000011</v>
      </c>
      <c r="M58" s="1"/>
      <c r="N58" s="5">
        <f t="shared" si="27"/>
        <v>0.6095053719200545</v>
      </c>
      <c r="O58" s="13"/>
      <c r="P58" s="1">
        <f>SUM(OSRRefP22_12x_0)</f>
        <v>112927.67999999999</v>
      </c>
      <c r="Q58" s="1"/>
      <c r="R58" s="5">
        <f t="shared" si="28"/>
        <v>0</v>
      </c>
      <c r="S58" s="1"/>
      <c r="T58" s="1">
        <f>SUM(OSRRefT22_12x_0)</f>
        <v>155727.13999999998</v>
      </c>
      <c r="U58" s="1"/>
      <c r="V58" s="5">
        <f t="shared" si="29"/>
        <v>0</v>
      </c>
      <c r="W58" s="1"/>
      <c r="X58" s="1">
        <f t="shared" si="30"/>
        <v>-42799.459999999992</v>
      </c>
      <c r="Y58" s="1"/>
      <c r="Z58" s="5">
        <f t="shared" si="31"/>
        <v>-0.27483622957436959</v>
      </c>
    </row>
    <row r="59" spans="1:26" s="24" customFormat="1" hidden="1" outlineLevel="2" x14ac:dyDescent="0.2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/>
      <c r="Q59" s="2"/>
      <c r="R59" s="7">
        <f t="shared" si="28"/>
        <v>0</v>
      </c>
      <c r="S59" s="2"/>
      <c r="T59" s="6">
        <v>16463.21</v>
      </c>
      <c r="U59" s="2"/>
      <c r="V59" s="7">
        <f t="shared" si="29"/>
        <v>0</v>
      </c>
      <c r="W59" s="2"/>
      <c r="X59" s="6">
        <f t="shared" si="30"/>
        <v>-16463.21</v>
      </c>
      <c r="Y59" s="2"/>
      <c r="Z59" s="7">
        <f t="shared" si="31"/>
        <v>-1</v>
      </c>
    </row>
    <row r="60" spans="1:26" s="24" customFormat="1" hidden="1" outlineLevel="2" x14ac:dyDescent="0.25">
      <c r="A60" s="27"/>
      <c r="B60" s="11" t="str">
        <f>CONCATENATE("          ", "6372", " - ", "COMPUTER HARDWARE MAINTENANCE")</f>
        <v xml:space="preserve">          6372 - COMPUTER HARDWARE MAINTENANCE</v>
      </c>
      <c r="C60" s="11"/>
      <c r="D60" s="6">
        <v>8142.88</v>
      </c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8142.88</v>
      </c>
      <c r="M60" s="2"/>
      <c r="N60" s="7">
        <f t="shared" si="27"/>
        <v>0</v>
      </c>
      <c r="O60" s="11"/>
      <c r="P60" s="6">
        <v>8142.88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8142.88</v>
      </c>
      <c r="Y60" s="2"/>
      <c r="Z60" s="7">
        <f t="shared" si="31"/>
        <v>0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5001.21</v>
      </c>
      <c r="E61" s="2"/>
      <c r="F61" s="7">
        <f t="shared" si="24"/>
        <v>0</v>
      </c>
      <c r="G61" s="2"/>
      <c r="H61" s="6">
        <v>5719.4</v>
      </c>
      <c r="I61" s="2"/>
      <c r="J61" s="7">
        <f t="shared" si="25"/>
        <v>0</v>
      </c>
      <c r="K61" s="2"/>
      <c r="L61" s="6">
        <f t="shared" si="26"/>
        <v>-718.1899999999996</v>
      </c>
      <c r="M61" s="2"/>
      <c r="N61" s="7">
        <f t="shared" si="27"/>
        <v>-0.12557086407665133</v>
      </c>
      <c r="O61" s="11"/>
      <c r="P61" s="6">
        <v>58633.919999999998</v>
      </c>
      <c r="Q61" s="2"/>
      <c r="R61" s="7">
        <f t="shared" si="28"/>
        <v>0</v>
      </c>
      <c r="S61" s="2"/>
      <c r="T61" s="6">
        <v>84453.5</v>
      </c>
      <c r="U61" s="2"/>
      <c r="V61" s="7">
        <f t="shared" si="29"/>
        <v>0</v>
      </c>
      <c r="W61" s="2"/>
      <c r="X61" s="6">
        <f t="shared" si="30"/>
        <v>-25819.58</v>
      </c>
      <c r="Y61" s="2"/>
      <c r="Z61" s="7">
        <f t="shared" si="31"/>
        <v>-0.30572539918416647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4"/>
        <v>0</v>
      </c>
      <c r="G62" s="2"/>
      <c r="H62" s="6">
        <v>2447.14</v>
      </c>
      <c r="I62" s="2"/>
      <c r="J62" s="7">
        <f t="shared" si="25"/>
        <v>0</v>
      </c>
      <c r="K62" s="2"/>
      <c r="L62" s="6">
        <f t="shared" si="26"/>
        <v>-2447.14</v>
      </c>
      <c r="M62" s="2"/>
      <c r="N62" s="7">
        <f t="shared" si="27"/>
        <v>-1</v>
      </c>
      <c r="O62" s="11"/>
      <c r="P62" s="6">
        <v>46150.879999999997</v>
      </c>
      <c r="Q62" s="2"/>
      <c r="R62" s="7">
        <f t="shared" si="28"/>
        <v>0</v>
      </c>
      <c r="S62" s="2"/>
      <c r="T62" s="6">
        <v>54810.43</v>
      </c>
      <c r="U62" s="2"/>
      <c r="V62" s="7">
        <f t="shared" si="29"/>
        <v>0</v>
      </c>
      <c r="W62" s="2"/>
      <c r="X62" s="6">
        <f t="shared" si="30"/>
        <v>-8659.5500000000029</v>
      </c>
      <c r="Y62" s="2"/>
      <c r="Z62" s="7">
        <f t="shared" si="31"/>
        <v>-0.1579909152327395</v>
      </c>
    </row>
    <row r="63" spans="1:26" s="25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SUM(OSRRefD22_13x_0)</f>
        <v>4323.0600000000004</v>
      </c>
      <c r="E63" s="1"/>
      <c r="F63" s="5">
        <f t="shared" ref="F63:F68" si="32">IF(D$12=0,0,D63/D$12)</f>
        <v>0</v>
      </c>
      <c r="G63" s="1"/>
      <c r="H63" s="1">
        <f>SUM(OSRRefH22_13x_0)</f>
        <v>14494.77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-10171.709999999999</v>
      </c>
      <c r="M63" s="1"/>
      <c r="N63" s="5">
        <f t="shared" ref="N63:N68" si="35">IF(H63=0,0,L63/H63)</f>
        <v>-0.70175035547304299</v>
      </c>
      <c r="O63" s="13"/>
      <c r="P63" s="1">
        <f>SUM(OSRRefP22_13x_0)</f>
        <v>135226.26999999999</v>
      </c>
      <c r="Q63" s="1"/>
      <c r="R63" s="5">
        <f t="shared" ref="R63:R68" si="36">IF(P$12=0,0,P63/P$12)</f>
        <v>0</v>
      </c>
      <c r="S63" s="1"/>
      <c r="T63" s="1">
        <f>SUM(OSRRefT22_13x_0)</f>
        <v>147712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-12485.73000000001</v>
      </c>
      <c r="Y63" s="1"/>
      <c r="Z63" s="5">
        <f t="shared" ref="Z63:Z68" si="39">IF(T63=0,0,X63/T63)</f>
        <v>-8.4527526538128325E-2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2"/>
        <v>0</v>
      </c>
      <c r="G64" s="2"/>
      <c r="H64" s="6">
        <v>626.26</v>
      </c>
      <c r="I64" s="2"/>
      <c r="J64" s="7">
        <f t="shared" si="33"/>
        <v>0</v>
      </c>
      <c r="K64" s="2"/>
      <c r="L64" s="6">
        <f t="shared" si="34"/>
        <v>-626.26</v>
      </c>
      <c r="M64" s="2"/>
      <c r="N64" s="7">
        <f t="shared" si="35"/>
        <v>-1</v>
      </c>
      <c r="O64" s="11"/>
      <c r="P64" s="6">
        <v>6262.6</v>
      </c>
      <c r="Q64" s="2"/>
      <c r="R64" s="7">
        <f t="shared" si="36"/>
        <v>0</v>
      </c>
      <c r="S64" s="2"/>
      <c r="T64" s="6">
        <v>5636.34</v>
      </c>
      <c r="U64" s="2"/>
      <c r="V64" s="7">
        <f t="shared" si="37"/>
        <v>0</v>
      </c>
      <c r="W64" s="2"/>
      <c r="X64" s="6">
        <f t="shared" si="38"/>
        <v>626.26000000000022</v>
      </c>
      <c r="Y64" s="2"/>
      <c r="Z64" s="7">
        <f t="shared" si="39"/>
        <v>0.11111111111111115</v>
      </c>
    </row>
    <row r="65" spans="1:26" s="24" customFormat="1" hidden="1" outlineLevel="2" x14ac:dyDescent="0.25">
      <c r="A65" s="27"/>
      <c r="B65" s="11" t="str">
        <f>CONCATENATE("          ", "6283", " - ", "PLANT SERVICE")</f>
        <v xml:space="preserve">          6283 - PLANT SERVICE</v>
      </c>
      <c r="C65" s="11"/>
      <c r="D65" s="6">
        <v>71.06</v>
      </c>
      <c r="E65" s="2"/>
      <c r="F65" s="7">
        <f t="shared" si="32"/>
        <v>0</v>
      </c>
      <c r="G65" s="2"/>
      <c r="H65" s="6">
        <v>33</v>
      </c>
      <c r="I65" s="2"/>
      <c r="J65" s="7">
        <f t="shared" si="33"/>
        <v>0</v>
      </c>
      <c r="K65" s="2"/>
      <c r="L65" s="6">
        <f t="shared" si="34"/>
        <v>38.06</v>
      </c>
      <c r="M65" s="2"/>
      <c r="N65" s="7">
        <f t="shared" si="35"/>
        <v>1.1533333333333333</v>
      </c>
      <c r="O65" s="11"/>
      <c r="P65" s="6">
        <v>319.77</v>
      </c>
      <c r="Q65" s="2"/>
      <c r="R65" s="7">
        <f t="shared" si="36"/>
        <v>0</v>
      </c>
      <c r="S65" s="2"/>
      <c r="T65" s="6">
        <v>330</v>
      </c>
      <c r="U65" s="2"/>
      <c r="V65" s="7">
        <f t="shared" si="37"/>
        <v>0</v>
      </c>
      <c r="W65" s="2"/>
      <c r="X65" s="6">
        <f t="shared" si="38"/>
        <v>-10.230000000000018</v>
      </c>
      <c r="Y65" s="2"/>
      <c r="Z65" s="7">
        <f t="shared" si="39"/>
        <v>-3.1000000000000055E-2</v>
      </c>
    </row>
    <row r="66" spans="1:26" s="24" customFormat="1" hidden="1" outlineLevel="2" x14ac:dyDescent="0.25">
      <c r="A66" s="27"/>
      <c r="B66" s="11" t="str">
        <f>CONCATENATE("          ", "6284", " - ", "TRASH REMOVAL EXPENSE")</f>
        <v xml:space="preserve">          6284 - TRASH REMOVAL EXPENSE</v>
      </c>
      <c r="C66" s="11"/>
      <c r="D66" s="6">
        <v>4252</v>
      </c>
      <c r="E66" s="2"/>
      <c r="F66" s="7">
        <f t="shared" si="32"/>
        <v>0</v>
      </c>
      <c r="G66" s="2"/>
      <c r="H66" s="6">
        <v>3482</v>
      </c>
      <c r="I66" s="2"/>
      <c r="J66" s="7">
        <f t="shared" si="33"/>
        <v>0</v>
      </c>
      <c r="K66" s="2"/>
      <c r="L66" s="6">
        <f t="shared" si="34"/>
        <v>770</v>
      </c>
      <c r="M66" s="2"/>
      <c r="N66" s="7">
        <f t="shared" si="35"/>
        <v>0.22113727742676623</v>
      </c>
      <c r="O66" s="11"/>
      <c r="P66" s="6">
        <v>34755</v>
      </c>
      <c r="Q66" s="2"/>
      <c r="R66" s="7">
        <f t="shared" si="36"/>
        <v>0</v>
      </c>
      <c r="S66" s="2"/>
      <c r="T66" s="6">
        <v>43219.990000000005</v>
      </c>
      <c r="U66" s="2"/>
      <c r="V66" s="7">
        <f t="shared" si="37"/>
        <v>0</v>
      </c>
      <c r="W66" s="2"/>
      <c r="X66" s="6">
        <f t="shared" si="38"/>
        <v>-8464.9900000000052</v>
      </c>
      <c r="Y66" s="2"/>
      <c r="Z66" s="7">
        <f t="shared" si="39"/>
        <v>-0.19585821283160881</v>
      </c>
    </row>
    <row r="67" spans="1:26" s="24" customFormat="1" hidden="1" outlineLevel="2" x14ac:dyDescent="0.25">
      <c r="A67" s="27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32"/>
        <v>0</v>
      </c>
      <c r="G67" s="2"/>
      <c r="H67" s="6">
        <v>10353.51</v>
      </c>
      <c r="I67" s="2"/>
      <c r="J67" s="7">
        <f t="shared" si="33"/>
        <v>0</v>
      </c>
      <c r="K67" s="2"/>
      <c r="L67" s="6">
        <f t="shared" si="34"/>
        <v>-10353.51</v>
      </c>
      <c r="M67" s="2"/>
      <c r="N67" s="7">
        <f t="shared" si="35"/>
        <v>-1</v>
      </c>
      <c r="O67" s="11"/>
      <c r="P67" s="6">
        <v>93144.07</v>
      </c>
      <c r="Q67" s="2"/>
      <c r="R67" s="7">
        <f t="shared" si="36"/>
        <v>0</v>
      </c>
      <c r="S67" s="2"/>
      <c r="T67" s="6">
        <v>96805.7</v>
      </c>
      <c r="U67" s="2"/>
      <c r="V67" s="7">
        <f t="shared" si="37"/>
        <v>0</v>
      </c>
      <c r="W67" s="2"/>
      <c r="X67" s="6">
        <f t="shared" si="38"/>
        <v>-3661.6299999999901</v>
      </c>
      <c r="Y67" s="2"/>
      <c r="Z67" s="7">
        <f t="shared" si="39"/>
        <v>-3.7824528927532061E-2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0</v>
      </c>
      <c r="M68" s="2"/>
      <c r="N68" s="7">
        <f t="shared" si="35"/>
        <v>0</v>
      </c>
      <c r="O68" s="11"/>
      <c r="P68" s="6">
        <v>744.83</v>
      </c>
      <c r="Q68" s="2"/>
      <c r="R68" s="7">
        <f t="shared" si="36"/>
        <v>0</v>
      </c>
      <c r="S68" s="2"/>
      <c r="T68" s="6">
        <v>1719.97</v>
      </c>
      <c r="U68" s="2"/>
      <c r="V68" s="7">
        <f t="shared" si="37"/>
        <v>0</v>
      </c>
      <c r="W68" s="2"/>
      <c r="X68" s="6">
        <f t="shared" si="38"/>
        <v>-975.14</v>
      </c>
      <c r="Y68" s="2"/>
      <c r="Z68" s="7">
        <f t="shared" si="39"/>
        <v>-0.56695174915841551</v>
      </c>
    </row>
    <row r="69" spans="1:26" s="25" customFormat="1" outlineLevel="1" collapsed="1" x14ac:dyDescent="0.25">
      <c r="A69" s="26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SUM(OSRRefD22_14x_0)</f>
        <v>0</v>
      </c>
      <c r="E69" s="1"/>
      <c r="F69" s="5">
        <f t="shared" ref="F69:F71" si="40">IF(D$12=0,0,D69/D$12)</f>
        <v>0</v>
      </c>
      <c r="G69" s="1"/>
      <c r="H69" s="1">
        <f>SUM(OSRRefH22_14x_0)</f>
        <v>0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0</v>
      </c>
      <c r="M69" s="1"/>
      <c r="N69" s="5">
        <f t="shared" ref="N69:N71" si="43">IF(H69=0,0,L69/H69)</f>
        <v>0</v>
      </c>
      <c r="O69" s="13"/>
      <c r="P69" s="1">
        <f>SUM(OSRRefP22_14x_0)</f>
        <v>795</v>
      </c>
      <c r="Q69" s="1"/>
      <c r="R69" s="5">
        <f t="shared" ref="R69:R71" si="44">IF(P$12=0,0,P69/P$12)</f>
        <v>0</v>
      </c>
      <c r="S69" s="1"/>
      <c r="T69" s="1">
        <f>SUM(OSRRefT22_14x_0)</f>
        <v>1182.8399999999999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-387.83999999999992</v>
      </c>
      <c r="Y69" s="1"/>
      <c r="Z69" s="5">
        <f t="shared" ref="Z69:Z71" si="47">IF(T69=0,0,X69/T69)</f>
        <v>-0.32788880998275333</v>
      </c>
    </row>
    <row r="70" spans="1:26" s="24" customFormat="1" hidden="1" outlineLevel="2" x14ac:dyDescent="0.25">
      <c r="A70" s="27"/>
      <c r="B70" s="11" t="str">
        <f>CONCATENATE("          ", "6258", " - ", "MEMBERSHIP DUES")</f>
        <v xml:space="preserve">          6258 - MEMBERSHIP DUES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795</v>
      </c>
      <c r="Q70" s="2"/>
      <c r="R70" s="7">
        <f t="shared" si="44"/>
        <v>0</v>
      </c>
      <c r="S70" s="2"/>
      <c r="T70" s="6"/>
      <c r="U70" s="2"/>
      <c r="V70" s="7">
        <f t="shared" si="45"/>
        <v>0</v>
      </c>
      <c r="W70" s="2"/>
      <c r="X70" s="6">
        <f t="shared" si="46"/>
        <v>795</v>
      </c>
      <c r="Y70" s="2"/>
      <c r="Z70" s="7">
        <f t="shared" si="47"/>
        <v>0</v>
      </c>
    </row>
    <row r="71" spans="1:26" s="24" customFormat="1" hidden="1" outlineLevel="2" x14ac:dyDescent="0.25">
      <c r="A71" s="27"/>
      <c r="B71" s="11" t="str">
        <f>CONCATENATE("          ", "6275", " - ", "SUBSCRIPTIONS")</f>
        <v xml:space="preserve">          6275 - SUBSCRIPTIONS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/>
      <c r="Q71" s="2"/>
      <c r="R71" s="7">
        <f t="shared" si="44"/>
        <v>0</v>
      </c>
      <c r="S71" s="2"/>
      <c r="T71" s="6">
        <v>1182.8399999999999</v>
      </c>
      <c r="U71" s="2"/>
      <c r="V71" s="7">
        <f t="shared" si="45"/>
        <v>0</v>
      </c>
      <c r="W71" s="2"/>
      <c r="X71" s="6">
        <f t="shared" si="46"/>
        <v>-1182.8399999999999</v>
      </c>
      <c r="Y71" s="2"/>
      <c r="Z71" s="7">
        <f t="shared" si="47"/>
        <v>-1</v>
      </c>
    </row>
    <row r="72" spans="1:26" s="25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SUM(OSRRefD22_15x_0)</f>
        <v>916.9</v>
      </c>
      <c r="E72" s="1"/>
      <c r="F72" s="5">
        <f t="shared" ref="F72:F80" si="48">IF(D$12=0,0,D72/D$12)</f>
        <v>0</v>
      </c>
      <c r="G72" s="1"/>
      <c r="H72" s="1">
        <f>SUM(OSRRefH22_15x_0)</f>
        <v>8697.61</v>
      </c>
      <c r="I72" s="1"/>
      <c r="J72" s="5">
        <f t="shared" ref="J72:J80" si="49">IF(H$12=0,0,H72/H$12)</f>
        <v>0</v>
      </c>
      <c r="K72" s="1"/>
      <c r="L72" s="1">
        <f t="shared" ref="L72:L80" si="50">+D72-H72</f>
        <v>-7780.7100000000009</v>
      </c>
      <c r="M72" s="1"/>
      <c r="N72" s="5">
        <f t="shared" ref="N72:N80" si="51">IF(H72=0,0,L72/H72)</f>
        <v>-0.89458023526003128</v>
      </c>
      <c r="O72" s="13"/>
      <c r="P72" s="1">
        <f>SUM(OSRRefP22_15x_0)</f>
        <v>66855.179999999993</v>
      </c>
      <c r="Q72" s="1"/>
      <c r="R72" s="5">
        <f t="shared" ref="R72:R80" si="52">IF(P$12=0,0,P72/P$12)</f>
        <v>0</v>
      </c>
      <c r="S72" s="1"/>
      <c r="T72" s="1">
        <f>SUM(OSRRefT22_15x_0)</f>
        <v>69554.33</v>
      </c>
      <c r="U72" s="1"/>
      <c r="V72" s="5">
        <f t="shared" ref="V72:V80" si="53">IF(T$12=0,0,T72/T$12)</f>
        <v>0</v>
      </c>
      <c r="W72" s="1"/>
      <c r="X72" s="1">
        <f t="shared" ref="X72:X80" si="54">+P72-T72</f>
        <v>-2699.1500000000087</v>
      </c>
      <c r="Y72" s="1"/>
      <c r="Z72" s="5">
        <f t="shared" ref="Z72:Z80" si="55">IF(T72=0,0,X72/T72)</f>
        <v>-3.8806354687048364E-2</v>
      </c>
    </row>
    <row r="73" spans="1:26" s="24" customFormat="1" hidden="1" outlineLevel="2" x14ac:dyDescent="0.2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8480.18</v>
      </c>
      <c r="Q73" s="2"/>
      <c r="R73" s="7">
        <f t="shared" si="52"/>
        <v>0</v>
      </c>
      <c r="S73" s="2"/>
      <c r="T73" s="6">
        <v>732.36</v>
      </c>
      <c r="U73" s="2"/>
      <c r="V73" s="7">
        <f t="shared" si="53"/>
        <v>0</v>
      </c>
      <c r="W73" s="2"/>
      <c r="X73" s="6">
        <f t="shared" si="54"/>
        <v>7747.8200000000006</v>
      </c>
      <c r="Y73" s="2"/>
      <c r="Z73" s="7">
        <f t="shared" si="55"/>
        <v>10.579250641760883</v>
      </c>
    </row>
    <row r="74" spans="1:26" s="24" customFormat="1" hidden="1" outlineLevel="2" x14ac:dyDescent="0.25">
      <c r="A74" s="27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48"/>
        <v>0</v>
      </c>
      <c r="G74" s="2"/>
      <c r="H74" s="6">
        <v>4419.66</v>
      </c>
      <c r="I74" s="2"/>
      <c r="J74" s="7">
        <f t="shared" si="49"/>
        <v>0</v>
      </c>
      <c r="K74" s="2"/>
      <c r="L74" s="6">
        <f t="shared" si="50"/>
        <v>-4419.66</v>
      </c>
      <c r="M74" s="2"/>
      <c r="N74" s="7">
        <f t="shared" si="51"/>
        <v>-1</v>
      </c>
      <c r="O74" s="11"/>
      <c r="P74" s="6">
        <v>35461.51</v>
      </c>
      <c r="Q74" s="2"/>
      <c r="R74" s="7">
        <f t="shared" si="52"/>
        <v>0</v>
      </c>
      <c r="S74" s="2"/>
      <c r="T74" s="6">
        <v>32083.379999999997</v>
      </c>
      <c r="U74" s="2"/>
      <c r="V74" s="7">
        <f t="shared" si="53"/>
        <v>0</v>
      </c>
      <c r="W74" s="2"/>
      <c r="X74" s="6">
        <f t="shared" si="54"/>
        <v>3378.1300000000047</v>
      </c>
      <c r="Y74" s="2"/>
      <c r="Z74" s="7">
        <f t="shared" si="55"/>
        <v>0.10529221048405764</v>
      </c>
    </row>
    <row r="75" spans="1:26" s="24" customFormat="1" hidden="1" outlineLevel="2" x14ac:dyDescent="0.25">
      <c r="A75" s="27"/>
      <c r="B75" s="11" t="str">
        <f>CONCATENATE("          ", "6239", " - ", "KITCHEN SUPPLIES")</f>
        <v xml:space="preserve">          6239 - KITCHEN SUPPLIES</v>
      </c>
      <c r="C75" s="11"/>
      <c r="D75" s="6"/>
      <c r="E75" s="2"/>
      <c r="F75" s="7">
        <f t="shared" si="48"/>
        <v>0</v>
      </c>
      <c r="G75" s="2"/>
      <c r="H75" s="6">
        <v>3200.89</v>
      </c>
      <c r="I75" s="2"/>
      <c r="J75" s="7">
        <f t="shared" si="49"/>
        <v>0</v>
      </c>
      <c r="K75" s="2"/>
      <c r="L75" s="6">
        <f t="shared" si="50"/>
        <v>-3200.89</v>
      </c>
      <c r="M75" s="2"/>
      <c r="N75" s="7">
        <f t="shared" si="51"/>
        <v>-1</v>
      </c>
      <c r="O75" s="11"/>
      <c r="P75" s="6">
        <v>18397.89</v>
      </c>
      <c r="Q75" s="2"/>
      <c r="R75" s="7">
        <f t="shared" si="52"/>
        <v>0</v>
      </c>
      <c r="S75" s="2"/>
      <c r="T75" s="6">
        <v>21661.769999999997</v>
      </c>
      <c r="U75" s="2"/>
      <c r="V75" s="7">
        <f t="shared" si="53"/>
        <v>0</v>
      </c>
      <c r="W75" s="2"/>
      <c r="X75" s="6">
        <f t="shared" si="54"/>
        <v>-3263.8799999999974</v>
      </c>
      <c r="Y75" s="2"/>
      <c r="Z75" s="7">
        <f t="shared" si="55"/>
        <v>-0.15067466785955155</v>
      </c>
    </row>
    <row r="76" spans="1:26" s="24" customFormat="1" hidden="1" outlineLevel="2" x14ac:dyDescent="0.25">
      <c r="A76" s="27"/>
      <c r="B76" s="11" t="str">
        <f>CONCATENATE("          ", "6241", " - ", "OFFICE EXPENSE")</f>
        <v xml:space="preserve">          6241 - OFFICE EXPENSE</v>
      </c>
      <c r="C76" s="11"/>
      <c r="D76" s="6">
        <v>916.9</v>
      </c>
      <c r="E76" s="2"/>
      <c r="F76" s="7">
        <f t="shared" si="48"/>
        <v>0</v>
      </c>
      <c r="G76" s="2"/>
      <c r="H76" s="6">
        <v>256.06</v>
      </c>
      <c r="I76" s="2"/>
      <c r="J76" s="7">
        <f t="shared" si="49"/>
        <v>0</v>
      </c>
      <c r="K76" s="2"/>
      <c r="L76" s="6">
        <f t="shared" si="50"/>
        <v>660.83999999999992</v>
      </c>
      <c r="M76" s="2"/>
      <c r="N76" s="7">
        <f t="shared" si="51"/>
        <v>2.5808013746778093</v>
      </c>
      <c r="O76" s="11"/>
      <c r="P76" s="6">
        <v>2858.28</v>
      </c>
      <c r="Q76" s="2"/>
      <c r="R76" s="7">
        <f t="shared" si="52"/>
        <v>0</v>
      </c>
      <c r="S76" s="2"/>
      <c r="T76" s="6">
        <v>9022.23</v>
      </c>
      <c r="U76" s="2"/>
      <c r="V76" s="7">
        <f t="shared" si="53"/>
        <v>0</v>
      </c>
      <c r="W76" s="2"/>
      <c r="X76" s="6">
        <f t="shared" si="54"/>
        <v>-6163.9499999999989</v>
      </c>
      <c r="Y76" s="2"/>
      <c r="Z76" s="7">
        <f t="shared" si="55"/>
        <v>-0.68319583960949781</v>
      </c>
    </row>
    <row r="77" spans="1:26" s="24" customFormat="1" hidden="1" outlineLevel="2" x14ac:dyDescent="0.25">
      <c r="A77" s="27"/>
      <c r="B77" s="11" t="str">
        <f>CONCATENATE("          ", "6243", " - ", "PAPER SUPPLIES")</f>
        <v xml:space="preserve">          6243 - PAPER SUPPLIES</v>
      </c>
      <c r="C77" s="11"/>
      <c r="D77" s="6"/>
      <c r="E77" s="2"/>
      <c r="F77" s="7">
        <f t="shared" si="48"/>
        <v>0</v>
      </c>
      <c r="G77" s="2"/>
      <c r="H77" s="6">
        <v>821</v>
      </c>
      <c r="I77" s="2"/>
      <c r="J77" s="7">
        <f t="shared" si="49"/>
        <v>0</v>
      </c>
      <c r="K77" s="2"/>
      <c r="L77" s="6">
        <f t="shared" si="50"/>
        <v>-821</v>
      </c>
      <c r="M77" s="2"/>
      <c r="N77" s="7">
        <f t="shared" si="51"/>
        <v>-1</v>
      </c>
      <c r="O77" s="11"/>
      <c r="P77" s="6">
        <v>1027.17</v>
      </c>
      <c r="Q77" s="2"/>
      <c r="R77" s="7">
        <f t="shared" si="52"/>
        <v>0</v>
      </c>
      <c r="S77" s="2"/>
      <c r="T77" s="6">
        <v>4500.3</v>
      </c>
      <c r="U77" s="2"/>
      <c r="V77" s="7">
        <f t="shared" si="53"/>
        <v>0</v>
      </c>
      <c r="W77" s="2"/>
      <c r="X77" s="6">
        <f t="shared" si="54"/>
        <v>-3473.13</v>
      </c>
      <c r="Y77" s="2"/>
      <c r="Z77" s="7">
        <f t="shared" si="55"/>
        <v>-0.77175521631891209</v>
      </c>
    </row>
    <row r="78" spans="1:26" s="24" customFormat="1" hidden="1" outlineLevel="2" x14ac:dyDescent="0.25">
      <c r="A78" s="27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1"/>
      <c r="P78" s="6">
        <v>15.99</v>
      </c>
      <c r="Q78" s="2"/>
      <c r="R78" s="7">
        <f t="shared" si="52"/>
        <v>0</v>
      </c>
      <c r="S78" s="2"/>
      <c r="T78" s="6">
        <v>87.11</v>
      </c>
      <c r="U78" s="2"/>
      <c r="V78" s="7">
        <f t="shared" si="53"/>
        <v>0</v>
      </c>
      <c r="W78" s="2"/>
      <c r="X78" s="6">
        <f t="shared" si="54"/>
        <v>-71.12</v>
      </c>
      <c r="Y78" s="2"/>
      <c r="Z78" s="7">
        <f t="shared" si="55"/>
        <v>-0.81643898519113767</v>
      </c>
    </row>
    <row r="79" spans="1:26" s="24" customFormat="1" hidden="1" outlineLevel="2" x14ac:dyDescent="0.25">
      <c r="A79" s="27"/>
      <c r="B79" s="11" t="str">
        <f>CONCATENATE("          ", "6247", " - ", "STORE SUPPLIES")</f>
        <v xml:space="preserve">          6247 - STORE SUPPLIES</v>
      </c>
      <c r="C79" s="11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1"/>
      <c r="P79" s="6">
        <v>123.68</v>
      </c>
      <c r="Q79" s="2"/>
      <c r="R79" s="7">
        <f t="shared" si="52"/>
        <v>0</v>
      </c>
      <c r="S79" s="2"/>
      <c r="T79" s="6">
        <v>191.55</v>
      </c>
      <c r="U79" s="2"/>
      <c r="V79" s="7">
        <f t="shared" si="53"/>
        <v>0</v>
      </c>
      <c r="W79" s="2"/>
      <c r="X79" s="6">
        <f t="shared" si="54"/>
        <v>-67.87</v>
      </c>
      <c r="Y79" s="2"/>
      <c r="Z79" s="7">
        <f t="shared" si="55"/>
        <v>-0.35432002088227615</v>
      </c>
    </row>
    <row r="80" spans="1:26" s="24" customFormat="1" hidden="1" outlineLevel="2" x14ac:dyDescent="0.25">
      <c r="A80" s="27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1"/>
      <c r="P80" s="6">
        <v>490.48</v>
      </c>
      <c r="Q80" s="2"/>
      <c r="R80" s="7">
        <f t="shared" si="52"/>
        <v>0</v>
      </c>
      <c r="S80" s="2"/>
      <c r="T80" s="6">
        <v>1275.6300000000001</v>
      </c>
      <c r="U80" s="2"/>
      <c r="V80" s="7">
        <f t="shared" si="53"/>
        <v>0</v>
      </c>
      <c r="W80" s="2"/>
      <c r="X80" s="6">
        <f t="shared" si="54"/>
        <v>-785.15000000000009</v>
      </c>
      <c r="Y80" s="2"/>
      <c r="Z80" s="7">
        <f t="shared" si="55"/>
        <v>-0.61549979225951101</v>
      </c>
    </row>
    <row r="81" spans="1:26" s="25" customFormat="1" outlineLevel="1" collapsed="1" x14ac:dyDescent="0.25">
      <c r="A81" s="26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SUM(OSRRefD22_16x_0)</f>
        <v>489</v>
      </c>
      <c r="E81" s="1"/>
      <c r="F81" s="5">
        <f t="shared" ref="F81:F88" si="56">IF(D$12=0,0,D81/D$12)</f>
        <v>0</v>
      </c>
      <c r="G81" s="1"/>
      <c r="H81" s="1">
        <f>SUM(OSRRefH22_16x_0)</f>
        <v>496</v>
      </c>
      <c r="I81" s="1"/>
      <c r="J81" s="5">
        <f t="shared" ref="J81:J88" si="57">IF(H$12=0,0,H81/H$12)</f>
        <v>0</v>
      </c>
      <c r="K81" s="1"/>
      <c r="L81" s="1">
        <f t="shared" ref="L81:L88" si="58">+D81-H81</f>
        <v>-7</v>
      </c>
      <c r="M81" s="1"/>
      <c r="N81" s="5">
        <f t="shared" ref="N81:N88" si="59">IF(H81=0,0,L81/H81)</f>
        <v>-1.4112903225806451E-2</v>
      </c>
      <c r="O81" s="13"/>
      <c r="P81" s="1">
        <f>SUM(OSRRefP22_16x_0)</f>
        <v>4422.9399999999996</v>
      </c>
      <c r="Q81" s="1"/>
      <c r="R81" s="5">
        <f t="shared" ref="R81:R88" si="60">IF(P$12=0,0,P81/P$12)</f>
        <v>0</v>
      </c>
      <c r="S81" s="1"/>
      <c r="T81" s="1">
        <f>SUM(OSRRefT22_16x_0)</f>
        <v>4303.25</v>
      </c>
      <c r="U81" s="1"/>
      <c r="V81" s="5">
        <f t="shared" ref="V81:V88" si="61">IF(T$12=0,0,T81/T$12)</f>
        <v>0</v>
      </c>
      <c r="W81" s="1"/>
      <c r="X81" s="1">
        <f t="shared" ref="X81:X88" si="62">+P81-T81</f>
        <v>119.6899999999996</v>
      </c>
      <c r="Y81" s="1"/>
      <c r="Z81" s="5">
        <f t="shared" ref="Z81:Z88" si="63">IF(T81=0,0,X81/T81)</f>
        <v>2.7813861616220206E-2</v>
      </c>
    </row>
    <row r="82" spans="1:26" s="24" customFormat="1" hidden="1" outlineLevel="2" x14ac:dyDescent="0.25">
      <c r="A82" s="27"/>
      <c r="B82" s="11" t="str">
        <f>CONCATENATE("          ", "6309", " - ", "TELEPHONE")</f>
        <v xml:space="preserve">          6309 - TELEPHONE</v>
      </c>
      <c r="C82" s="11"/>
      <c r="D82" s="6">
        <v>489</v>
      </c>
      <c r="E82" s="2"/>
      <c r="F82" s="7">
        <f t="shared" si="56"/>
        <v>0</v>
      </c>
      <c r="G82" s="2"/>
      <c r="H82" s="6">
        <v>496</v>
      </c>
      <c r="I82" s="2"/>
      <c r="J82" s="7">
        <f t="shared" si="57"/>
        <v>0</v>
      </c>
      <c r="K82" s="2"/>
      <c r="L82" s="6">
        <f t="shared" si="58"/>
        <v>-7</v>
      </c>
      <c r="M82" s="2"/>
      <c r="N82" s="7">
        <f t="shared" si="59"/>
        <v>-1.4112903225806451E-2</v>
      </c>
      <c r="O82" s="11"/>
      <c r="P82" s="6">
        <v>4422.9399999999996</v>
      </c>
      <c r="Q82" s="2"/>
      <c r="R82" s="7">
        <f t="shared" si="60"/>
        <v>0</v>
      </c>
      <c r="S82" s="2"/>
      <c r="T82" s="6">
        <v>4303.25</v>
      </c>
      <c r="U82" s="2"/>
      <c r="V82" s="7">
        <f t="shared" si="61"/>
        <v>0</v>
      </c>
      <c r="W82" s="2"/>
      <c r="X82" s="6">
        <f t="shared" si="62"/>
        <v>119.6899999999996</v>
      </c>
      <c r="Y82" s="2"/>
      <c r="Z82" s="7">
        <f t="shared" si="63"/>
        <v>2.7813861616220206E-2</v>
      </c>
    </row>
    <row r="83" spans="1:26" s="25" customFormat="1" outlineLevel="1" collapsed="1" x14ac:dyDescent="0.25">
      <c r="A83" s="26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SUM(OSRRefD22_17x_0)</f>
        <v>0</v>
      </c>
      <c r="E83" s="1"/>
      <c r="F83" s="5">
        <f t="shared" si="56"/>
        <v>0</v>
      </c>
      <c r="G83" s="1"/>
      <c r="H83" s="1">
        <f>SUM(OSRRefH22_17x_0)</f>
        <v>0</v>
      </c>
      <c r="I83" s="1"/>
      <c r="J83" s="5">
        <f t="shared" si="57"/>
        <v>0</v>
      </c>
      <c r="K83" s="1"/>
      <c r="L83" s="1">
        <f t="shared" si="58"/>
        <v>0</v>
      </c>
      <c r="M83" s="1"/>
      <c r="N83" s="5">
        <f t="shared" si="59"/>
        <v>0</v>
      </c>
      <c r="O83" s="13"/>
      <c r="P83" s="1">
        <f>SUM(OSRRefP22_17x_0)</f>
        <v>240</v>
      </c>
      <c r="Q83" s="1"/>
      <c r="R83" s="5">
        <f t="shared" si="60"/>
        <v>0</v>
      </c>
      <c r="S83" s="1"/>
      <c r="T83" s="1">
        <f>SUM(OSRRefT22_17x_0)</f>
        <v>170</v>
      </c>
      <c r="U83" s="1"/>
      <c r="V83" s="5">
        <f t="shared" si="61"/>
        <v>0</v>
      </c>
      <c r="W83" s="1"/>
      <c r="X83" s="1">
        <f t="shared" si="62"/>
        <v>70</v>
      </c>
      <c r="Y83" s="1"/>
      <c r="Z83" s="5">
        <f t="shared" si="63"/>
        <v>0.41176470588235292</v>
      </c>
    </row>
    <row r="84" spans="1:26" s="24" customFormat="1" hidden="1" outlineLevel="2" x14ac:dyDescent="0.25">
      <c r="A84" s="27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56"/>
        <v>0</v>
      </c>
      <c r="G84" s="2"/>
      <c r="H84" s="6"/>
      <c r="I84" s="2"/>
      <c r="J84" s="7">
        <f t="shared" si="57"/>
        <v>0</v>
      </c>
      <c r="K84" s="2"/>
      <c r="L84" s="6">
        <f t="shared" si="58"/>
        <v>0</v>
      </c>
      <c r="M84" s="2"/>
      <c r="N84" s="7">
        <f t="shared" si="59"/>
        <v>0</v>
      </c>
      <c r="O84" s="11"/>
      <c r="P84" s="6">
        <v>240</v>
      </c>
      <c r="Q84" s="2"/>
      <c r="R84" s="7">
        <f t="shared" si="60"/>
        <v>0</v>
      </c>
      <c r="S84" s="2"/>
      <c r="T84" s="6">
        <v>170</v>
      </c>
      <c r="U84" s="2"/>
      <c r="V84" s="7">
        <f t="shared" si="61"/>
        <v>0</v>
      </c>
      <c r="W84" s="2"/>
      <c r="X84" s="6">
        <f t="shared" si="62"/>
        <v>70</v>
      </c>
      <c r="Y84" s="2"/>
      <c r="Z84" s="7">
        <f t="shared" si="63"/>
        <v>0.41176470588235292</v>
      </c>
    </row>
    <row r="85" spans="1:26" s="25" customFormat="1" outlineLevel="1" collapsed="1" x14ac:dyDescent="0.25">
      <c r="A85" s="26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SUM(OSRRefD22_18x_0)</f>
        <v>190.35</v>
      </c>
      <c r="E85" s="1"/>
      <c r="F85" s="5">
        <f t="shared" si="56"/>
        <v>0</v>
      </c>
      <c r="G85" s="1"/>
      <c r="H85" s="1">
        <f>SUM(OSRRefH22_18x_0)</f>
        <v>174.06</v>
      </c>
      <c r="I85" s="1"/>
      <c r="J85" s="5">
        <f t="shared" si="57"/>
        <v>0</v>
      </c>
      <c r="K85" s="1"/>
      <c r="L85" s="1">
        <f t="shared" si="58"/>
        <v>16.289999999999992</v>
      </c>
      <c r="M85" s="1"/>
      <c r="N85" s="5">
        <f t="shared" si="59"/>
        <v>9.3588417786969968E-2</v>
      </c>
      <c r="O85" s="13"/>
      <c r="P85" s="1">
        <f>SUM(OSRRefP22_18x_0)</f>
        <v>2300.86</v>
      </c>
      <c r="Q85" s="1"/>
      <c r="R85" s="5">
        <f t="shared" si="60"/>
        <v>0</v>
      </c>
      <c r="S85" s="1"/>
      <c r="T85" s="1">
        <f>SUM(OSRRefT22_18x_0)</f>
        <v>2515</v>
      </c>
      <c r="U85" s="1"/>
      <c r="V85" s="5">
        <f t="shared" si="61"/>
        <v>0</v>
      </c>
      <c r="W85" s="1"/>
      <c r="X85" s="1">
        <f t="shared" si="62"/>
        <v>-214.13999999999987</v>
      </c>
      <c r="Y85" s="1"/>
      <c r="Z85" s="5">
        <f t="shared" si="63"/>
        <v>-8.5145129224652033E-2</v>
      </c>
    </row>
    <row r="86" spans="1:26" s="24" customFormat="1" hidden="1" outlineLevel="2" x14ac:dyDescent="0.25">
      <c r="A86" s="27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56"/>
        <v>0</v>
      </c>
      <c r="G86" s="2"/>
      <c r="H86" s="6">
        <v>35.450000000000003</v>
      </c>
      <c r="I86" s="2"/>
      <c r="J86" s="7">
        <f t="shared" si="57"/>
        <v>0</v>
      </c>
      <c r="K86" s="2"/>
      <c r="L86" s="6">
        <f t="shared" si="58"/>
        <v>-35.450000000000003</v>
      </c>
      <c r="M86" s="2"/>
      <c r="N86" s="7">
        <f t="shared" si="59"/>
        <v>-1</v>
      </c>
      <c r="O86" s="11"/>
      <c r="P86" s="6">
        <v>966.72</v>
      </c>
      <c r="Q86" s="2"/>
      <c r="R86" s="7">
        <f t="shared" si="60"/>
        <v>0</v>
      </c>
      <c r="S86" s="2"/>
      <c r="T86" s="6">
        <v>1405.94</v>
      </c>
      <c r="U86" s="2"/>
      <c r="V86" s="7">
        <f t="shared" si="61"/>
        <v>0</v>
      </c>
      <c r="W86" s="2"/>
      <c r="X86" s="6">
        <f t="shared" si="62"/>
        <v>-439.22</v>
      </c>
      <c r="Y86" s="2"/>
      <c r="Z86" s="7">
        <f t="shared" si="63"/>
        <v>-0.31240308974778441</v>
      </c>
    </row>
    <row r="87" spans="1:26" s="24" customFormat="1" hidden="1" outlineLevel="2" x14ac:dyDescent="0.25">
      <c r="A87" s="27"/>
      <c r="B87" s="11" t="str">
        <f>CONCATENATE("          ", "6294", " - ", "TRAVEL OPERATIONAL")</f>
        <v xml:space="preserve">          6294 - TRAVEL OPERATIONAL</v>
      </c>
      <c r="C87" s="11"/>
      <c r="D87" s="6"/>
      <c r="E87" s="2"/>
      <c r="F87" s="7">
        <f t="shared" si="56"/>
        <v>0</v>
      </c>
      <c r="G87" s="2"/>
      <c r="H87" s="6"/>
      <c r="I87" s="2"/>
      <c r="J87" s="7">
        <f t="shared" si="57"/>
        <v>0</v>
      </c>
      <c r="K87" s="2"/>
      <c r="L87" s="6">
        <f t="shared" si="58"/>
        <v>0</v>
      </c>
      <c r="M87" s="2"/>
      <c r="N87" s="7">
        <f t="shared" si="59"/>
        <v>0</v>
      </c>
      <c r="O87" s="11"/>
      <c r="P87" s="6">
        <v>45.49</v>
      </c>
      <c r="Q87" s="2"/>
      <c r="R87" s="7">
        <f t="shared" si="60"/>
        <v>0</v>
      </c>
      <c r="S87" s="2"/>
      <c r="T87" s="6">
        <v>29.49</v>
      </c>
      <c r="U87" s="2"/>
      <c r="V87" s="7">
        <f t="shared" si="61"/>
        <v>0</v>
      </c>
      <c r="W87" s="2"/>
      <c r="X87" s="6">
        <f t="shared" si="62"/>
        <v>16.000000000000004</v>
      </c>
      <c r="Y87" s="2"/>
      <c r="Z87" s="7">
        <f t="shared" si="63"/>
        <v>0.54255679891488651</v>
      </c>
    </row>
    <row r="88" spans="1:26" s="24" customFormat="1" hidden="1" outlineLevel="2" x14ac:dyDescent="0.25">
      <c r="A88" s="27"/>
      <c r="B88" s="11" t="str">
        <f>CONCATENATE("          ", "6298", " - ", "VEHICLE MILEAGE")</f>
        <v xml:space="preserve">          6298 - VEHICLE MILEAGE</v>
      </c>
      <c r="C88" s="11"/>
      <c r="D88" s="6">
        <v>190.35</v>
      </c>
      <c r="E88" s="2"/>
      <c r="F88" s="7">
        <f t="shared" si="56"/>
        <v>0</v>
      </c>
      <c r="G88" s="2"/>
      <c r="H88" s="6">
        <v>138.61000000000001</v>
      </c>
      <c r="I88" s="2"/>
      <c r="J88" s="7">
        <f t="shared" si="57"/>
        <v>0</v>
      </c>
      <c r="K88" s="2"/>
      <c r="L88" s="6">
        <f t="shared" si="58"/>
        <v>51.739999999999981</v>
      </c>
      <c r="M88" s="2"/>
      <c r="N88" s="7">
        <f t="shared" si="59"/>
        <v>0.37327754130293611</v>
      </c>
      <c r="O88" s="11"/>
      <c r="P88" s="6">
        <v>1288.6500000000001</v>
      </c>
      <c r="Q88" s="2"/>
      <c r="R88" s="7">
        <f t="shared" si="60"/>
        <v>0</v>
      </c>
      <c r="S88" s="2"/>
      <c r="T88" s="6">
        <v>1079.57</v>
      </c>
      <c r="U88" s="2"/>
      <c r="V88" s="7">
        <f t="shared" si="61"/>
        <v>0</v>
      </c>
      <c r="W88" s="2"/>
      <c r="X88" s="6">
        <f t="shared" si="62"/>
        <v>209.08000000000015</v>
      </c>
      <c r="Y88" s="2"/>
      <c r="Z88" s="7">
        <f t="shared" si="63"/>
        <v>0.19366970182572707</v>
      </c>
    </row>
    <row r="89" spans="1:26" s="25" customFormat="1" outlineLevel="1" collapsed="1" x14ac:dyDescent="0.25">
      <c r="A89" s="26"/>
      <c r="B89" s="13" t="str">
        <f>CONCATENATE("     ","Utilities                                         ")</f>
        <v xml:space="preserve">     Utilities                                         </v>
      </c>
      <c r="C89" s="13"/>
      <c r="D89" s="1">
        <f>SUM(OSRRefD22_19x_0)</f>
        <v>12923</v>
      </c>
      <c r="E89" s="1"/>
      <c r="F89" s="5">
        <f t="shared" ref="F89:F90" si="64">IF(D$12=0,0,D89/D$12)</f>
        <v>0</v>
      </c>
      <c r="G89" s="1"/>
      <c r="H89" s="1">
        <f>SUM(OSRRefH22_19x_0)</f>
        <v>11356</v>
      </c>
      <c r="I89" s="1"/>
      <c r="J89" s="5">
        <f t="shared" ref="J89:J90" si="65">IF(H$12=0,0,H89/H$12)</f>
        <v>0</v>
      </c>
      <c r="K89" s="1"/>
      <c r="L89" s="1">
        <f t="shared" ref="L89:L90" si="66">+D89-H89</f>
        <v>1567</v>
      </c>
      <c r="M89" s="1"/>
      <c r="N89" s="5">
        <f t="shared" ref="N89:N90" si="67">IF(H89=0,0,L89/H89)</f>
        <v>0.13798872842550194</v>
      </c>
      <c r="O89" s="13"/>
      <c r="P89" s="1">
        <f>SUM(OSRRefP22_19x_0)</f>
        <v>133283</v>
      </c>
      <c r="Q89" s="1"/>
      <c r="R89" s="5">
        <f t="shared" ref="R89:R90" si="68">IF(P$12=0,0,P89/P$12)</f>
        <v>0</v>
      </c>
      <c r="S89" s="1"/>
      <c r="T89" s="1">
        <f>SUM(OSRRefT22_19x_0)</f>
        <v>93289.72</v>
      </c>
      <c r="U89" s="1"/>
      <c r="V89" s="5">
        <f t="shared" ref="V89:V90" si="69">IF(T$12=0,0,T89/T$12)</f>
        <v>0</v>
      </c>
      <c r="W89" s="1"/>
      <c r="X89" s="1">
        <f t="shared" ref="X89:X90" si="70">+P89-T89</f>
        <v>39993.279999999999</v>
      </c>
      <c r="Y89" s="1"/>
      <c r="Z89" s="5">
        <f t="shared" ref="Z89:Z90" si="71">IF(T89=0,0,X89/T89)</f>
        <v>0.42869975384211678</v>
      </c>
    </row>
    <row r="90" spans="1:26" s="24" customFormat="1" hidden="1" outlineLevel="2" x14ac:dyDescent="0.25">
      <c r="A90" s="27"/>
      <c r="B90" s="11" t="str">
        <f>CONCATENATE("          ", "6274", " - ", "UTILITIES")</f>
        <v xml:space="preserve">          6274 - UTILITIES</v>
      </c>
      <c r="C90" s="11"/>
      <c r="D90" s="6">
        <v>12923</v>
      </c>
      <c r="E90" s="2"/>
      <c r="F90" s="7">
        <f t="shared" si="64"/>
        <v>0</v>
      </c>
      <c r="G90" s="2"/>
      <c r="H90" s="6">
        <v>11356</v>
      </c>
      <c r="I90" s="2"/>
      <c r="J90" s="7">
        <f t="shared" si="65"/>
        <v>0</v>
      </c>
      <c r="K90" s="2"/>
      <c r="L90" s="6">
        <f t="shared" si="66"/>
        <v>1567</v>
      </c>
      <c r="M90" s="2"/>
      <c r="N90" s="7">
        <f t="shared" si="67"/>
        <v>0.13798872842550194</v>
      </c>
      <c r="O90" s="11"/>
      <c r="P90" s="6">
        <v>133283</v>
      </c>
      <c r="Q90" s="2"/>
      <c r="R90" s="7">
        <f t="shared" si="68"/>
        <v>0</v>
      </c>
      <c r="S90" s="2"/>
      <c r="T90" s="6">
        <v>93289.72</v>
      </c>
      <c r="U90" s="2"/>
      <c r="V90" s="7">
        <f t="shared" si="69"/>
        <v>0</v>
      </c>
      <c r="W90" s="2"/>
      <c r="X90" s="6">
        <f t="shared" si="70"/>
        <v>39993.279999999999</v>
      </c>
      <c r="Y90" s="2"/>
      <c r="Z90" s="7">
        <f t="shared" si="71"/>
        <v>0.42869975384211678</v>
      </c>
    </row>
    <row r="91" spans="1:26" s="53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9" t="s">
        <v>0</v>
      </c>
      <c r="C92" s="10"/>
      <c r="D92" s="4">
        <f>SUM(OSRRefD25x_0)</f>
        <v>7850.87</v>
      </c>
      <c r="E92" s="4"/>
      <c r="F92" s="12">
        <f t="shared" ref="F92:F94" si="72">IF(D$12=0,0,D92/D$12)</f>
        <v>0</v>
      </c>
      <c r="G92" s="4"/>
      <c r="H92" s="4">
        <f>SUM(OSRRefH25x_0)</f>
        <v>9966.33</v>
      </c>
      <c r="I92" s="4"/>
      <c r="J92" s="12">
        <f t="shared" ref="J92:J94" si="73">IF(H$12=0,0,H92/H$12)</f>
        <v>0</v>
      </c>
      <c r="K92" s="4"/>
      <c r="L92" s="4">
        <f t="shared" ref="L92:L94" si="74">+D92-H92</f>
        <v>-2115.46</v>
      </c>
      <c r="M92" s="4"/>
      <c r="N92" s="12">
        <f t="shared" ref="N92:N94" si="75">IF(H92=0,0,L92/H92)</f>
        <v>-0.21226068171533555</v>
      </c>
      <c r="O92" s="10"/>
      <c r="P92" s="4">
        <f>SUM(OSRRefP25x_0)</f>
        <v>111740.72</v>
      </c>
      <c r="Q92" s="4"/>
      <c r="R92" s="12">
        <f t="shared" ref="R92:R94" si="76">IF(P$12=0,0,P92/P$12)</f>
        <v>0</v>
      </c>
      <c r="S92" s="4"/>
      <c r="T92" s="4">
        <f>SUM(OSRRefT25x_0)</f>
        <v>121629.02</v>
      </c>
      <c r="U92" s="4"/>
      <c r="V92" s="12">
        <f t="shared" ref="V92:V94" si="77">IF(T$12=0,0,T92/T$12)</f>
        <v>0</v>
      </c>
      <c r="W92" s="4"/>
      <c r="X92" s="4">
        <f t="shared" ref="X92:X94" si="78">+P92-T92</f>
        <v>-9888.3000000000029</v>
      </c>
      <c r="Y92" s="4"/>
      <c r="Z92" s="12">
        <f t="shared" ref="Z92:Z94" si="79">IF(T92=0,0,X92/T92)</f>
        <v>-8.1298854500348711E-2</v>
      </c>
    </row>
    <row r="93" spans="1:26" s="24" customFormat="1" hidden="1" outlineLevel="1" x14ac:dyDescent="0.25">
      <c r="A93" s="44"/>
      <c r="B93" s="11" t="str">
        <f>CONCATENATE("          ", "9150", " - ", "MISC. INCOME")</f>
        <v xml:space="preserve">          9150 - MISC. INCOME</v>
      </c>
      <c r="C93" s="11"/>
      <c r="D93" s="2">
        <f>--7850.87</f>
        <v>7850.87</v>
      </c>
      <c r="E93" s="2"/>
      <c r="F93" s="19">
        <f t="shared" si="72"/>
        <v>0</v>
      </c>
      <c r="G93" s="2"/>
      <c r="H93" s="2">
        <f>--9966.33</f>
        <v>9966.33</v>
      </c>
      <c r="I93" s="2"/>
      <c r="J93" s="19">
        <f t="shared" si="73"/>
        <v>0</v>
      </c>
      <c r="K93" s="2"/>
      <c r="L93" s="2">
        <f t="shared" si="74"/>
        <v>-2115.46</v>
      </c>
      <c r="M93" s="2"/>
      <c r="N93" s="19">
        <f t="shared" si="75"/>
        <v>-0.21226068171533555</v>
      </c>
      <c r="O93" s="11"/>
      <c r="P93" s="2">
        <f>--109690.69</f>
        <v>109690.69</v>
      </c>
      <c r="Q93" s="2"/>
      <c r="R93" s="19">
        <f t="shared" si="76"/>
        <v>0</v>
      </c>
      <c r="S93" s="2"/>
      <c r="T93" s="2">
        <f>--119842.33</f>
        <v>119842.33</v>
      </c>
      <c r="U93" s="2"/>
      <c r="V93" s="19">
        <f t="shared" si="77"/>
        <v>0</v>
      </c>
      <c r="W93" s="2"/>
      <c r="X93" s="2">
        <f t="shared" si="78"/>
        <v>-10151.64</v>
      </c>
      <c r="Y93" s="2"/>
      <c r="Z93" s="19">
        <f t="shared" si="79"/>
        <v>-8.4708299646710797E-2</v>
      </c>
    </row>
    <row r="94" spans="1:26" s="24" customFormat="1" hidden="1" outlineLevel="1" x14ac:dyDescent="0.25">
      <c r="A94" s="44"/>
      <c r="B94" s="11" t="str">
        <f>CONCATENATE("          ", "9160", " - ", "MISC. INCOME")</f>
        <v xml:space="preserve">          9160 - MISC. INCOME</v>
      </c>
      <c r="C94" s="11"/>
      <c r="D94" s="2">
        <f>0</f>
        <v>0</v>
      </c>
      <c r="E94" s="2"/>
      <c r="F94" s="19">
        <f t="shared" si="72"/>
        <v>0</v>
      </c>
      <c r="G94" s="2"/>
      <c r="H94" s="2">
        <f>0</f>
        <v>0</v>
      </c>
      <c r="I94" s="2"/>
      <c r="J94" s="19">
        <f t="shared" si="73"/>
        <v>0</v>
      </c>
      <c r="K94" s="2"/>
      <c r="L94" s="2">
        <f t="shared" si="74"/>
        <v>0</v>
      </c>
      <c r="M94" s="2"/>
      <c r="N94" s="19">
        <f t="shared" si="75"/>
        <v>0</v>
      </c>
      <c r="O94" s="11"/>
      <c r="P94" s="2">
        <f>--2050.03</f>
        <v>2050.0300000000002</v>
      </c>
      <c r="Q94" s="2"/>
      <c r="R94" s="19">
        <f t="shared" si="76"/>
        <v>0</v>
      </c>
      <c r="S94" s="2"/>
      <c r="T94" s="2">
        <f>--1786.69</f>
        <v>1786.69</v>
      </c>
      <c r="U94" s="2"/>
      <c r="V94" s="19">
        <f t="shared" si="77"/>
        <v>0</v>
      </c>
      <c r="W94" s="2"/>
      <c r="X94" s="2">
        <f t="shared" si="78"/>
        <v>263.34000000000015</v>
      </c>
      <c r="Y94" s="2"/>
      <c r="Z94" s="19">
        <f t="shared" si="79"/>
        <v>0.14738986617712091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1">
        <f>+D16-D18+D92</f>
        <v>-40201.359999999993</v>
      </c>
      <c r="E96" s="14"/>
      <c r="F96" s="20">
        <f>IF(D$12=0,0,D96/D$12)</f>
        <v>0</v>
      </c>
      <c r="G96" s="14"/>
      <c r="H96" s="21">
        <f>+H16-H18+H92</f>
        <v>-77537.049999999988</v>
      </c>
      <c r="I96" s="14"/>
      <c r="J96" s="20">
        <f>IF(H$12=0,0,H96/H$12)</f>
        <v>0</v>
      </c>
      <c r="K96" s="15"/>
      <c r="L96" s="21">
        <f>+D96-H96</f>
        <v>37335.689999999995</v>
      </c>
      <c r="M96" s="15"/>
      <c r="N96" s="20">
        <f>IF(H96=0,0,L96/H96)</f>
        <v>-0.48152064077753798</v>
      </c>
      <c r="O96" s="29"/>
      <c r="P96" s="21">
        <f>+P16-P18+P92</f>
        <v>-818309.63000000012</v>
      </c>
      <c r="Q96" s="14"/>
      <c r="R96" s="20">
        <f>IF(P$12=0,0,P96/P$12)</f>
        <v>0</v>
      </c>
      <c r="S96" s="14"/>
      <c r="T96" s="21">
        <f>+T16-T18+T92</f>
        <v>-811492.55999999982</v>
      </c>
      <c r="U96" s="14"/>
      <c r="V96" s="20">
        <f>IF(T$12=0,0,T96/T$12)</f>
        <v>0</v>
      </c>
      <c r="W96" s="15"/>
      <c r="X96" s="21">
        <f>+P96-T96</f>
        <v>-6817.070000000298</v>
      </c>
      <c r="Y96" s="15"/>
      <c r="Z96" s="20">
        <f>IF(T96=0,0,X96/T96)</f>
        <v>8.4006561933239413E-3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1"/>
      <c r="B98" s="10" t="s">
        <v>13</v>
      </c>
      <c r="C98" s="10"/>
      <c r="D98" s="4"/>
      <c r="E98" s="4"/>
      <c r="F98" s="12">
        <f>IF(D$12=0,0,D98/D$12)</f>
        <v>0</v>
      </c>
      <c r="G98" s="4"/>
      <c r="H98" s="4"/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/>
      <c r="Q98" s="4"/>
      <c r="R98" s="12">
        <f>IF(P$12=0,0,P98/P$12)</f>
        <v>0</v>
      </c>
      <c r="S98" s="4"/>
      <c r="T98" s="4"/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0">
        <f>+D96-D98</f>
        <v>-40201.359999999993</v>
      </c>
      <c r="E100" s="14"/>
      <c r="F100" s="36">
        <f>IF(D$12=0,0,D100/D$12)</f>
        <v>0</v>
      </c>
      <c r="G100" s="14"/>
      <c r="H100" s="30">
        <f>+H96-H98</f>
        <v>-77537.049999999988</v>
      </c>
      <c r="I100" s="14"/>
      <c r="J100" s="36">
        <f>IF(H$12=0,0,H100/H$12)</f>
        <v>0</v>
      </c>
      <c r="K100" s="15"/>
      <c r="L100" s="30">
        <f>D100-H100</f>
        <v>37335.689999999995</v>
      </c>
      <c r="M100" s="15"/>
      <c r="N100" s="36">
        <f>IF(H100=0,0,L100/H100)</f>
        <v>-0.48152064077753798</v>
      </c>
      <c r="O100" s="29"/>
      <c r="P100" s="30">
        <f>+P96-P98</f>
        <v>-818309.63000000012</v>
      </c>
      <c r="Q100" s="14"/>
      <c r="R100" s="36">
        <f>IF(P$12=0,0,P100/P$12)</f>
        <v>0</v>
      </c>
      <c r="S100" s="14"/>
      <c r="T100" s="30">
        <f>+T96-T98</f>
        <v>-811492.55999999982</v>
      </c>
      <c r="U100" s="14"/>
      <c r="V100" s="36">
        <f>IF(T$12=0,0,T100/T$12)</f>
        <v>0</v>
      </c>
      <c r="W100" s="15"/>
      <c r="X100" s="30">
        <f>P100-T100</f>
        <v>-6817.070000000298</v>
      </c>
      <c r="Y100" s="15"/>
      <c r="Z100" s="36">
        <f>IF(T100=0,0,X100/T100)</f>
        <v>8.4006561933239413E-3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1">
        <f>SUM(D100:D102)</f>
        <v>-40201.359999999993</v>
      </c>
      <c r="E103" s="14"/>
      <c r="F103" s="32">
        <f>IF(D$12=0,0,D103/D$12)</f>
        <v>0</v>
      </c>
      <c r="G103" s="14"/>
      <c r="H103" s="31">
        <f>SUM(H100:H102)</f>
        <v>-77537.049999999988</v>
      </c>
      <c r="I103" s="14"/>
      <c r="J103" s="32">
        <f>IF(H$12=0,0,H103/H$12)</f>
        <v>0</v>
      </c>
      <c r="K103" s="15"/>
      <c r="L103" s="31">
        <f>+D103-H103</f>
        <v>37335.689999999995</v>
      </c>
      <c r="M103" s="15"/>
      <c r="N103" s="32">
        <f>IF(H103=0,0,L103/H103)</f>
        <v>-0.48152064077753798</v>
      </c>
      <c r="O103" s="29"/>
      <c r="P103" s="31">
        <f>SUM(P100:P102)</f>
        <v>-818309.63000000012</v>
      </c>
      <c r="Q103" s="14"/>
      <c r="R103" s="32">
        <f>IF(P$12=0,0,P103/P$12)</f>
        <v>0</v>
      </c>
      <c r="S103" s="14"/>
      <c r="T103" s="31">
        <f>SUM(T100:T102)</f>
        <v>-811492.55999999982</v>
      </c>
      <c r="U103" s="14"/>
      <c r="V103" s="32">
        <f>IF(T$12=0,0,T103/T$12)</f>
        <v>0</v>
      </c>
      <c r="W103" s="15"/>
      <c r="X103" s="31">
        <f>+P103-T103</f>
        <v>-6817.070000000298</v>
      </c>
      <c r="Y103" s="15"/>
      <c r="Z103" s="32">
        <f>IF(T103=0,0,X103/T103)</f>
        <v>8.4006561933239413E-3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4">
        <v>43965.471281331018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59" t="s">
        <v>313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61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","412", " - ", "Chartroom")</f>
        <v>Department 412 - Chartroom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165632.19</v>
      </c>
      <c r="I12" s="4"/>
      <c r="J12" s="12"/>
      <c r="K12" s="4"/>
      <c r="L12" s="4">
        <f t="shared" ref="L12:L15" si="0">+D12-H12</f>
        <v>-165632.19</v>
      </c>
      <c r="M12" s="4"/>
      <c r="N12" s="12">
        <f t="shared" ref="N12:N15" si="1">IF(H12=0,0,L12/H12)</f>
        <v>-1</v>
      </c>
      <c r="O12" s="10"/>
      <c r="P12" s="4">
        <f>SUM(OSRRefP13x_0)</f>
        <v>379973.86</v>
      </c>
      <c r="Q12" s="4"/>
      <c r="R12" s="12"/>
      <c r="S12" s="4"/>
      <c r="T12" s="4">
        <f>SUM(OSRRefT13x_0)</f>
        <v>923680.05999999994</v>
      </c>
      <c r="U12" s="4"/>
      <c r="V12" s="12"/>
      <c r="W12" s="4"/>
      <c r="X12" s="4">
        <f t="shared" ref="X12:X15" si="2">+P12-T12</f>
        <v>-543706.19999999995</v>
      </c>
      <c r="Y12" s="4"/>
      <c r="Z12" s="12">
        <f t="shared" ref="Z12:Z15" si="3">IF(T12=0,0,X12/T12)</f>
        <v>-0.58863043985165164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5" si="4">0</f>
        <v>0</v>
      </c>
      <c r="E13" s="2"/>
      <c r="F13" s="19"/>
      <c r="G13" s="2"/>
      <c r="H13" s="2">
        <f>--157477.78</f>
        <v>157477.78</v>
      </c>
      <c r="I13" s="2"/>
      <c r="J13" s="19"/>
      <c r="K13" s="2"/>
      <c r="L13" s="2">
        <f t="shared" si="0"/>
        <v>-157477.78</v>
      </c>
      <c r="M13" s="2"/>
      <c r="N13" s="19">
        <f t="shared" si="1"/>
        <v>-1</v>
      </c>
      <c r="O13" s="11"/>
      <c r="P13" s="2">
        <f>--329896.47</f>
        <v>329896.46999999997</v>
      </c>
      <c r="Q13" s="2"/>
      <c r="R13" s="19"/>
      <c r="S13" s="2"/>
      <c r="T13" s="2">
        <f>--852722.22</f>
        <v>852722.22</v>
      </c>
      <c r="U13" s="2"/>
      <c r="V13" s="19"/>
      <c r="W13" s="2"/>
      <c r="X13" s="2">
        <f t="shared" si="2"/>
        <v>-522825.75</v>
      </c>
      <c r="Y13" s="2"/>
      <c r="Z13" s="19">
        <f t="shared" si="3"/>
        <v>-0.61312551466056553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--8154.41</f>
        <v>8154.41</v>
      </c>
      <c r="I14" s="2"/>
      <c r="J14" s="19"/>
      <c r="K14" s="2"/>
      <c r="L14" s="2">
        <f t="shared" si="0"/>
        <v>-8154.41</v>
      </c>
      <c r="M14" s="2"/>
      <c r="N14" s="19">
        <f t="shared" si="1"/>
        <v>-1</v>
      </c>
      <c r="O14" s="11"/>
      <c r="P14" s="2">
        <f>--50077.39</f>
        <v>50077.39</v>
      </c>
      <c r="Q14" s="2"/>
      <c r="R14" s="19"/>
      <c r="S14" s="2"/>
      <c r="T14" s="2">
        <f>--70430.71</f>
        <v>70430.710000000006</v>
      </c>
      <c r="U14" s="2"/>
      <c r="V14" s="19"/>
      <c r="W14" s="2"/>
      <c r="X14" s="2">
        <f t="shared" si="2"/>
        <v>-20353.320000000007</v>
      </c>
      <c r="Y14" s="2"/>
      <c r="Z14" s="19">
        <f t="shared" si="3"/>
        <v>-0.28898359820595315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--527.13</f>
        <v>527.13</v>
      </c>
      <c r="U15" s="2"/>
      <c r="V15" s="19"/>
      <c r="W15" s="2"/>
      <c r="X15" s="2">
        <f t="shared" si="2"/>
        <v>-527.13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13090.07</v>
      </c>
      <c r="E17" s="4"/>
      <c r="F17" s="12">
        <f t="shared" ref="F17:F19" si="5">IF(D$12=0,0,D17/D$12)</f>
        <v>0</v>
      </c>
      <c r="G17" s="4"/>
      <c r="H17" s="4">
        <f>SUM(OSRRefH16x_0)</f>
        <v>46872.009999999995</v>
      </c>
      <c r="I17" s="4"/>
      <c r="J17" s="12">
        <f t="shared" ref="J17:J19" si="6">IF(H$12=0,0,H17/H$12)</f>
        <v>0.28298853018848569</v>
      </c>
      <c r="K17" s="4"/>
      <c r="L17" s="4">
        <f t="shared" ref="L17:L19" si="7">+D17-H17</f>
        <v>-33781.939999999995</v>
      </c>
      <c r="M17" s="4"/>
      <c r="N17" s="12">
        <f t="shared" ref="N17:N19" si="8">IF(H17=0,0,L17/H17)</f>
        <v>-0.72072735946250222</v>
      </c>
      <c r="O17" s="10"/>
      <c r="P17" s="4">
        <f>SUM(OSRRefP16x_0)</f>
        <v>202331.49</v>
      </c>
      <c r="Q17" s="4"/>
      <c r="R17" s="12">
        <f t="shared" ref="R17:R19" si="9">IF(P$12=0,0,P17/P$12)</f>
        <v>0.53248791903737802</v>
      </c>
      <c r="S17" s="4"/>
      <c r="T17" s="4">
        <f>SUM(OSRRefT16x_0)</f>
        <v>281337.09999999998</v>
      </c>
      <c r="U17" s="4"/>
      <c r="V17" s="12">
        <f t="shared" ref="V17:V19" si="10">IF(T$12=0,0,T17/T$12)</f>
        <v>0.30458284441043365</v>
      </c>
      <c r="W17" s="4"/>
      <c r="X17" s="4">
        <f t="shared" ref="X17:X19" si="11">+P17-T17</f>
        <v>-79005.609999999986</v>
      </c>
      <c r="Y17" s="4"/>
      <c r="Z17" s="12">
        <f t="shared" ref="Z17:Z19" si="12">IF(T17=0,0,X17/T17)</f>
        <v>-0.28082186814323457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13090.07</v>
      </c>
      <c r="E18" s="2"/>
      <c r="F18" s="19">
        <f t="shared" si="5"/>
        <v>0</v>
      </c>
      <c r="G18" s="2"/>
      <c r="H18" s="2">
        <v>46872.009999999995</v>
      </c>
      <c r="I18" s="2"/>
      <c r="J18" s="19">
        <f t="shared" si="6"/>
        <v>0.28298853018848569</v>
      </c>
      <c r="K18" s="2"/>
      <c r="L18" s="2">
        <f t="shared" si="7"/>
        <v>-33781.939999999995</v>
      </c>
      <c r="M18" s="2"/>
      <c r="N18" s="19">
        <f t="shared" si="8"/>
        <v>-0.72072735946250222</v>
      </c>
      <c r="O18" s="11"/>
      <c r="P18" s="2">
        <v>216281.49</v>
      </c>
      <c r="Q18" s="2"/>
      <c r="R18" s="19">
        <f t="shared" si="9"/>
        <v>0.56920097082467724</v>
      </c>
      <c r="S18" s="2"/>
      <c r="T18" s="2">
        <v>281337.09999999998</v>
      </c>
      <c r="U18" s="2"/>
      <c r="V18" s="19">
        <f t="shared" si="10"/>
        <v>0.30458284441043365</v>
      </c>
      <c r="W18" s="2"/>
      <c r="X18" s="2">
        <f t="shared" si="11"/>
        <v>-65055.609999999986</v>
      </c>
      <c r="Y18" s="2"/>
      <c r="Z18" s="19">
        <f t="shared" si="12"/>
        <v>-0.23123722395659865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-13950</v>
      </c>
      <c r="Q19" s="2"/>
      <c r="R19" s="19">
        <f t="shared" si="9"/>
        <v>-3.6713051787299264E-2</v>
      </c>
      <c r="S19" s="2"/>
      <c r="T19" s="2"/>
      <c r="U19" s="2"/>
      <c r="V19" s="19">
        <f t="shared" si="10"/>
        <v>0</v>
      </c>
      <c r="W19" s="2"/>
      <c r="X19" s="2">
        <f t="shared" si="11"/>
        <v>-13950</v>
      </c>
      <c r="Y19" s="2"/>
      <c r="Z19" s="19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-13090.07</v>
      </c>
      <c r="E21" s="14"/>
      <c r="F21" s="20">
        <f>IF(D$12=0,0,D21/D$12)</f>
        <v>0</v>
      </c>
      <c r="G21" s="14"/>
      <c r="H21" s="21">
        <f>H12-H17</f>
        <v>118760.18000000001</v>
      </c>
      <c r="I21" s="14"/>
      <c r="J21" s="20">
        <f>IF(H$12=0,0,H21/H$12)</f>
        <v>0.71701146981151431</v>
      </c>
      <c r="K21" s="15"/>
      <c r="L21" s="21">
        <f>+D21-H21</f>
        <v>-131850.25</v>
      </c>
      <c r="M21" s="15"/>
      <c r="N21" s="20">
        <f>IF(H21=0,0,L21/H21)</f>
        <v>-1.1102227194333993</v>
      </c>
      <c r="O21" s="29"/>
      <c r="P21" s="21">
        <f>P12-P17</f>
        <v>177642.37</v>
      </c>
      <c r="Q21" s="14"/>
      <c r="R21" s="20">
        <f>IF(P$12=0,0,P21/P$12)</f>
        <v>0.46751208096262203</v>
      </c>
      <c r="S21" s="14"/>
      <c r="T21" s="21">
        <f>T12-T17</f>
        <v>642342.96</v>
      </c>
      <c r="U21" s="14"/>
      <c r="V21" s="20">
        <f>IF(T$12=0,0,T21/T$12)</f>
        <v>0.6954171555895664</v>
      </c>
      <c r="W21" s="15"/>
      <c r="X21" s="21">
        <f>+P21-T21</f>
        <v>-464700.58999999997</v>
      </c>
      <c r="Y21" s="15"/>
      <c r="Z21" s="20">
        <f>IF(T21=0,0,X21/T21)</f>
        <v>-0.72344622567358718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SUM(OSRRefD22x_0)</f>
        <v>-6172.04</v>
      </c>
      <c r="E23" s="22"/>
      <c r="F23" s="35">
        <f t="shared" ref="F23:F32" si="13">IF(D$12=0,0,D23/D$12)</f>
        <v>0</v>
      </c>
      <c r="G23" s="22"/>
      <c r="H23" s="22">
        <f>SUM(OSRRefH22x_0)</f>
        <v>59707.799999999988</v>
      </c>
      <c r="I23" s="22"/>
      <c r="J23" s="35">
        <f t="shared" ref="J23:J32" si="14">IF(H$12=0,0,H23/H$12)</f>
        <v>0.36048427542979411</v>
      </c>
      <c r="K23" s="4"/>
      <c r="L23" s="22">
        <f t="shared" ref="L23:L32" si="15">+D23-H23</f>
        <v>-65879.839999999982</v>
      </c>
      <c r="M23" s="4"/>
      <c r="N23" s="35">
        <f t="shared" ref="N23:N32" si="16">IF(H23=0,0,L23/H23)</f>
        <v>-1.1033707488803808</v>
      </c>
      <c r="O23" s="10"/>
      <c r="P23" s="22">
        <f>SUM(OSRRefP22x_0)</f>
        <v>339821.25999999995</v>
      </c>
      <c r="Q23" s="22"/>
      <c r="R23" s="35">
        <f t="shared" ref="R23:R32" si="17">IF(P$12=0,0,P23/P$12)</f>
        <v>0.89432799403622121</v>
      </c>
      <c r="S23" s="22"/>
      <c r="T23" s="22">
        <f>SUM(OSRRefT22x_0)</f>
        <v>574967.97000000009</v>
      </c>
      <c r="U23" s="22"/>
      <c r="V23" s="35">
        <f t="shared" ref="V23:V32" si="18">IF(T$12=0,0,T23/T$12)</f>
        <v>0.62247524321354319</v>
      </c>
      <c r="W23" s="4"/>
      <c r="X23" s="22">
        <f t="shared" ref="X23:X32" si="19">+P23-T23</f>
        <v>-235146.71000000014</v>
      </c>
      <c r="Y23" s="4"/>
      <c r="Z23" s="35">
        <f t="shared" ref="Z23:Z32" si="20">IF(T23=0,0,X23/T23)</f>
        <v>-0.40897358160664166</v>
      </c>
    </row>
    <row r="24" spans="1:26" s="25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-7497.63</v>
      </c>
      <c r="E24" s="1"/>
      <c r="F24" s="5">
        <f t="shared" si="13"/>
        <v>0</v>
      </c>
      <c r="G24" s="1"/>
      <c r="H24" s="1">
        <f>SUM(OSRRefH22_0x_0)</f>
        <v>11996.169999999998</v>
      </c>
      <c r="I24" s="1"/>
      <c r="J24" s="5">
        <f t="shared" si="14"/>
        <v>7.2426561527683703E-2</v>
      </c>
      <c r="K24" s="1"/>
      <c r="L24" s="1">
        <f t="shared" si="15"/>
        <v>-19493.8</v>
      </c>
      <c r="M24" s="1"/>
      <c r="N24" s="5">
        <f t="shared" si="16"/>
        <v>-1.6250019797985527</v>
      </c>
      <c r="O24" s="13"/>
      <c r="P24" s="1">
        <f>SUM(OSRRefP22_0x_0)</f>
        <v>77499.010000000009</v>
      </c>
      <c r="Q24" s="1"/>
      <c r="R24" s="5">
        <f t="shared" si="17"/>
        <v>0.20395879337594436</v>
      </c>
      <c r="S24" s="1"/>
      <c r="T24" s="1">
        <f>SUM(OSRRefT22_0x_0)</f>
        <v>124413.79000000001</v>
      </c>
      <c r="U24" s="1"/>
      <c r="V24" s="5">
        <f t="shared" si="18"/>
        <v>0.13469359726137209</v>
      </c>
      <c r="W24" s="1"/>
      <c r="X24" s="1">
        <f t="shared" si="19"/>
        <v>-46914.78</v>
      </c>
      <c r="Y24" s="1"/>
      <c r="Z24" s="5">
        <f t="shared" si="20"/>
        <v>-0.37708665574772698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3"/>
        <v>0</v>
      </c>
      <c r="G25" s="2"/>
      <c r="H25" s="6">
        <v>2118.2600000000002</v>
      </c>
      <c r="I25" s="2"/>
      <c r="J25" s="7">
        <f t="shared" si="14"/>
        <v>1.2788939154882878E-2</v>
      </c>
      <c r="K25" s="2"/>
      <c r="L25" s="6">
        <f t="shared" si="15"/>
        <v>-2118.2600000000002</v>
      </c>
      <c r="M25" s="2"/>
      <c r="N25" s="7">
        <f t="shared" si="16"/>
        <v>-1</v>
      </c>
      <c r="O25" s="11"/>
      <c r="P25" s="6">
        <v>14871.7</v>
      </c>
      <c r="Q25" s="2"/>
      <c r="R25" s="7">
        <f t="shared" si="17"/>
        <v>3.9138744965245768E-2</v>
      </c>
      <c r="S25" s="2"/>
      <c r="T25" s="6">
        <v>24130.510000000002</v>
      </c>
      <c r="U25" s="2"/>
      <c r="V25" s="7">
        <f t="shared" si="18"/>
        <v>2.6124316248637005E-2</v>
      </c>
      <c r="W25" s="2"/>
      <c r="X25" s="6">
        <f t="shared" si="19"/>
        <v>-9258.8100000000013</v>
      </c>
      <c r="Y25" s="2"/>
      <c r="Z25" s="7">
        <f t="shared" si="20"/>
        <v>-0.38369723640320907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3"/>
        <v>0</v>
      </c>
      <c r="G26" s="2"/>
      <c r="H26" s="6">
        <v>1122.77</v>
      </c>
      <c r="I26" s="2"/>
      <c r="J26" s="7">
        <f t="shared" si="14"/>
        <v>6.7786944071680753E-3</v>
      </c>
      <c r="K26" s="2"/>
      <c r="L26" s="6">
        <f t="shared" si="15"/>
        <v>-1122.77</v>
      </c>
      <c r="M26" s="2"/>
      <c r="N26" s="7">
        <f t="shared" si="16"/>
        <v>-1</v>
      </c>
      <c r="O26" s="11"/>
      <c r="P26" s="6">
        <v>5449.61</v>
      </c>
      <c r="Q26" s="2"/>
      <c r="R26" s="7">
        <f t="shared" si="17"/>
        <v>1.4342065530507809E-2</v>
      </c>
      <c r="S26" s="2"/>
      <c r="T26" s="6">
        <v>10571.76</v>
      </c>
      <c r="U26" s="2"/>
      <c r="V26" s="7">
        <f t="shared" si="18"/>
        <v>1.1445261685090399E-2</v>
      </c>
      <c r="W26" s="2"/>
      <c r="X26" s="6">
        <f t="shared" si="19"/>
        <v>-5122.1500000000005</v>
      </c>
      <c r="Y26" s="2"/>
      <c r="Z26" s="7">
        <f t="shared" si="20"/>
        <v>-0.48451251258068673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3"/>
        <v>0</v>
      </c>
      <c r="G27" s="2"/>
      <c r="H27" s="6">
        <v>5334.36</v>
      </c>
      <c r="I27" s="2"/>
      <c r="J27" s="7">
        <f t="shared" si="14"/>
        <v>3.2206058496237956E-2</v>
      </c>
      <c r="K27" s="2"/>
      <c r="L27" s="6">
        <f t="shared" si="15"/>
        <v>-5334.36</v>
      </c>
      <c r="M27" s="2"/>
      <c r="N27" s="7">
        <f t="shared" si="16"/>
        <v>-1</v>
      </c>
      <c r="O27" s="11"/>
      <c r="P27" s="6">
        <v>36209.82</v>
      </c>
      <c r="Q27" s="2"/>
      <c r="R27" s="7">
        <f t="shared" si="17"/>
        <v>9.5295555331095669E-2</v>
      </c>
      <c r="S27" s="2"/>
      <c r="T27" s="6">
        <v>50708.2</v>
      </c>
      <c r="U27" s="2"/>
      <c r="V27" s="7">
        <f t="shared" si="18"/>
        <v>5.4898013063094594E-2</v>
      </c>
      <c r="W27" s="2"/>
      <c r="X27" s="6">
        <f t="shared" si="19"/>
        <v>-14498.379999999997</v>
      </c>
      <c r="Y27" s="2"/>
      <c r="Z27" s="7">
        <f t="shared" si="20"/>
        <v>-0.2859178594389073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3"/>
        <v>0</v>
      </c>
      <c r="G28" s="2"/>
      <c r="H28" s="6">
        <v>87.49</v>
      </c>
      <c r="I28" s="2"/>
      <c r="J28" s="7">
        <f t="shared" si="14"/>
        <v>5.282185787678107E-4</v>
      </c>
      <c r="K28" s="2"/>
      <c r="L28" s="6">
        <f t="shared" si="15"/>
        <v>-87.49</v>
      </c>
      <c r="M28" s="2"/>
      <c r="N28" s="7">
        <f t="shared" si="16"/>
        <v>-1</v>
      </c>
      <c r="O28" s="11"/>
      <c r="P28" s="6">
        <v>552.04999999999995</v>
      </c>
      <c r="Q28" s="2"/>
      <c r="R28" s="7">
        <f t="shared" si="17"/>
        <v>1.4528630995826923E-3</v>
      </c>
      <c r="S28" s="2"/>
      <c r="T28" s="6">
        <v>943.78</v>
      </c>
      <c r="U28" s="2"/>
      <c r="V28" s="7">
        <f t="shared" si="18"/>
        <v>1.0217607165840519E-3</v>
      </c>
      <c r="W28" s="2"/>
      <c r="X28" s="6">
        <f t="shared" si="19"/>
        <v>-391.73</v>
      </c>
      <c r="Y28" s="2"/>
      <c r="Z28" s="7">
        <f t="shared" si="20"/>
        <v>-0.41506495157769824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3"/>
        <v>0</v>
      </c>
      <c r="G29" s="2"/>
      <c r="H29" s="6">
        <v>1079</v>
      </c>
      <c r="I29" s="2"/>
      <c r="J29" s="7">
        <f t="shared" si="14"/>
        <v>6.5144341809403108E-3</v>
      </c>
      <c r="K29" s="2"/>
      <c r="L29" s="6">
        <f t="shared" si="15"/>
        <v>-1079</v>
      </c>
      <c r="M29" s="2"/>
      <c r="N29" s="7">
        <f t="shared" si="16"/>
        <v>-1</v>
      </c>
      <c r="O29" s="11"/>
      <c r="P29" s="6">
        <v>6215.55</v>
      </c>
      <c r="Q29" s="2"/>
      <c r="R29" s="7">
        <f t="shared" si="17"/>
        <v>1.6357835773229242E-2</v>
      </c>
      <c r="S29" s="2"/>
      <c r="T29" s="6">
        <v>12114.1</v>
      </c>
      <c r="U29" s="2"/>
      <c r="V29" s="7">
        <f t="shared" si="18"/>
        <v>1.3115038988716505E-2</v>
      </c>
      <c r="W29" s="2"/>
      <c r="X29" s="6">
        <f t="shared" si="19"/>
        <v>-5898.55</v>
      </c>
      <c r="Y29" s="2"/>
      <c r="Z29" s="7">
        <f t="shared" si="20"/>
        <v>-0.48691607300583617</v>
      </c>
    </row>
    <row r="30" spans="1:26" s="24" customFormat="1" hidden="1" outlineLevel="2" x14ac:dyDescent="0.25">
      <c r="A30" s="27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3"/>
        <v>0</v>
      </c>
      <c r="G30" s="2"/>
      <c r="H30" s="6">
        <v>927.54</v>
      </c>
      <c r="I30" s="2"/>
      <c r="J30" s="7">
        <f t="shared" si="14"/>
        <v>5.5999984061069286E-3</v>
      </c>
      <c r="K30" s="2"/>
      <c r="L30" s="6">
        <f t="shared" si="15"/>
        <v>-927.54</v>
      </c>
      <c r="M30" s="2"/>
      <c r="N30" s="7">
        <f t="shared" si="16"/>
        <v>-1</v>
      </c>
      <c r="O30" s="11"/>
      <c r="P30" s="6">
        <v>7805.68</v>
      </c>
      <c r="Q30" s="2"/>
      <c r="R30" s="7">
        <f t="shared" si="17"/>
        <v>2.0542676277783951E-2</v>
      </c>
      <c r="S30" s="2"/>
      <c r="T30" s="6">
        <v>10570.43</v>
      </c>
      <c r="U30" s="2"/>
      <c r="V30" s="7">
        <f t="shared" si="18"/>
        <v>1.1443821792580432E-2</v>
      </c>
      <c r="W30" s="2"/>
      <c r="X30" s="6">
        <f t="shared" si="19"/>
        <v>-2764.75</v>
      </c>
      <c r="Y30" s="2"/>
      <c r="Z30" s="7">
        <f t="shared" si="20"/>
        <v>-0.26155511175988111</v>
      </c>
    </row>
    <row r="31" spans="1:26" s="24" customFormat="1" hidden="1" outlineLevel="2" x14ac:dyDescent="0.25">
      <c r="A31" s="27"/>
      <c r="B31" s="11" t="str">
        <f>CONCATENATE("          ", "6119", " - ", "SICK LEAVE")</f>
        <v xml:space="preserve">          6119 - SICK LEAVE</v>
      </c>
      <c r="C31" s="11"/>
      <c r="D31" s="6">
        <v>-7497.63</v>
      </c>
      <c r="E31" s="2"/>
      <c r="F31" s="7">
        <f t="shared" si="13"/>
        <v>0</v>
      </c>
      <c r="G31" s="2"/>
      <c r="H31" s="6">
        <v>779.02</v>
      </c>
      <c r="I31" s="2"/>
      <c r="J31" s="7">
        <f t="shared" si="14"/>
        <v>4.7033128041113264E-3</v>
      </c>
      <c r="K31" s="2"/>
      <c r="L31" s="6">
        <f t="shared" si="15"/>
        <v>-8276.65</v>
      </c>
      <c r="M31" s="2"/>
      <c r="N31" s="7">
        <f t="shared" si="16"/>
        <v>-10.624438396960283</v>
      </c>
      <c r="O31" s="11"/>
      <c r="P31" s="6">
        <v>2660.64</v>
      </c>
      <c r="Q31" s="2"/>
      <c r="R31" s="7">
        <f t="shared" si="17"/>
        <v>7.0021658858322516E-3</v>
      </c>
      <c r="S31" s="2"/>
      <c r="T31" s="6">
        <v>10054.69</v>
      </c>
      <c r="U31" s="2"/>
      <c r="V31" s="7">
        <f t="shared" si="18"/>
        <v>1.0885468286497384E-2</v>
      </c>
      <c r="W31" s="2"/>
      <c r="X31" s="6">
        <f t="shared" si="19"/>
        <v>-7394.0500000000011</v>
      </c>
      <c r="Y31" s="2"/>
      <c r="Z31" s="7">
        <f t="shared" si="20"/>
        <v>-0.73538318933751323</v>
      </c>
    </row>
    <row r="32" spans="1:26" s="24" customFormat="1" hidden="1" outlineLevel="2" x14ac:dyDescent="0.25">
      <c r="A32" s="27"/>
      <c r="B32" s="11" t="str">
        <f>CONCATENATE("          ", "6156", " - ", "EMPLOYEE MEALS")</f>
        <v xml:space="preserve">          6156 - EMPLOYEE MEALS</v>
      </c>
      <c r="C32" s="11"/>
      <c r="D32" s="6"/>
      <c r="E32" s="2"/>
      <c r="F32" s="7">
        <f t="shared" si="13"/>
        <v>0</v>
      </c>
      <c r="G32" s="2"/>
      <c r="H32" s="6">
        <v>547.73</v>
      </c>
      <c r="I32" s="2"/>
      <c r="J32" s="7">
        <f t="shared" si="14"/>
        <v>3.3069054994684308E-3</v>
      </c>
      <c r="K32" s="2"/>
      <c r="L32" s="6">
        <f t="shared" si="15"/>
        <v>-547.73</v>
      </c>
      <c r="M32" s="2"/>
      <c r="N32" s="7">
        <f t="shared" si="16"/>
        <v>-1</v>
      </c>
      <c r="O32" s="11"/>
      <c r="P32" s="6">
        <v>3733.96</v>
      </c>
      <c r="Q32" s="2"/>
      <c r="R32" s="7">
        <f t="shared" si="17"/>
        <v>9.8268865126669505E-3</v>
      </c>
      <c r="S32" s="2"/>
      <c r="T32" s="6">
        <v>5320.32</v>
      </c>
      <c r="U32" s="2"/>
      <c r="V32" s="7">
        <f t="shared" si="18"/>
        <v>5.759916480171717E-3</v>
      </c>
      <c r="W32" s="2"/>
      <c r="X32" s="6">
        <f t="shared" si="19"/>
        <v>-1586.3599999999997</v>
      </c>
      <c r="Y32" s="2"/>
      <c r="Z32" s="7">
        <f t="shared" si="20"/>
        <v>-0.29817003488511967</v>
      </c>
    </row>
    <row r="33" spans="1:26" s="25" customFormat="1" outlineLevel="1" collapsed="1" x14ac:dyDescent="0.25">
      <c r="A33" s="26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104.84</v>
      </c>
      <c r="E33" s="1"/>
      <c r="F33" s="5">
        <f t="shared" ref="F33:F39" si="21">IF(D$12=0,0,D33/D$12)</f>
        <v>0</v>
      </c>
      <c r="G33" s="1"/>
      <c r="H33" s="1">
        <f>SUM(OSRRefH22_1x_0)</f>
        <v>38024.879999999997</v>
      </c>
      <c r="I33" s="1"/>
      <c r="J33" s="5">
        <f t="shared" ref="J33:J39" si="22">IF(H$12=0,0,H33/H$12)</f>
        <v>0.22957421501219055</v>
      </c>
      <c r="K33" s="1"/>
      <c r="L33" s="1">
        <f t="shared" ref="L33:L39" si="23">+D33-H33</f>
        <v>-37920.04</v>
      </c>
      <c r="M33" s="1"/>
      <c r="N33" s="5">
        <f t="shared" ref="N33:N39" si="24">IF(H33=0,0,L33/H33)</f>
        <v>-0.99724285783413391</v>
      </c>
      <c r="O33" s="13"/>
      <c r="P33" s="1">
        <f>SUM(OSRRefP22_1x_0)</f>
        <v>208564.34</v>
      </c>
      <c r="Q33" s="1"/>
      <c r="R33" s="5">
        <f t="shared" ref="R33:R39" si="25">IF(P$12=0,0,P33/P$12)</f>
        <v>0.54889128425834344</v>
      </c>
      <c r="S33" s="1"/>
      <c r="T33" s="1">
        <f>SUM(OSRRefT22_1x_0)</f>
        <v>358591.5199999999</v>
      </c>
      <c r="U33" s="1"/>
      <c r="V33" s="5">
        <f t="shared" ref="V33:V39" si="26">IF(T$12=0,0,T33/T$12)</f>
        <v>0.38822048404942283</v>
      </c>
      <c r="W33" s="1"/>
      <c r="X33" s="1">
        <f t="shared" ref="X33:X39" si="27">+P33-T33</f>
        <v>-150027.17999999991</v>
      </c>
      <c r="Y33" s="1"/>
      <c r="Z33" s="5">
        <f t="shared" ref="Z33:Z39" si="28">IF(T33=0,0,X33/T33)</f>
        <v>-0.41837905146223187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1"/>
        <v>0</v>
      </c>
      <c r="G34" s="2"/>
      <c r="H34" s="6">
        <v>12575.4</v>
      </c>
      <c r="I34" s="2"/>
      <c r="J34" s="7">
        <f t="shared" si="22"/>
        <v>7.5923647450414078E-2</v>
      </c>
      <c r="K34" s="2"/>
      <c r="L34" s="6">
        <f t="shared" si="23"/>
        <v>-12575.4</v>
      </c>
      <c r="M34" s="2"/>
      <c r="N34" s="7">
        <f t="shared" si="24"/>
        <v>-1</v>
      </c>
      <c r="O34" s="11"/>
      <c r="P34" s="6">
        <v>60376.42</v>
      </c>
      <c r="Q34" s="2"/>
      <c r="R34" s="7">
        <f t="shared" si="25"/>
        <v>0.15889624617861872</v>
      </c>
      <c r="S34" s="2"/>
      <c r="T34" s="6">
        <v>134818.91999999998</v>
      </c>
      <c r="U34" s="2"/>
      <c r="V34" s="7">
        <f t="shared" si="26"/>
        <v>0.1459584609848566</v>
      </c>
      <c r="W34" s="2"/>
      <c r="X34" s="6">
        <f t="shared" si="27"/>
        <v>-74442.499999999985</v>
      </c>
      <c r="Y34" s="2"/>
      <c r="Z34" s="7">
        <f t="shared" si="28"/>
        <v>-0.55216656534557607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1"/>
        <v>0</v>
      </c>
      <c r="G35" s="2"/>
      <c r="H35" s="6">
        <v>5057.57</v>
      </c>
      <c r="I35" s="2"/>
      <c r="J35" s="7">
        <f t="shared" si="22"/>
        <v>3.0534946135772276E-2</v>
      </c>
      <c r="K35" s="2"/>
      <c r="L35" s="6">
        <f t="shared" si="23"/>
        <v>-5057.57</v>
      </c>
      <c r="M35" s="2"/>
      <c r="N35" s="7">
        <f t="shared" si="24"/>
        <v>-1</v>
      </c>
      <c r="O35" s="11"/>
      <c r="P35" s="6">
        <v>54540.13</v>
      </c>
      <c r="Q35" s="2"/>
      <c r="R35" s="7">
        <f t="shared" si="25"/>
        <v>0.14353653169720676</v>
      </c>
      <c r="S35" s="2"/>
      <c r="T35" s="6">
        <v>63702.55</v>
      </c>
      <c r="U35" s="2"/>
      <c r="V35" s="7">
        <f t="shared" si="26"/>
        <v>6.8966033541960417E-2</v>
      </c>
      <c r="W35" s="2"/>
      <c r="X35" s="6">
        <f t="shared" si="27"/>
        <v>-9162.4200000000055</v>
      </c>
      <c r="Y35" s="2"/>
      <c r="Z35" s="7">
        <f t="shared" si="28"/>
        <v>-0.14383129089808816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104.84</v>
      </c>
      <c r="E36" s="2"/>
      <c r="F36" s="7">
        <f t="shared" si="21"/>
        <v>0</v>
      </c>
      <c r="G36" s="2"/>
      <c r="H36" s="6">
        <v>8043.24</v>
      </c>
      <c r="I36" s="2"/>
      <c r="J36" s="7">
        <f t="shared" si="22"/>
        <v>4.8560850399913202E-2</v>
      </c>
      <c r="K36" s="2"/>
      <c r="L36" s="6">
        <f t="shared" si="23"/>
        <v>-7938.4</v>
      </c>
      <c r="M36" s="2"/>
      <c r="N36" s="7">
        <f t="shared" si="24"/>
        <v>-0.98696545173338102</v>
      </c>
      <c r="O36" s="11"/>
      <c r="P36" s="6">
        <v>47656.53</v>
      </c>
      <c r="Q36" s="2"/>
      <c r="R36" s="7">
        <f t="shared" si="25"/>
        <v>0.12542054866616351</v>
      </c>
      <c r="S36" s="2"/>
      <c r="T36" s="6">
        <v>84482.240000000005</v>
      </c>
      <c r="U36" s="2"/>
      <c r="V36" s="7">
        <f t="shared" si="26"/>
        <v>9.1462665113719144E-2</v>
      </c>
      <c r="W36" s="2"/>
      <c r="X36" s="6">
        <f t="shared" si="27"/>
        <v>-36825.710000000006</v>
      </c>
      <c r="Y36" s="2"/>
      <c r="Z36" s="7">
        <f t="shared" si="28"/>
        <v>-0.43589883506876714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1"/>
        <v>0</v>
      </c>
      <c r="G37" s="2"/>
      <c r="H37" s="6">
        <v>680.89</v>
      </c>
      <c r="I37" s="2"/>
      <c r="J37" s="7">
        <f t="shared" si="22"/>
        <v>4.1108555045972642E-3</v>
      </c>
      <c r="K37" s="2"/>
      <c r="L37" s="6">
        <f t="shared" si="23"/>
        <v>-680.89</v>
      </c>
      <c r="M37" s="2"/>
      <c r="N37" s="7">
        <f t="shared" si="24"/>
        <v>-1</v>
      </c>
      <c r="O37" s="11"/>
      <c r="P37" s="6">
        <v>1299.6300000000001</v>
      </c>
      <c r="Q37" s="2"/>
      <c r="R37" s="7">
        <f t="shared" si="25"/>
        <v>3.4203142289840681E-3</v>
      </c>
      <c r="S37" s="2"/>
      <c r="T37" s="6">
        <v>1883.3</v>
      </c>
      <c r="U37" s="2"/>
      <c r="V37" s="7">
        <f t="shared" si="26"/>
        <v>2.0389094466324196E-3</v>
      </c>
      <c r="W37" s="2"/>
      <c r="X37" s="6">
        <f t="shared" si="27"/>
        <v>-583.66999999999985</v>
      </c>
      <c r="Y37" s="2"/>
      <c r="Z37" s="7">
        <f t="shared" si="28"/>
        <v>-0.30991875962406407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1"/>
        <v>0</v>
      </c>
      <c r="G38" s="2"/>
      <c r="H38" s="6">
        <v>10993.71</v>
      </c>
      <c r="I38" s="2"/>
      <c r="J38" s="7">
        <f t="shared" si="22"/>
        <v>6.637423558790112E-2</v>
      </c>
      <c r="K38" s="2"/>
      <c r="L38" s="6">
        <f t="shared" si="23"/>
        <v>-10993.71</v>
      </c>
      <c r="M38" s="2"/>
      <c r="N38" s="7">
        <f t="shared" si="24"/>
        <v>-1</v>
      </c>
      <c r="O38" s="11"/>
      <c r="P38" s="6">
        <v>41286.409999999996</v>
      </c>
      <c r="Q38" s="2"/>
      <c r="R38" s="7">
        <f t="shared" si="25"/>
        <v>0.10865592175209104</v>
      </c>
      <c r="S38" s="2"/>
      <c r="T38" s="6">
        <v>60703.35</v>
      </c>
      <c r="U38" s="2"/>
      <c r="V38" s="7">
        <f t="shared" si="26"/>
        <v>6.571902180068713E-2</v>
      </c>
      <c r="W38" s="2"/>
      <c r="X38" s="6">
        <f t="shared" si="27"/>
        <v>-19416.940000000002</v>
      </c>
      <c r="Y38" s="2"/>
      <c r="Z38" s="7">
        <f t="shared" si="28"/>
        <v>-0.31986603704737882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1"/>
        <v>0</v>
      </c>
      <c r="G39" s="2"/>
      <c r="H39" s="6">
        <v>674.07</v>
      </c>
      <c r="I39" s="2"/>
      <c r="J39" s="7">
        <f t="shared" si="22"/>
        <v>4.0696799335926187E-3</v>
      </c>
      <c r="K39" s="2"/>
      <c r="L39" s="6">
        <f t="shared" si="23"/>
        <v>-674.07</v>
      </c>
      <c r="M39" s="2"/>
      <c r="N39" s="7">
        <f t="shared" si="24"/>
        <v>-1</v>
      </c>
      <c r="O39" s="11"/>
      <c r="P39" s="6">
        <v>3405.22</v>
      </c>
      <c r="Q39" s="2"/>
      <c r="R39" s="7">
        <f t="shared" si="25"/>
        <v>8.9617217352793693E-3</v>
      </c>
      <c r="S39" s="2"/>
      <c r="T39" s="6">
        <v>13001.16</v>
      </c>
      <c r="U39" s="2"/>
      <c r="V39" s="7">
        <f t="shared" si="26"/>
        <v>1.4075393161567222E-2</v>
      </c>
      <c r="W39" s="2"/>
      <c r="X39" s="6">
        <f t="shared" si="27"/>
        <v>-9595.94</v>
      </c>
      <c r="Y39" s="2"/>
      <c r="Z39" s="7">
        <f t="shared" si="28"/>
        <v>-0.73808337102227806</v>
      </c>
    </row>
    <row r="40" spans="1:26" s="25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7" si="29">IF(D$12=0,0,D40/D$12)</f>
        <v>0</v>
      </c>
      <c r="G40" s="1"/>
      <c r="H40" s="1">
        <f>SUM(OSRRefH22_2x_0)</f>
        <v>6</v>
      </c>
      <c r="I40" s="1"/>
      <c r="J40" s="5">
        <f t="shared" ref="J40:J57" si="30">IF(H$12=0,0,H40/H$12)</f>
        <v>3.6224842526081431E-5</v>
      </c>
      <c r="K40" s="1"/>
      <c r="L40" s="1">
        <f t="shared" ref="L40:L57" si="31">+D40-H40</f>
        <v>-6</v>
      </c>
      <c r="M40" s="1"/>
      <c r="N40" s="5">
        <f t="shared" ref="N40:N57" si="32">IF(H40=0,0,L40/H40)</f>
        <v>-1</v>
      </c>
      <c r="O40" s="13"/>
      <c r="P40" s="1">
        <f>SUM(OSRRefP22_2x_0)</f>
        <v>462.48</v>
      </c>
      <c r="Q40" s="1"/>
      <c r="R40" s="5">
        <f t="shared" ref="R40:R57" si="33">IF(P$12=0,0,P40/P$12)</f>
        <v>1.2171363577483988E-3</v>
      </c>
      <c r="S40" s="1"/>
      <c r="T40" s="1">
        <f>SUM(OSRRefT22_2x_0)</f>
        <v>3452.99</v>
      </c>
      <c r="U40" s="1"/>
      <c r="V40" s="5">
        <f t="shared" ref="V40:V57" si="34">IF(T$12=0,0,T40/T$12)</f>
        <v>3.7382965699183763E-3</v>
      </c>
      <c r="W40" s="1"/>
      <c r="X40" s="1">
        <f t="shared" ref="X40:X57" si="35">+P40-T40</f>
        <v>-2990.5099999999998</v>
      </c>
      <c r="Y40" s="1"/>
      <c r="Z40" s="5">
        <f t="shared" ref="Z40:Z57" si="36">IF(T40=0,0,X40/T40)</f>
        <v>-0.86606390403679134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9"/>
        <v>0</v>
      </c>
      <c r="G41" s="2"/>
      <c r="H41" s="6">
        <v>6</v>
      </c>
      <c r="I41" s="2"/>
      <c r="J41" s="7">
        <f t="shared" si="30"/>
        <v>3.6224842526081431E-5</v>
      </c>
      <c r="K41" s="2"/>
      <c r="L41" s="6">
        <f t="shared" si="31"/>
        <v>-6</v>
      </c>
      <c r="M41" s="2"/>
      <c r="N41" s="7">
        <f t="shared" si="32"/>
        <v>-1</v>
      </c>
      <c r="O41" s="11"/>
      <c r="P41" s="6">
        <v>462.48</v>
      </c>
      <c r="Q41" s="2"/>
      <c r="R41" s="7">
        <f t="shared" si="33"/>
        <v>1.2171363577483988E-3</v>
      </c>
      <c r="S41" s="2"/>
      <c r="T41" s="6">
        <v>3452.99</v>
      </c>
      <c r="U41" s="2"/>
      <c r="V41" s="7">
        <f t="shared" si="34"/>
        <v>3.7382965699183763E-3</v>
      </c>
      <c r="W41" s="2"/>
      <c r="X41" s="6">
        <f t="shared" si="35"/>
        <v>-2990.5099999999998</v>
      </c>
      <c r="Y41" s="2"/>
      <c r="Z41" s="7">
        <f t="shared" si="36"/>
        <v>-0.86606390403679134</v>
      </c>
    </row>
    <row r="42" spans="1:26" s="25" customFormat="1" outlineLevel="1" collapsed="1" x14ac:dyDescent="0.25">
      <c r="A42" s="26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0</v>
      </c>
      <c r="E42" s="1"/>
      <c r="F42" s="5">
        <f t="shared" si="29"/>
        <v>0</v>
      </c>
      <c r="G42" s="1"/>
      <c r="H42" s="1">
        <f>SUM(OSRRefH22_3x_0)</f>
        <v>0.34</v>
      </c>
      <c r="I42" s="1"/>
      <c r="J42" s="5">
        <f t="shared" si="30"/>
        <v>2.0527410764779479E-6</v>
      </c>
      <c r="K42" s="1"/>
      <c r="L42" s="1">
        <f t="shared" si="31"/>
        <v>-0.34</v>
      </c>
      <c r="M42" s="1"/>
      <c r="N42" s="5">
        <f t="shared" si="32"/>
        <v>-1</v>
      </c>
      <c r="O42" s="13"/>
      <c r="P42" s="1">
        <f>SUM(OSRRefP22_3x_0)</f>
        <v>-0.24</v>
      </c>
      <c r="Q42" s="1"/>
      <c r="R42" s="5">
        <f t="shared" si="33"/>
        <v>-6.3162239634063244E-7</v>
      </c>
      <c r="S42" s="1"/>
      <c r="T42" s="1">
        <f>SUM(OSRRefT22_3x_0)</f>
        <v>-15.4</v>
      </c>
      <c r="U42" s="1"/>
      <c r="V42" s="5">
        <f t="shared" si="34"/>
        <v>-1.667243958909322E-5</v>
      </c>
      <c r="W42" s="1"/>
      <c r="X42" s="1">
        <f t="shared" si="35"/>
        <v>15.16</v>
      </c>
      <c r="Y42" s="1"/>
      <c r="Z42" s="5">
        <f t="shared" si="36"/>
        <v>-0.98441558441558441</v>
      </c>
    </row>
    <row r="43" spans="1:26" s="24" customFormat="1" hidden="1" outlineLevel="2" x14ac:dyDescent="0.25">
      <c r="A43" s="27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29"/>
        <v>0</v>
      </c>
      <c r="G43" s="2"/>
      <c r="H43" s="6">
        <v>0.34</v>
      </c>
      <c r="I43" s="2"/>
      <c r="J43" s="7">
        <f t="shared" si="30"/>
        <v>2.0527410764779479E-6</v>
      </c>
      <c r="K43" s="2"/>
      <c r="L43" s="6">
        <f t="shared" si="31"/>
        <v>-0.34</v>
      </c>
      <c r="M43" s="2"/>
      <c r="N43" s="7">
        <f t="shared" si="32"/>
        <v>-1</v>
      </c>
      <c r="O43" s="11"/>
      <c r="P43" s="6">
        <v>-0.24</v>
      </c>
      <c r="Q43" s="2"/>
      <c r="R43" s="7">
        <f t="shared" si="33"/>
        <v>-6.3162239634063244E-7</v>
      </c>
      <c r="S43" s="2"/>
      <c r="T43" s="6">
        <v>-15.4</v>
      </c>
      <c r="U43" s="2"/>
      <c r="V43" s="7">
        <f t="shared" si="34"/>
        <v>-1.667243958909322E-5</v>
      </c>
      <c r="W43" s="2"/>
      <c r="X43" s="6">
        <f t="shared" si="35"/>
        <v>15.16</v>
      </c>
      <c r="Y43" s="2"/>
      <c r="Z43" s="7">
        <f t="shared" si="36"/>
        <v>-0.98441558441558441</v>
      </c>
    </row>
    <row r="44" spans="1:26" s="25" customFormat="1" outlineLevel="1" collapsed="1" x14ac:dyDescent="0.25">
      <c r="A44" s="26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SUM(OSRRefD22_4x_0)</f>
        <v>0</v>
      </c>
      <c r="E44" s="1"/>
      <c r="F44" s="5">
        <f t="shared" si="29"/>
        <v>0</v>
      </c>
      <c r="G44" s="1"/>
      <c r="H44" s="1">
        <f>SUM(OSRRefH22_4x_0)</f>
        <v>953.78</v>
      </c>
      <c r="I44" s="1"/>
      <c r="J44" s="5">
        <f t="shared" si="30"/>
        <v>5.7584217174209912E-3</v>
      </c>
      <c r="K44" s="1"/>
      <c r="L44" s="1">
        <f t="shared" si="31"/>
        <v>-953.78</v>
      </c>
      <c r="M44" s="1"/>
      <c r="N44" s="5">
        <f t="shared" si="32"/>
        <v>-1</v>
      </c>
      <c r="O44" s="13"/>
      <c r="P44" s="1">
        <f>SUM(OSRRefP22_4x_0)</f>
        <v>5691.38</v>
      </c>
      <c r="Q44" s="1"/>
      <c r="R44" s="5">
        <f t="shared" si="33"/>
        <v>1.4978346142021455E-2</v>
      </c>
      <c r="S44" s="1"/>
      <c r="T44" s="1">
        <f>SUM(OSRRefT22_4x_0)</f>
        <v>9150.39</v>
      </c>
      <c r="U44" s="1"/>
      <c r="V44" s="5">
        <f t="shared" si="34"/>
        <v>9.9064496423144615E-3</v>
      </c>
      <c r="W44" s="1"/>
      <c r="X44" s="1">
        <f t="shared" si="35"/>
        <v>-3459.0099999999993</v>
      </c>
      <c r="Y44" s="1"/>
      <c r="Z44" s="5">
        <f t="shared" si="36"/>
        <v>-0.37801776754870553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29"/>
        <v>0</v>
      </c>
      <c r="G45" s="2"/>
      <c r="H45" s="6">
        <v>953.78</v>
      </c>
      <c r="I45" s="2"/>
      <c r="J45" s="7">
        <f t="shared" si="30"/>
        <v>5.7584217174209912E-3</v>
      </c>
      <c r="K45" s="2"/>
      <c r="L45" s="6">
        <f t="shared" si="31"/>
        <v>-953.78</v>
      </c>
      <c r="M45" s="2"/>
      <c r="N45" s="7">
        <f t="shared" si="32"/>
        <v>-1</v>
      </c>
      <c r="O45" s="11"/>
      <c r="P45" s="6">
        <v>5691.38</v>
      </c>
      <c r="Q45" s="2"/>
      <c r="R45" s="7">
        <f t="shared" si="33"/>
        <v>1.4978346142021455E-2</v>
      </c>
      <c r="S45" s="2"/>
      <c r="T45" s="6">
        <v>9150.39</v>
      </c>
      <c r="U45" s="2"/>
      <c r="V45" s="7">
        <f t="shared" si="34"/>
        <v>9.9064496423144615E-3</v>
      </c>
      <c r="W45" s="2"/>
      <c r="X45" s="6">
        <f t="shared" si="35"/>
        <v>-3459.0099999999993</v>
      </c>
      <c r="Y45" s="2"/>
      <c r="Z45" s="7">
        <f t="shared" si="36"/>
        <v>-0.37801776754870553</v>
      </c>
    </row>
    <row r="46" spans="1:26" s="25" customFormat="1" outlineLevel="1" collapsed="1" x14ac:dyDescent="0.25">
      <c r="A46" s="26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SUM(OSRRefD22_5x_0)</f>
        <v>689.04</v>
      </c>
      <c r="E46" s="1"/>
      <c r="F46" s="5">
        <f t="shared" si="29"/>
        <v>0</v>
      </c>
      <c r="G46" s="1"/>
      <c r="H46" s="1">
        <f>SUM(OSRRefH22_5x_0)</f>
        <v>696.82</v>
      </c>
      <c r="I46" s="1"/>
      <c r="J46" s="5">
        <f t="shared" si="30"/>
        <v>4.2070324615040107E-3</v>
      </c>
      <c r="K46" s="1"/>
      <c r="L46" s="1">
        <f t="shared" si="31"/>
        <v>-7.7800000000000864</v>
      </c>
      <c r="M46" s="1"/>
      <c r="N46" s="5">
        <f t="shared" si="32"/>
        <v>-1.1165006744927077E-2</v>
      </c>
      <c r="O46" s="13"/>
      <c r="P46" s="1">
        <f>SUM(OSRRefP22_5x_0)</f>
        <v>3999.9</v>
      </c>
      <c r="Q46" s="1"/>
      <c r="R46" s="5">
        <f t="shared" si="33"/>
        <v>1.0526776763012067E-2</v>
      </c>
      <c r="S46" s="1"/>
      <c r="T46" s="1">
        <f>SUM(OSRRefT22_5x_0)</f>
        <v>6968.2</v>
      </c>
      <c r="U46" s="1"/>
      <c r="V46" s="5">
        <f t="shared" si="34"/>
        <v>7.5439541262804785E-3</v>
      </c>
      <c r="W46" s="1"/>
      <c r="X46" s="1">
        <f t="shared" si="35"/>
        <v>-2968.2999999999997</v>
      </c>
      <c r="Y46" s="1"/>
      <c r="Z46" s="5">
        <f t="shared" si="36"/>
        <v>-0.42597801440831201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689.04</v>
      </c>
      <c r="E47" s="2"/>
      <c r="F47" s="7">
        <f t="shared" si="29"/>
        <v>0</v>
      </c>
      <c r="G47" s="2"/>
      <c r="H47" s="6">
        <v>696.82</v>
      </c>
      <c r="I47" s="2"/>
      <c r="J47" s="7">
        <f t="shared" si="30"/>
        <v>4.2070324615040107E-3</v>
      </c>
      <c r="K47" s="2"/>
      <c r="L47" s="6">
        <f t="shared" si="31"/>
        <v>-7.7800000000000864</v>
      </c>
      <c r="M47" s="2"/>
      <c r="N47" s="7">
        <f t="shared" si="32"/>
        <v>-1.1165006744927077E-2</v>
      </c>
      <c r="O47" s="11"/>
      <c r="P47" s="6">
        <v>3999.9</v>
      </c>
      <c r="Q47" s="2"/>
      <c r="R47" s="7">
        <f t="shared" si="33"/>
        <v>1.0526776763012067E-2</v>
      </c>
      <c r="S47" s="2"/>
      <c r="T47" s="6">
        <v>6968.2</v>
      </c>
      <c r="U47" s="2"/>
      <c r="V47" s="7">
        <f t="shared" si="34"/>
        <v>7.5439541262804785E-3</v>
      </c>
      <c r="W47" s="2"/>
      <c r="X47" s="6">
        <f t="shared" si="35"/>
        <v>-2968.2999999999997</v>
      </c>
      <c r="Y47" s="2"/>
      <c r="Z47" s="7">
        <f t="shared" si="36"/>
        <v>-0.42597801440831201</v>
      </c>
    </row>
    <row r="48" spans="1:26" s="25" customFormat="1" outlineLevel="1" collapsed="1" x14ac:dyDescent="0.25">
      <c r="A48" s="26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si="29"/>
        <v>0</v>
      </c>
      <c r="G48" s="1"/>
      <c r="H48" s="1">
        <f>SUM(OSRRefH22_6x_0)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SUM(OSRRefP22_6x_0)</f>
        <v>60</v>
      </c>
      <c r="Q48" s="1"/>
      <c r="R48" s="5">
        <f t="shared" si="33"/>
        <v>1.5790559908515812E-4</v>
      </c>
      <c r="S48" s="1"/>
      <c r="T48" s="1">
        <f>SUM(OSRRefT22_6x_0)</f>
        <v>58.24</v>
      </c>
      <c r="U48" s="1"/>
      <c r="V48" s="5">
        <f t="shared" si="34"/>
        <v>6.3052135173298003E-5</v>
      </c>
      <c r="W48" s="1"/>
      <c r="X48" s="1">
        <f t="shared" si="35"/>
        <v>1.759999999999998</v>
      </c>
      <c r="Y48" s="1"/>
      <c r="Z48" s="5">
        <f t="shared" si="36"/>
        <v>3.0219780219780185E-2</v>
      </c>
    </row>
    <row r="49" spans="1:26" s="24" customFormat="1" hidden="1" outlineLevel="2" x14ac:dyDescent="0.25">
      <c r="A49" s="27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60</v>
      </c>
      <c r="Q49" s="2"/>
      <c r="R49" s="7">
        <f t="shared" si="33"/>
        <v>1.5790559908515812E-4</v>
      </c>
      <c r="S49" s="2"/>
      <c r="T49" s="6">
        <v>58.24</v>
      </c>
      <c r="U49" s="2"/>
      <c r="V49" s="7">
        <f t="shared" si="34"/>
        <v>6.3052135173298003E-5</v>
      </c>
      <c r="W49" s="2"/>
      <c r="X49" s="6">
        <f t="shared" si="35"/>
        <v>1.759999999999998</v>
      </c>
      <c r="Y49" s="2"/>
      <c r="Z49" s="7">
        <f t="shared" si="36"/>
        <v>3.0219780219780185E-2</v>
      </c>
    </row>
    <row r="50" spans="1:26" s="25" customFormat="1" outlineLevel="1" collapsed="1" x14ac:dyDescent="0.25">
      <c r="A50" s="26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16.239999999999998</v>
      </c>
      <c r="E50" s="1"/>
      <c r="F50" s="5">
        <f t="shared" si="29"/>
        <v>0</v>
      </c>
      <c r="G50" s="1"/>
      <c r="H50" s="1">
        <f>SUM(OSRRefH22_7x_0)</f>
        <v>0</v>
      </c>
      <c r="I50" s="1"/>
      <c r="J50" s="5">
        <f t="shared" si="30"/>
        <v>0</v>
      </c>
      <c r="K50" s="1"/>
      <c r="L50" s="1">
        <f t="shared" si="31"/>
        <v>16.239999999999998</v>
      </c>
      <c r="M50" s="1"/>
      <c r="N50" s="5">
        <f t="shared" si="32"/>
        <v>0</v>
      </c>
      <c r="O50" s="13"/>
      <c r="P50" s="1">
        <f>SUM(OSRRefP22_7x_0)</f>
        <v>821.52</v>
      </c>
      <c r="Q50" s="1"/>
      <c r="R50" s="5">
        <f t="shared" si="33"/>
        <v>2.1620434626739848E-3</v>
      </c>
      <c r="S50" s="1"/>
      <c r="T50" s="1">
        <f>SUM(OSRRefT22_7x_0)</f>
        <v>900.27</v>
      </c>
      <c r="U50" s="1"/>
      <c r="V50" s="5">
        <f t="shared" si="34"/>
        <v>9.7465566161512678E-4</v>
      </c>
      <c r="W50" s="1"/>
      <c r="X50" s="1">
        <f t="shared" si="35"/>
        <v>-78.75</v>
      </c>
      <c r="Y50" s="1"/>
      <c r="Z50" s="5">
        <f t="shared" si="36"/>
        <v>-8.7473757872638211E-2</v>
      </c>
    </row>
    <row r="51" spans="1:26" s="24" customFormat="1" hidden="1" outlineLevel="2" x14ac:dyDescent="0.25">
      <c r="A51" s="27"/>
      <c r="B51" s="11" t="str">
        <f>CONCATENATE("          ", "6351", " - ", "EQUIPMENT RENTAL")</f>
        <v xml:space="preserve">          6351 - EQUIPMENT RENTAL</v>
      </c>
      <c r="C51" s="11"/>
      <c r="D51" s="6">
        <v>16.239999999999998</v>
      </c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16.239999999999998</v>
      </c>
      <c r="M51" s="2"/>
      <c r="N51" s="7">
        <f t="shared" si="32"/>
        <v>0</v>
      </c>
      <c r="O51" s="11"/>
      <c r="P51" s="6">
        <v>821.52</v>
      </c>
      <c r="Q51" s="2"/>
      <c r="R51" s="7">
        <f t="shared" si="33"/>
        <v>2.1620434626739848E-3</v>
      </c>
      <c r="S51" s="2"/>
      <c r="T51" s="6">
        <v>900.27</v>
      </c>
      <c r="U51" s="2"/>
      <c r="V51" s="7">
        <f t="shared" si="34"/>
        <v>9.7465566161512678E-4</v>
      </c>
      <c r="W51" s="2"/>
      <c r="X51" s="6">
        <f t="shared" si="35"/>
        <v>-78.75</v>
      </c>
      <c r="Y51" s="2"/>
      <c r="Z51" s="7">
        <f t="shared" si="36"/>
        <v>-8.7473757872638211E-2</v>
      </c>
    </row>
    <row r="52" spans="1:26" s="25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0</v>
      </c>
      <c r="E52" s="1"/>
      <c r="F52" s="5">
        <f t="shared" si="29"/>
        <v>0</v>
      </c>
      <c r="G52" s="1"/>
      <c r="H52" s="1">
        <f>SUM(OSRRefH22_8x_0)</f>
        <v>30.2</v>
      </c>
      <c r="I52" s="1"/>
      <c r="J52" s="5">
        <f t="shared" si="30"/>
        <v>1.8233170738127653E-4</v>
      </c>
      <c r="K52" s="1"/>
      <c r="L52" s="1">
        <f t="shared" si="31"/>
        <v>-30.2</v>
      </c>
      <c r="M52" s="1"/>
      <c r="N52" s="5">
        <f t="shared" si="32"/>
        <v>-1</v>
      </c>
      <c r="O52" s="13"/>
      <c r="P52" s="1">
        <f>SUM(OSRRefP22_8x_0)</f>
        <v>2898.74</v>
      </c>
      <c r="Q52" s="1"/>
      <c r="R52" s="5">
        <f t="shared" si="33"/>
        <v>7.6287879382018536E-3</v>
      </c>
      <c r="S52" s="1"/>
      <c r="T52" s="1">
        <f>SUM(OSRRefT22_8x_0)</f>
        <v>1840.6</v>
      </c>
      <c r="U52" s="1"/>
      <c r="V52" s="5">
        <f t="shared" si="34"/>
        <v>1.9926813186808426E-3</v>
      </c>
      <c r="W52" s="1"/>
      <c r="X52" s="1">
        <f t="shared" si="35"/>
        <v>1058.1399999999999</v>
      </c>
      <c r="Y52" s="1"/>
      <c r="Z52" s="5">
        <f t="shared" si="36"/>
        <v>0.574888623275019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9"/>
        <v>0</v>
      </c>
      <c r="G53" s="2"/>
      <c r="H53" s="6">
        <v>30.2</v>
      </c>
      <c r="I53" s="2"/>
      <c r="J53" s="7">
        <f t="shared" si="30"/>
        <v>1.8233170738127653E-4</v>
      </c>
      <c r="K53" s="2"/>
      <c r="L53" s="6">
        <f t="shared" si="31"/>
        <v>-30.2</v>
      </c>
      <c r="M53" s="2"/>
      <c r="N53" s="7">
        <f t="shared" si="32"/>
        <v>-1</v>
      </c>
      <c r="O53" s="11"/>
      <c r="P53" s="6">
        <v>2898.74</v>
      </c>
      <c r="Q53" s="2"/>
      <c r="R53" s="7">
        <f t="shared" si="33"/>
        <v>7.6287879382018536E-3</v>
      </c>
      <c r="S53" s="2"/>
      <c r="T53" s="6">
        <v>1840.6</v>
      </c>
      <c r="U53" s="2"/>
      <c r="V53" s="7">
        <f t="shared" si="34"/>
        <v>1.9926813186808426E-3</v>
      </c>
      <c r="W53" s="2"/>
      <c r="X53" s="6">
        <f t="shared" si="35"/>
        <v>1058.1399999999999</v>
      </c>
      <c r="Y53" s="2"/>
      <c r="Z53" s="7">
        <f t="shared" si="36"/>
        <v>0.574888623275019</v>
      </c>
    </row>
    <row r="54" spans="1:26" s="25" customFormat="1" outlineLevel="1" collapsed="1" x14ac:dyDescent="0.25">
      <c r="A54" s="26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SUM(OSRRefD22_9x_0)</f>
        <v>0</v>
      </c>
      <c r="E54" s="1"/>
      <c r="F54" s="5">
        <f t="shared" si="29"/>
        <v>0</v>
      </c>
      <c r="G54" s="1"/>
      <c r="H54" s="1">
        <f>SUM(OSRRefH22_9x_0)</f>
        <v>1205.69</v>
      </c>
      <c r="I54" s="1"/>
      <c r="J54" s="5">
        <f t="shared" si="30"/>
        <v>7.279321730878521E-3</v>
      </c>
      <c r="K54" s="1"/>
      <c r="L54" s="1">
        <f t="shared" si="31"/>
        <v>-1205.69</v>
      </c>
      <c r="M54" s="1"/>
      <c r="N54" s="5">
        <f t="shared" si="32"/>
        <v>-1</v>
      </c>
      <c r="O54" s="13"/>
      <c r="P54" s="1">
        <f>SUM(OSRRefP22_9x_0)</f>
        <v>5456.32</v>
      </c>
      <c r="Q54" s="1"/>
      <c r="R54" s="5">
        <f t="shared" si="33"/>
        <v>1.4359724640005499E-2</v>
      </c>
      <c r="S54" s="1"/>
      <c r="T54" s="1">
        <f>SUM(OSRRefT22_9x_0)</f>
        <v>12742.640000000001</v>
      </c>
      <c r="U54" s="1"/>
      <c r="V54" s="5">
        <f t="shared" si="34"/>
        <v>1.3795512701659926E-2</v>
      </c>
      <c r="W54" s="1"/>
      <c r="X54" s="1">
        <f t="shared" si="35"/>
        <v>-7286.3200000000015</v>
      </c>
      <c r="Y54" s="1"/>
      <c r="Z54" s="5">
        <f t="shared" si="36"/>
        <v>-0.57180615633809018</v>
      </c>
    </row>
    <row r="55" spans="1:26" s="24" customFormat="1" hidden="1" outlineLevel="2" x14ac:dyDescent="0.25">
      <c r="A55" s="27"/>
      <c r="B55" s="11" t="str">
        <f>CONCATENATE("          ", "6371", " - ", "COMPUTER SOFTWARE MAINTENANCE")</f>
        <v xml:space="preserve">          6371 - COMPUTER SOFTWARE MAINTENANCE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/>
      <c r="Q55" s="2"/>
      <c r="R55" s="7">
        <f t="shared" si="33"/>
        <v>0</v>
      </c>
      <c r="S55" s="2"/>
      <c r="T55" s="6">
        <v>850</v>
      </c>
      <c r="U55" s="2"/>
      <c r="V55" s="7">
        <f t="shared" si="34"/>
        <v>9.2023205524215828E-4</v>
      </c>
      <c r="W55" s="2"/>
      <c r="X55" s="6">
        <f t="shared" si="35"/>
        <v>-850</v>
      </c>
      <c r="Y55" s="2"/>
      <c r="Z55" s="7">
        <f t="shared" si="36"/>
        <v>-1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1131.8800000000001</v>
      </c>
      <c r="Q56" s="2"/>
      <c r="R56" s="7">
        <f t="shared" si="33"/>
        <v>2.9788364915418132E-3</v>
      </c>
      <c r="S56" s="2"/>
      <c r="T56" s="6">
        <v>171.69</v>
      </c>
      <c r="U56" s="2"/>
      <c r="V56" s="7">
        <f t="shared" si="34"/>
        <v>1.8587604889944254E-4</v>
      </c>
      <c r="W56" s="2"/>
      <c r="X56" s="6">
        <f t="shared" si="35"/>
        <v>960.19</v>
      </c>
      <c r="Y56" s="2"/>
      <c r="Z56" s="7">
        <f t="shared" si="36"/>
        <v>5.5925796493680471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9"/>
        <v>0</v>
      </c>
      <c r="G57" s="2"/>
      <c r="H57" s="6">
        <v>1205.69</v>
      </c>
      <c r="I57" s="2"/>
      <c r="J57" s="7">
        <f t="shared" si="30"/>
        <v>7.279321730878521E-3</v>
      </c>
      <c r="K57" s="2"/>
      <c r="L57" s="6">
        <f t="shared" si="31"/>
        <v>-1205.69</v>
      </c>
      <c r="M57" s="2"/>
      <c r="N57" s="7">
        <f t="shared" si="32"/>
        <v>-1</v>
      </c>
      <c r="O57" s="11"/>
      <c r="P57" s="6">
        <v>4324.4399999999996</v>
      </c>
      <c r="Q57" s="2"/>
      <c r="R57" s="7">
        <f t="shared" si="33"/>
        <v>1.1380888148463686E-2</v>
      </c>
      <c r="S57" s="2"/>
      <c r="T57" s="6">
        <v>11720.95</v>
      </c>
      <c r="U57" s="2"/>
      <c r="V57" s="7">
        <f t="shared" si="34"/>
        <v>1.2689404597518324E-2</v>
      </c>
      <c r="W57" s="2"/>
      <c r="X57" s="6">
        <f t="shared" si="35"/>
        <v>-7396.5100000000011</v>
      </c>
      <c r="Y57" s="2"/>
      <c r="Z57" s="7">
        <f t="shared" si="36"/>
        <v>-0.63105038414121728</v>
      </c>
    </row>
    <row r="58" spans="1:26" s="25" customFormat="1" outlineLevel="1" collapsed="1" x14ac:dyDescent="0.25">
      <c r="A58" s="26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SUM(OSRRefD22_10x_0)</f>
        <v>0</v>
      </c>
      <c r="E58" s="1"/>
      <c r="F58" s="5">
        <f t="shared" ref="F58:F63" si="37">IF(D$12=0,0,D58/D$12)</f>
        <v>0</v>
      </c>
      <c r="G58" s="1"/>
      <c r="H58" s="1">
        <f>SUM(OSRRefH22_10x_0)</f>
        <v>0</v>
      </c>
      <c r="I58" s="1"/>
      <c r="J58" s="5">
        <f t="shared" ref="J58:J63" si="38">IF(H$12=0,0,H58/H$12)</f>
        <v>0</v>
      </c>
      <c r="K58" s="1"/>
      <c r="L58" s="1">
        <f t="shared" ref="L58:L63" si="39">+D58-H58</f>
        <v>0</v>
      </c>
      <c r="M58" s="1"/>
      <c r="N58" s="5">
        <f t="shared" ref="N58:N63" si="40">IF(H58=0,0,L58/H58)</f>
        <v>0</v>
      </c>
      <c r="O58" s="13"/>
      <c r="P58" s="1">
        <f>SUM(OSRRefP22_10x_0)</f>
        <v>0</v>
      </c>
      <c r="Q58" s="1"/>
      <c r="R58" s="5">
        <f t="shared" ref="R58:R63" si="41">IF(P$12=0,0,P58/P$12)</f>
        <v>0</v>
      </c>
      <c r="S58" s="1"/>
      <c r="T58" s="1">
        <f>SUM(OSRRefT22_10x_0)</f>
        <v>2954.27</v>
      </c>
      <c r="U58" s="1"/>
      <c r="V58" s="5">
        <f t="shared" ref="V58:V63" si="42">IF(T$12=0,0,T58/T$12)</f>
        <v>3.1983693574591187E-3</v>
      </c>
      <c r="W58" s="1"/>
      <c r="X58" s="1">
        <f t="shared" ref="X58:X63" si="43">+P58-T58</f>
        <v>-2954.27</v>
      </c>
      <c r="Y58" s="1"/>
      <c r="Z58" s="5">
        <f t="shared" ref="Z58:Z63" si="44">IF(T58=0,0,X58/T58)</f>
        <v>-1</v>
      </c>
    </row>
    <row r="59" spans="1:26" s="24" customFormat="1" hidden="1" outlineLevel="2" x14ac:dyDescent="0.25">
      <c r="A59" s="27"/>
      <c r="B59" s="11" t="str">
        <f>CONCATENATE("          ", "6254", " - ", "ROYALTY &amp; COMMISSIONS")</f>
        <v xml:space="preserve">          6254 - ROYALTY &amp; COMMISSIONS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2954.27</v>
      </c>
      <c r="U59" s="2"/>
      <c r="V59" s="7">
        <f t="shared" si="42"/>
        <v>3.1983693574591187E-3</v>
      </c>
      <c r="W59" s="2"/>
      <c r="X59" s="6">
        <f t="shared" si="43"/>
        <v>-2954.27</v>
      </c>
      <c r="Y59" s="2"/>
      <c r="Z59" s="7">
        <f t="shared" si="44"/>
        <v>-1</v>
      </c>
    </row>
    <row r="60" spans="1:26" s="25" customFormat="1" outlineLevel="1" collapsed="1" x14ac:dyDescent="0.25">
      <c r="A60" s="26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SUM(OSRRefD22_11x_0)</f>
        <v>125.9</v>
      </c>
      <c r="E60" s="1"/>
      <c r="F60" s="5">
        <f t="shared" si="37"/>
        <v>0</v>
      </c>
      <c r="G60" s="1"/>
      <c r="H60" s="1">
        <f>SUM(OSRRefH22_11x_0)</f>
        <v>4059.26</v>
      </c>
      <c r="I60" s="1"/>
      <c r="J60" s="5">
        <f t="shared" si="38"/>
        <v>2.4507675712070222E-2</v>
      </c>
      <c r="K60" s="1"/>
      <c r="L60" s="1">
        <f t="shared" si="39"/>
        <v>-3933.36</v>
      </c>
      <c r="M60" s="1"/>
      <c r="N60" s="5">
        <f t="shared" si="40"/>
        <v>-0.96898449471085857</v>
      </c>
      <c r="O60" s="13"/>
      <c r="P60" s="1">
        <f>SUM(OSRRefP22_11x_0)</f>
        <v>19714.809999999998</v>
      </c>
      <c r="Q60" s="1"/>
      <c r="R60" s="5">
        <f t="shared" si="41"/>
        <v>5.18846480650011E-2</v>
      </c>
      <c r="S60" s="1"/>
      <c r="T60" s="1">
        <f>SUM(OSRRefT22_11x_0)</f>
        <v>28218.489999999998</v>
      </c>
      <c r="U60" s="1"/>
      <c r="V60" s="5">
        <f t="shared" si="42"/>
        <v>3.0550069468859162E-2</v>
      </c>
      <c r="W60" s="1"/>
      <c r="X60" s="1">
        <f t="shared" si="43"/>
        <v>-8503.68</v>
      </c>
      <c r="Y60" s="1"/>
      <c r="Z60" s="5">
        <f t="shared" si="44"/>
        <v>-0.3013513479991311</v>
      </c>
    </row>
    <row r="61" spans="1:26" s="24" customFormat="1" hidden="1" outlineLevel="2" x14ac:dyDescent="0.25">
      <c r="A61" s="27"/>
      <c r="B61" s="11" t="str">
        <f>CONCATENATE("          ", "6283", " - ", "PLANT SERVICE")</f>
        <v xml:space="preserve">          6283 - PLANT SERVICE</v>
      </c>
      <c r="C61" s="11"/>
      <c r="D61" s="6">
        <v>125.9</v>
      </c>
      <c r="E61" s="2"/>
      <c r="F61" s="7">
        <f t="shared" si="37"/>
        <v>0</v>
      </c>
      <c r="G61" s="2"/>
      <c r="H61" s="6">
        <v>57</v>
      </c>
      <c r="I61" s="2"/>
      <c r="J61" s="7">
        <f t="shared" si="38"/>
        <v>3.4413600399777362E-4</v>
      </c>
      <c r="K61" s="2"/>
      <c r="L61" s="6">
        <f t="shared" si="39"/>
        <v>68.900000000000006</v>
      </c>
      <c r="M61" s="2"/>
      <c r="N61" s="7">
        <f t="shared" si="40"/>
        <v>1.2087719298245616</v>
      </c>
      <c r="O61" s="11"/>
      <c r="P61" s="6">
        <v>566.54999999999995</v>
      </c>
      <c r="Q61" s="2"/>
      <c r="R61" s="7">
        <f t="shared" si="41"/>
        <v>1.4910236193616056E-3</v>
      </c>
      <c r="S61" s="2"/>
      <c r="T61" s="6">
        <v>570</v>
      </c>
      <c r="U61" s="2"/>
      <c r="V61" s="7">
        <f t="shared" si="42"/>
        <v>6.1709678998591786E-4</v>
      </c>
      <c r="W61" s="2"/>
      <c r="X61" s="6">
        <f t="shared" si="43"/>
        <v>-3.4500000000000455</v>
      </c>
      <c r="Y61" s="2"/>
      <c r="Z61" s="7">
        <f t="shared" si="44"/>
        <v>-6.0526315789474483E-3</v>
      </c>
    </row>
    <row r="62" spans="1:26" s="24" customFormat="1" hidden="1" outlineLevel="2" x14ac:dyDescent="0.25">
      <c r="A62" s="27"/>
      <c r="B62" s="11" t="str">
        <f>CONCATENATE("          ", "6285", " - ", "JANITORIAL SERVICES")</f>
        <v xml:space="preserve">          6285 - JANITORIAL SERVICES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517.04999999999995</v>
      </c>
      <c r="Q62" s="2"/>
      <c r="R62" s="7">
        <f t="shared" si="41"/>
        <v>1.3607515001163501E-3</v>
      </c>
      <c r="S62" s="2"/>
      <c r="T62" s="6">
        <v>246.12</v>
      </c>
      <c r="U62" s="2"/>
      <c r="V62" s="7">
        <f t="shared" si="42"/>
        <v>2.6645589816023528E-4</v>
      </c>
      <c r="W62" s="2"/>
      <c r="X62" s="6">
        <f t="shared" si="43"/>
        <v>270.92999999999995</v>
      </c>
      <c r="Y62" s="2"/>
      <c r="Z62" s="7">
        <f t="shared" si="44"/>
        <v>1.100804485616772</v>
      </c>
    </row>
    <row r="63" spans="1:26" s="24" customFormat="1" hidden="1" outlineLevel="2" x14ac:dyDescent="0.25">
      <c r="A63" s="27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37"/>
        <v>0</v>
      </c>
      <c r="G63" s="2"/>
      <c r="H63" s="6">
        <v>4002.26</v>
      </c>
      <c r="I63" s="2"/>
      <c r="J63" s="7">
        <f t="shared" si="38"/>
        <v>2.4163539708072449E-2</v>
      </c>
      <c r="K63" s="2"/>
      <c r="L63" s="6">
        <f t="shared" si="39"/>
        <v>-4002.26</v>
      </c>
      <c r="M63" s="2"/>
      <c r="N63" s="7">
        <f t="shared" si="40"/>
        <v>-1</v>
      </c>
      <c r="O63" s="11"/>
      <c r="P63" s="6">
        <v>18631.21</v>
      </c>
      <c r="Q63" s="2"/>
      <c r="R63" s="7">
        <f t="shared" si="41"/>
        <v>4.9032872945523144E-2</v>
      </c>
      <c r="S63" s="2"/>
      <c r="T63" s="6">
        <v>27402.37</v>
      </c>
      <c r="U63" s="2"/>
      <c r="V63" s="7">
        <f t="shared" si="42"/>
        <v>2.9666516780713012E-2</v>
      </c>
      <c r="W63" s="2"/>
      <c r="X63" s="6">
        <f t="shared" si="43"/>
        <v>-8771.16</v>
      </c>
      <c r="Y63" s="2"/>
      <c r="Z63" s="7">
        <f t="shared" si="44"/>
        <v>-0.32008764205431867</v>
      </c>
    </row>
    <row r="64" spans="1:26" s="25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206.59999999999997</v>
      </c>
      <c r="E64" s="1"/>
      <c r="F64" s="5">
        <f t="shared" ref="F64:F72" si="45">IF(D$12=0,0,D64/D$12)</f>
        <v>0</v>
      </c>
      <c r="G64" s="1"/>
      <c r="H64" s="1">
        <f>SUM(OSRRefH22_12x_0)</f>
        <v>2542.9199999999996</v>
      </c>
      <c r="I64" s="1"/>
      <c r="J64" s="5">
        <f t="shared" ref="J64:J72" si="46">IF(H$12=0,0,H64/H$12)</f>
        <v>1.535281275940383E-2</v>
      </c>
      <c r="K64" s="1"/>
      <c r="L64" s="1">
        <f t="shared" ref="L64:L72" si="47">+D64-H64</f>
        <v>-2336.3199999999997</v>
      </c>
      <c r="M64" s="1"/>
      <c r="N64" s="5">
        <f t="shared" ref="N64:N72" si="48">IF(H64=0,0,L64/H64)</f>
        <v>-0.91875481729665109</v>
      </c>
      <c r="O64" s="13"/>
      <c r="P64" s="1">
        <f>SUM(OSRRefP22_12x_0)</f>
        <v>12484.019999999999</v>
      </c>
      <c r="Q64" s="1"/>
      <c r="R64" s="5">
        <f t="shared" ref="R64:R72" si="49">IF(P$12=0,0,P64/P$12)</f>
        <v>3.2854944284851591E-2</v>
      </c>
      <c r="S64" s="1"/>
      <c r="T64" s="1">
        <f>SUM(OSRRefT22_12x_0)</f>
        <v>23493.919999999998</v>
      </c>
      <c r="U64" s="1"/>
      <c r="V64" s="5">
        <f t="shared" ref="V64:V72" si="50">IF(T$12=0,0,T64/T$12)</f>
        <v>2.5435127396817466E-2</v>
      </c>
      <c r="W64" s="1"/>
      <c r="X64" s="1">
        <f t="shared" ref="X64:X72" si="51">+P64-T64</f>
        <v>-11009.9</v>
      </c>
      <c r="Y64" s="1"/>
      <c r="Z64" s="5">
        <f t="shared" ref="Z64:Z72" si="52">IF(T64=0,0,X64/T64)</f>
        <v>-0.46862762791394541</v>
      </c>
    </row>
    <row r="65" spans="1:26" s="24" customFormat="1" hidden="1" outlineLevel="2" x14ac:dyDescent="0.25">
      <c r="A65" s="27"/>
      <c r="B65" s="11" t="str">
        <f>CONCATENATE("          ", "6234", " - ", "EXPENDABLE SUPPLIES &amp; EQUIPMEN")</f>
        <v xml:space="preserve">          6234 - EXPENDABLE SUPPLIES &amp; EQUIPMEN</v>
      </c>
      <c r="C65" s="11"/>
      <c r="D65" s="6">
        <v>142.07</v>
      </c>
      <c r="E65" s="2"/>
      <c r="F65" s="7">
        <f t="shared" si="45"/>
        <v>0</v>
      </c>
      <c r="G65" s="2"/>
      <c r="H65" s="6">
        <v>273.22000000000003</v>
      </c>
      <c r="I65" s="2"/>
      <c r="J65" s="7">
        <f t="shared" si="46"/>
        <v>1.6495585791626616E-3</v>
      </c>
      <c r="K65" s="2"/>
      <c r="L65" s="6">
        <f t="shared" si="47"/>
        <v>-131.15000000000003</v>
      </c>
      <c r="M65" s="2"/>
      <c r="N65" s="7">
        <f t="shared" si="48"/>
        <v>-0.48001610423834279</v>
      </c>
      <c r="O65" s="11"/>
      <c r="P65" s="6">
        <v>1025.0999999999999</v>
      </c>
      <c r="Q65" s="2"/>
      <c r="R65" s="7">
        <f t="shared" si="49"/>
        <v>2.6978171603699265E-3</v>
      </c>
      <c r="S65" s="2"/>
      <c r="T65" s="6">
        <v>5754.66</v>
      </c>
      <c r="U65" s="2"/>
      <c r="V65" s="7">
        <f t="shared" si="50"/>
        <v>6.2301442341409861E-3</v>
      </c>
      <c r="W65" s="2"/>
      <c r="X65" s="6">
        <f t="shared" si="51"/>
        <v>-4729.5599999999995</v>
      </c>
      <c r="Y65" s="2"/>
      <c r="Z65" s="7">
        <f t="shared" si="52"/>
        <v>-0.821866105034876</v>
      </c>
    </row>
    <row r="66" spans="1:26" s="24" customFormat="1" hidden="1" outlineLevel="2" x14ac:dyDescent="0.25">
      <c r="A66" s="27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/>
      <c r="Q66" s="2"/>
      <c r="R66" s="7">
        <f t="shared" si="49"/>
        <v>0</v>
      </c>
      <c r="S66" s="2"/>
      <c r="T66" s="6">
        <v>640.37</v>
      </c>
      <c r="U66" s="2"/>
      <c r="V66" s="7">
        <f t="shared" si="50"/>
        <v>6.9328117790049514E-4</v>
      </c>
      <c r="W66" s="2"/>
      <c r="X66" s="6">
        <f t="shared" si="51"/>
        <v>-640.37</v>
      </c>
      <c r="Y66" s="2"/>
      <c r="Z66" s="7">
        <f t="shared" si="52"/>
        <v>-1</v>
      </c>
    </row>
    <row r="67" spans="1:26" s="24" customFormat="1" hidden="1" outlineLevel="2" x14ac:dyDescent="0.25">
      <c r="A67" s="27"/>
      <c r="B67" s="11" t="str">
        <f>CONCATENATE("          ", "6239", " - ", "KITCHEN SUPPLIES")</f>
        <v xml:space="preserve">          6239 - KITCHEN SUPPLIES</v>
      </c>
      <c r="C67" s="11"/>
      <c r="D67" s="6"/>
      <c r="E67" s="2"/>
      <c r="F67" s="7">
        <f t="shared" si="45"/>
        <v>0</v>
      </c>
      <c r="G67" s="2"/>
      <c r="H67" s="6">
        <v>719.74</v>
      </c>
      <c r="I67" s="2"/>
      <c r="J67" s="7">
        <f t="shared" si="46"/>
        <v>4.345411359953642E-3</v>
      </c>
      <c r="K67" s="2"/>
      <c r="L67" s="6">
        <f t="shared" si="47"/>
        <v>-719.74</v>
      </c>
      <c r="M67" s="2"/>
      <c r="N67" s="7">
        <f t="shared" si="48"/>
        <v>-1</v>
      </c>
      <c r="O67" s="11"/>
      <c r="P67" s="6">
        <v>3652.68</v>
      </c>
      <c r="Q67" s="2"/>
      <c r="R67" s="7">
        <f t="shared" si="49"/>
        <v>9.6129770611062555E-3</v>
      </c>
      <c r="S67" s="2"/>
      <c r="T67" s="6">
        <v>2196.54</v>
      </c>
      <c r="U67" s="2"/>
      <c r="V67" s="7">
        <f t="shared" si="50"/>
        <v>2.378031198378365E-3</v>
      </c>
      <c r="W67" s="2"/>
      <c r="X67" s="6">
        <f t="shared" si="51"/>
        <v>1456.1399999999999</v>
      </c>
      <c r="Y67" s="2"/>
      <c r="Z67" s="7">
        <f t="shared" si="52"/>
        <v>0.66292441749296616</v>
      </c>
    </row>
    <row r="68" spans="1:26" s="24" customFormat="1" hidden="1" outlineLevel="2" x14ac:dyDescent="0.25">
      <c r="A68" s="27"/>
      <c r="B68" s="11" t="str">
        <f>CONCATENATE("          ", "6241", " - ", "OFFICE EXPENSE")</f>
        <v xml:space="preserve">          6241 - OFFICE EXPENSE</v>
      </c>
      <c r="C68" s="11"/>
      <c r="D68" s="6">
        <v>48.89</v>
      </c>
      <c r="E68" s="2"/>
      <c r="F68" s="7">
        <f t="shared" si="45"/>
        <v>0</v>
      </c>
      <c r="G68" s="2"/>
      <c r="H68" s="6">
        <v>22.81</v>
      </c>
      <c r="I68" s="2"/>
      <c r="J68" s="7">
        <f t="shared" si="46"/>
        <v>1.3771477633665291E-4</v>
      </c>
      <c r="K68" s="2"/>
      <c r="L68" s="6">
        <f t="shared" si="47"/>
        <v>26.080000000000002</v>
      </c>
      <c r="M68" s="2"/>
      <c r="N68" s="7">
        <f t="shared" si="48"/>
        <v>1.1433581762384921</v>
      </c>
      <c r="O68" s="11"/>
      <c r="P68" s="6">
        <v>786.78</v>
      </c>
      <c r="Q68" s="2"/>
      <c r="R68" s="7">
        <f t="shared" si="49"/>
        <v>2.0706161208036786E-3</v>
      </c>
      <c r="S68" s="2"/>
      <c r="T68" s="6">
        <v>3142.52</v>
      </c>
      <c r="U68" s="2"/>
      <c r="V68" s="7">
        <f t="shared" si="50"/>
        <v>3.4021736920465729E-3</v>
      </c>
      <c r="W68" s="2"/>
      <c r="X68" s="6">
        <f t="shared" si="51"/>
        <v>-2355.7399999999998</v>
      </c>
      <c r="Y68" s="2"/>
      <c r="Z68" s="7">
        <f t="shared" si="52"/>
        <v>-0.7496340516528136</v>
      </c>
    </row>
    <row r="69" spans="1:26" s="24" customFormat="1" hidden="1" outlineLevel="2" x14ac:dyDescent="0.25">
      <c r="A69" s="27"/>
      <c r="B69" s="11" t="str">
        <f>CONCATENATE("          ", "6243", " - ", "PAPER SUPPLIES")</f>
        <v xml:space="preserve">          6243 - PAPER SUPPLIES</v>
      </c>
      <c r="C69" s="11"/>
      <c r="D69" s="6"/>
      <c r="E69" s="2"/>
      <c r="F69" s="7">
        <f t="shared" si="45"/>
        <v>0</v>
      </c>
      <c r="G69" s="2"/>
      <c r="H69" s="6">
        <v>1353.1</v>
      </c>
      <c r="I69" s="2"/>
      <c r="J69" s="7">
        <f t="shared" si="46"/>
        <v>8.1693057370067976E-3</v>
      </c>
      <c r="K69" s="2"/>
      <c r="L69" s="6">
        <f t="shared" si="47"/>
        <v>-1353.1</v>
      </c>
      <c r="M69" s="2"/>
      <c r="N69" s="7">
        <f t="shared" si="48"/>
        <v>-1</v>
      </c>
      <c r="O69" s="11"/>
      <c r="P69" s="6">
        <v>5217.22</v>
      </c>
      <c r="Q69" s="2"/>
      <c r="R69" s="7">
        <f t="shared" si="49"/>
        <v>1.3730470827651145E-2</v>
      </c>
      <c r="S69" s="2"/>
      <c r="T69" s="6">
        <v>9007.25</v>
      </c>
      <c r="U69" s="2"/>
      <c r="V69" s="7">
        <f t="shared" si="50"/>
        <v>9.7514825642116831E-3</v>
      </c>
      <c r="W69" s="2"/>
      <c r="X69" s="6">
        <f t="shared" si="51"/>
        <v>-3790.0299999999997</v>
      </c>
      <c r="Y69" s="2"/>
      <c r="Z69" s="7">
        <f t="shared" si="52"/>
        <v>-0.42077548641372226</v>
      </c>
    </row>
    <row r="70" spans="1:26" s="24" customFormat="1" hidden="1" outlineLevel="2" x14ac:dyDescent="0.25">
      <c r="A70" s="27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/>
      <c r="Q70" s="2"/>
      <c r="R70" s="7">
        <f t="shared" si="49"/>
        <v>0</v>
      </c>
      <c r="S70" s="2"/>
      <c r="T70" s="6">
        <v>36.82</v>
      </c>
      <c r="U70" s="2"/>
      <c r="V70" s="7">
        <f t="shared" si="50"/>
        <v>3.9862287381195608E-5</v>
      </c>
      <c r="W70" s="2"/>
      <c r="X70" s="6">
        <f t="shared" si="51"/>
        <v>-36.82</v>
      </c>
      <c r="Y70" s="2"/>
      <c r="Z70" s="7">
        <f t="shared" si="52"/>
        <v>-1</v>
      </c>
    </row>
    <row r="71" spans="1:26" s="24" customFormat="1" hidden="1" outlineLevel="2" x14ac:dyDescent="0.25">
      <c r="A71" s="27"/>
      <c r="B71" s="11" t="str">
        <f>CONCATENATE("          ", "6247", " - ", "STORE SUPPLIES")</f>
        <v xml:space="preserve">          6247 - STORE SUPPLIES</v>
      </c>
      <c r="C71" s="11"/>
      <c r="D71" s="6">
        <v>15.64</v>
      </c>
      <c r="E71" s="2"/>
      <c r="F71" s="7">
        <f t="shared" si="45"/>
        <v>0</v>
      </c>
      <c r="G71" s="2"/>
      <c r="H71" s="6">
        <v>9.08</v>
      </c>
      <c r="I71" s="2"/>
      <c r="J71" s="7">
        <f t="shared" si="46"/>
        <v>5.4820261689469905E-5</v>
      </c>
      <c r="K71" s="2"/>
      <c r="L71" s="6">
        <f t="shared" si="47"/>
        <v>6.5600000000000005</v>
      </c>
      <c r="M71" s="2"/>
      <c r="N71" s="7">
        <f t="shared" si="48"/>
        <v>0.72246696035242297</v>
      </c>
      <c r="O71" s="11"/>
      <c r="P71" s="6">
        <v>509.58</v>
      </c>
      <c r="Q71" s="2"/>
      <c r="R71" s="7">
        <f t="shared" si="49"/>
        <v>1.3410922530302479E-3</v>
      </c>
      <c r="S71" s="2"/>
      <c r="T71" s="6">
        <v>1525.66</v>
      </c>
      <c r="U71" s="2"/>
      <c r="V71" s="7">
        <f t="shared" si="50"/>
        <v>1.6517191028244133E-3</v>
      </c>
      <c r="W71" s="2"/>
      <c r="X71" s="6">
        <f t="shared" si="51"/>
        <v>-1016.0800000000002</v>
      </c>
      <c r="Y71" s="2"/>
      <c r="Z71" s="7">
        <f t="shared" si="52"/>
        <v>-0.66599373385944449</v>
      </c>
    </row>
    <row r="72" spans="1:26" s="24" customFormat="1" hidden="1" outlineLevel="2" x14ac:dyDescent="0.25">
      <c r="A72" s="27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45"/>
        <v>0</v>
      </c>
      <c r="G72" s="2"/>
      <c r="H72" s="6">
        <v>164.97</v>
      </c>
      <c r="I72" s="2"/>
      <c r="J72" s="7">
        <f t="shared" si="46"/>
        <v>9.9600204525460904E-4</v>
      </c>
      <c r="K72" s="2"/>
      <c r="L72" s="6">
        <f t="shared" si="47"/>
        <v>-164.97</v>
      </c>
      <c r="M72" s="2"/>
      <c r="N72" s="7">
        <f t="shared" si="48"/>
        <v>-1</v>
      </c>
      <c r="O72" s="11"/>
      <c r="P72" s="6">
        <v>1292.6600000000001</v>
      </c>
      <c r="Q72" s="2"/>
      <c r="R72" s="7">
        <f t="shared" si="49"/>
        <v>3.4019708618903419E-3</v>
      </c>
      <c r="S72" s="2"/>
      <c r="T72" s="6">
        <v>1190.0999999999999</v>
      </c>
      <c r="U72" s="2"/>
      <c r="V72" s="7">
        <f t="shared" si="50"/>
        <v>1.2884331399337558E-3</v>
      </c>
      <c r="W72" s="2"/>
      <c r="X72" s="6">
        <f t="shared" si="51"/>
        <v>102.56000000000017</v>
      </c>
      <c r="Y72" s="2"/>
      <c r="Z72" s="7">
        <f t="shared" si="52"/>
        <v>8.6177632131753792E-2</v>
      </c>
    </row>
    <row r="73" spans="1:26" s="25" customFormat="1" outlineLevel="1" collapsed="1" x14ac:dyDescent="0.25">
      <c r="A73" s="26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SUM(OSRRefD22_13x_0)</f>
        <v>182.97</v>
      </c>
      <c r="E73" s="1"/>
      <c r="F73" s="5">
        <f t="shared" ref="F73:F76" si="53">IF(D$12=0,0,D73/D$12)</f>
        <v>0</v>
      </c>
      <c r="G73" s="1"/>
      <c r="H73" s="1">
        <f>SUM(OSRRefH22_13x_0)</f>
        <v>191.74</v>
      </c>
      <c r="I73" s="1"/>
      <c r="J73" s="5">
        <f t="shared" ref="J73:J76" si="54">IF(H$12=0,0,H73/H$12)</f>
        <v>1.1576252176584757E-3</v>
      </c>
      <c r="K73" s="1"/>
      <c r="L73" s="1">
        <f t="shared" ref="L73:L76" si="55">+D73-H73</f>
        <v>-8.7700000000000102</v>
      </c>
      <c r="M73" s="1"/>
      <c r="N73" s="5">
        <f t="shared" ref="N73:N76" si="56">IF(H73=0,0,L73/H73)</f>
        <v>-4.5739021591738864E-2</v>
      </c>
      <c r="O73" s="13"/>
      <c r="P73" s="1">
        <f>SUM(OSRRefP22_13x_0)</f>
        <v>1993.98</v>
      </c>
      <c r="Q73" s="1"/>
      <c r="R73" s="5">
        <f t="shared" ref="R73:R76" si="57">IF(P$12=0,0,P73/P$12)</f>
        <v>5.2476767743970601E-3</v>
      </c>
      <c r="S73" s="1"/>
      <c r="T73" s="1">
        <f>SUM(OSRRefT22_13x_0)</f>
        <v>2023.05</v>
      </c>
      <c r="U73" s="1"/>
      <c r="V73" s="5">
        <f t="shared" ref="V73:V76" si="58">IF(T$12=0,0,T73/T$12)</f>
        <v>2.1902064227737037E-3</v>
      </c>
      <c r="W73" s="1"/>
      <c r="X73" s="1">
        <f t="shared" ref="X73:X76" si="59">+P73-T73</f>
        <v>-29.069999999999936</v>
      </c>
      <c r="Y73" s="1"/>
      <c r="Z73" s="5">
        <f t="shared" ref="Z73:Z76" si="60">IF(T73=0,0,X73/T73)</f>
        <v>-1.4369392748572669E-2</v>
      </c>
    </row>
    <row r="74" spans="1:26" s="24" customFormat="1" hidden="1" outlineLevel="2" x14ac:dyDescent="0.25">
      <c r="A74" s="27"/>
      <c r="B74" s="11" t="str">
        <f>CONCATENATE("          ", "6309", " - ", "TELEPHONE")</f>
        <v xml:space="preserve">          6309 - TELEPHONE</v>
      </c>
      <c r="C74" s="11"/>
      <c r="D74" s="6">
        <v>182.97</v>
      </c>
      <c r="E74" s="2"/>
      <c r="F74" s="7">
        <f t="shared" si="53"/>
        <v>0</v>
      </c>
      <c r="G74" s="2"/>
      <c r="H74" s="6">
        <v>191.74</v>
      </c>
      <c r="I74" s="2"/>
      <c r="J74" s="7">
        <f t="shared" si="54"/>
        <v>1.1576252176584757E-3</v>
      </c>
      <c r="K74" s="2"/>
      <c r="L74" s="6">
        <f t="shared" si="55"/>
        <v>-8.7700000000000102</v>
      </c>
      <c r="M74" s="2"/>
      <c r="N74" s="7">
        <f t="shared" si="56"/>
        <v>-4.5739021591738864E-2</v>
      </c>
      <c r="O74" s="11"/>
      <c r="P74" s="6">
        <v>1993.98</v>
      </c>
      <c r="Q74" s="2"/>
      <c r="R74" s="7">
        <f t="shared" si="57"/>
        <v>5.2476767743970601E-3</v>
      </c>
      <c r="S74" s="2"/>
      <c r="T74" s="6">
        <v>2023.05</v>
      </c>
      <c r="U74" s="2"/>
      <c r="V74" s="7">
        <f t="shared" si="58"/>
        <v>2.1902064227737037E-3</v>
      </c>
      <c r="W74" s="2"/>
      <c r="X74" s="6">
        <f t="shared" si="59"/>
        <v>-29.069999999999936</v>
      </c>
      <c r="Y74" s="2"/>
      <c r="Z74" s="7">
        <f t="shared" si="60"/>
        <v>-1.4369392748572669E-2</v>
      </c>
    </row>
    <row r="75" spans="1:26" s="25" customFormat="1" outlineLevel="1" collapsed="1" x14ac:dyDescent="0.25">
      <c r="A75" s="26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SUM(OSRRefD22_14x_0)</f>
        <v>0</v>
      </c>
      <c r="E75" s="1"/>
      <c r="F75" s="5">
        <f t="shared" si="53"/>
        <v>0</v>
      </c>
      <c r="G75" s="1"/>
      <c r="H75" s="1">
        <f>SUM(OSRRefH22_14x_0)</f>
        <v>0</v>
      </c>
      <c r="I75" s="1"/>
      <c r="J75" s="5">
        <f t="shared" si="54"/>
        <v>0</v>
      </c>
      <c r="K75" s="1"/>
      <c r="L75" s="1">
        <f t="shared" si="55"/>
        <v>0</v>
      </c>
      <c r="M75" s="1"/>
      <c r="N75" s="5">
        <f t="shared" si="56"/>
        <v>0</v>
      </c>
      <c r="O75" s="13"/>
      <c r="P75" s="1">
        <f>SUM(OSRRefP22_14x_0)</f>
        <v>175</v>
      </c>
      <c r="Q75" s="1"/>
      <c r="R75" s="5">
        <f t="shared" si="57"/>
        <v>4.605579973317112E-4</v>
      </c>
      <c r="S75" s="1"/>
      <c r="T75" s="1">
        <f>SUM(OSRRefT22_14x_0)</f>
        <v>175</v>
      </c>
      <c r="U75" s="1"/>
      <c r="V75" s="5">
        <f t="shared" si="58"/>
        <v>1.8945954078515022E-4</v>
      </c>
      <c r="W75" s="1"/>
      <c r="X75" s="1">
        <f t="shared" si="59"/>
        <v>0</v>
      </c>
      <c r="Y75" s="1"/>
      <c r="Z75" s="5">
        <f t="shared" si="60"/>
        <v>0</v>
      </c>
    </row>
    <row r="76" spans="1:26" s="24" customFormat="1" hidden="1" outlineLevel="2" x14ac:dyDescent="0.25">
      <c r="A76" s="27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53"/>
        <v>0</v>
      </c>
      <c r="G76" s="2"/>
      <c r="H76" s="6"/>
      <c r="I76" s="2"/>
      <c r="J76" s="7">
        <f t="shared" si="54"/>
        <v>0</v>
      </c>
      <c r="K76" s="2"/>
      <c r="L76" s="6">
        <f t="shared" si="55"/>
        <v>0</v>
      </c>
      <c r="M76" s="2"/>
      <c r="N76" s="7">
        <f t="shared" si="56"/>
        <v>0</v>
      </c>
      <c r="O76" s="11"/>
      <c r="P76" s="6">
        <v>175</v>
      </c>
      <c r="Q76" s="2"/>
      <c r="R76" s="7">
        <f t="shared" si="57"/>
        <v>4.605579973317112E-4</v>
      </c>
      <c r="S76" s="2"/>
      <c r="T76" s="6">
        <v>175</v>
      </c>
      <c r="U76" s="2"/>
      <c r="V76" s="7">
        <f t="shared" si="58"/>
        <v>1.8945954078515022E-4</v>
      </c>
      <c r="W76" s="2"/>
      <c r="X76" s="6">
        <f t="shared" si="59"/>
        <v>0</v>
      </c>
      <c r="Y76" s="2"/>
      <c r="Z76" s="7">
        <f t="shared" si="60"/>
        <v>0</v>
      </c>
    </row>
    <row r="77" spans="1:26" s="53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1">
        <f>+D21-D23+D78</f>
        <v>-6918.03</v>
      </c>
      <c r="E80" s="14"/>
      <c r="F80" s="20">
        <f>IF(D$12=0,0,D80/D$12)</f>
        <v>0</v>
      </c>
      <c r="G80" s="14"/>
      <c r="H80" s="21">
        <f>+H21-H23+H78</f>
        <v>59052.380000000019</v>
      </c>
      <c r="I80" s="14"/>
      <c r="J80" s="20">
        <f>IF(H$12=0,0,H80/H$12)</f>
        <v>0.35652719438172026</v>
      </c>
      <c r="K80" s="15"/>
      <c r="L80" s="21">
        <f>+D80-H80</f>
        <v>-65970.410000000018</v>
      </c>
      <c r="M80" s="15"/>
      <c r="N80" s="20">
        <f>IF(H80=0,0,L80/H80)</f>
        <v>-1.117150739733098</v>
      </c>
      <c r="O80" s="29"/>
      <c r="P80" s="21">
        <f>+P21-P23+P78</f>
        <v>-162178.88999999996</v>
      </c>
      <c r="Q80" s="14"/>
      <c r="R80" s="20">
        <f>IF(P$12=0,0,P80/P$12)</f>
        <v>-0.42681591307359923</v>
      </c>
      <c r="S80" s="14"/>
      <c r="T80" s="21">
        <f>+T21-T23+T78</f>
        <v>67374.989999999874</v>
      </c>
      <c r="U80" s="14"/>
      <c r="V80" s="20">
        <f>IF(T$12=0,0,T80/T$12)</f>
        <v>7.2941912376023224E-2</v>
      </c>
      <c r="W80" s="15"/>
      <c r="X80" s="21">
        <f>+P80-T80</f>
        <v>-229553.87999999983</v>
      </c>
      <c r="Y80" s="15"/>
      <c r="Z80" s="20">
        <f>IF(T80=0,0,X80/T80)</f>
        <v>-3.4071081865837791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2428.19</v>
      </c>
      <c r="E82" s="4"/>
      <c r="F82" s="12">
        <f>IF(D$12=0,0,D82/D$12)</f>
        <v>0</v>
      </c>
      <c r="G82" s="4"/>
      <c r="H82" s="4">
        <v>17966.400000000001</v>
      </c>
      <c r="I82" s="4"/>
      <c r="J82" s="12">
        <f>IF(H$12=0,0,H82/H$12)</f>
        <v>0.10847166846009826</v>
      </c>
      <c r="K82" s="4"/>
      <c r="L82" s="4">
        <f>+D82-H82</f>
        <v>-15538.210000000001</v>
      </c>
      <c r="M82" s="4"/>
      <c r="N82" s="12">
        <f>IF(H82=0,0,L82/H82)</f>
        <v>-0.8648482723305726</v>
      </c>
      <c r="O82" s="10"/>
      <c r="P82" s="4">
        <v>43143.310000000005</v>
      </c>
      <c r="Q82" s="4"/>
      <c r="R82" s="12">
        <f>IF(P$12=0,0,P82/P$12)</f>
        <v>0.11354283686777823</v>
      </c>
      <c r="S82" s="4"/>
      <c r="T82" s="4">
        <v>96024.44</v>
      </c>
      <c r="U82" s="4"/>
      <c r="V82" s="12">
        <f>IF(T$12=0,0,T82/T$12)</f>
        <v>0.10395855032314978</v>
      </c>
      <c r="W82" s="4"/>
      <c r="X82" s="4">
        <f>+P82-T82</f>
        <v>-52881.13</v>
      </c>
      <c r="Y82" s="4"/>
      <c r="Z82" s="12">
        <f>IF(T82=0,0,X82/T82)</f>
        <v>-0.55070490387655469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0">
        <f>+D80-D82</f>
        <v>-9346.2199999999993</v>
      </c>
      <c r="E84" s="14"/>
      <c r="F84" s="36">
        <f>IF(D$12=0,0,D84/D$12)</f>
        <v>0</v>
      </c>
      <c r="G84" s="14"/>
      <c r="H84" s="30">
        <f>+H80-H82</f>
        <v>41085.980000000018</v>
      </c>
      <c r="I84" s="14"/>
      <c r="J84" s="36">
        <f>IF(H$12=0,0,H84/H$12)</f>
        <v>0.24805552592162197</v>
      </c>
      <c r="K84" s="15"/>
      <c r="L84" s="30">
        <f>D84-H84</f>
        <v>-50432.200000000019</v>
      </c>
      <c r="M84" s="15"/>
      <c r="N84" s="36">
        <f>IF(H84=0,0,L84/H84)</f>
        <v>-1.2274795441169954</v>
      </c>
      <c r="O84" s="29"/>
      <c r="P84" s="30">
        <f>+P80-P82</f>
        <v>-205322.19999999995</v>
      </c>
      <c r="Q84" s="14"/>
      <c r="R84" s="36">
        <f>IF(P$12=0,0,P84/P$12)</f>
        <v>-0.54035874994137745</v>
      </c>
      <c r="S84" s="14"/>
      <c r="T84" s="30">
        <f>+T80-T82</f>
        <v>-28649.450000000128</v>
      </c>
      <c r="U84" s="14"/>
      <c r="V84" s="36">
        <f>IF(T$12=0,0,T84/T$12)</f>
        <v>-3.101663794712655E-2</v>
      </c>
      <c r="W84" s="15"/>
      <c r="X84" s="30">
        <f>P84-T84</f>
        <v>-176672.74999999983</v>
      </c>
      <c r="Y84" s="15"/>
      <c r="Z84" s="36">
        <f>IF(T84=0,0,X84/T84)</f>
        <v>6.1667065161809056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1">
        <f>SUM(D84:D86)</f>
        <v>-9346.2199999999993</v>
      </c>
      <c r="E87" s="14"/>
      <c r="F87" s="32">
        <f>IF(D$12=0,0,D87/D$12)</f>
        <v>0</v>
      </c>
      <c r="G87" s="14"/>
      <c r="H87" s="31">
        <f>SUM(H84:H86)</f>
        <v>41085.980000000018</v>
      </c>
      <c r="I87" s="14"/>
      <c r="J87" s="32">
        <f>IF(H$12=0,0,H87/H$12)</f>
        <v>0.24805552592162197</v>
      </c>
      <c r="K87" s="15"/>
      <c r="L87" s="31">
        <f>+D87-H87</f>
        <v>-50432.200000000019</v>
      </c>
      <c r="M87" s="15"/>
      <c r="N87" s="32">
        <f>IF(H87=0,0,L87/H87)</f>
        <v>-1.2274795441169954</v>
      </c>
      <c r="O87" s="29"/>
      <c r="P87" s="31">
        <f>SUM(P84:P86)</f>
        <v>-205322.19999999995</v>
      </c>
      <c r="Q87" s="14"/>
      <c r="R87" s="32">
        <f>IF(P$12=0,0,P87/P$12)</f>
        <v>-0.54035874994137745</v>
      </c>
      <c r="S87" s="14"/>
      <c r="T87" s="31">
        <f>SUM(T84:T86)</f>
        <v>-28649.450000000128</v>
      </c>
      <c r="U87" s="14"/>
      <c r="V87" s="32">
        <f>IF(T$12=0,0,T87/T$12)</f>
        <v>-3.101663794712655E-2</v>
      </c>
      <c r="W87" s="15"/>
      <c r="X87" s="31">
        <f>+P87-T87</f>
        <v>-176672.74999999983</v>
      </c>
      <c r="Y87" s="15"/>
      <c r="Z87" s="32">
        <f>IF(T87=0,0,X87/T87)</f>
        <v>6.1667065161809056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4">
        <v>43965.471298032404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9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1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","420", " - ", "Catering")</f>
        <v>Department 420 - Catering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211082.08000000002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211082.08000000002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--210141.41</f>
        <v>210141.41</v>
      </c>
      <c r="Q13" s="2"/>
      <c r="R13" s="19"/>
      <c r="S13" s="2"/>
      <c r="T13" s="2">
        <f t="shared" ref="T13:T14" si="6">0</f>
        <v>0</v>
      </c>
      <c r="U13" s="2"/>
      <c r="V13" s="19"/>
      <c r="W13" s="2"/>
      <c r="X13" s="2">
        <f t="shared" si="2"/>
        <v>210141.41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--940.67</f>
        <v>940.67</v>
      </c>
      <c r="Q14" s="2"/>
      <c r="R14" s="19"/>
      <c r="S14" s="2"/>
      <c r="T14" s="2">
        <f t="shared" si="6"/>
        <v>0</v>
      </c>
      <c r="U14" s="2"/>
      <c r="V14" s="19"/>
      <c r="W14" s="2"/>
      <c r="X14" s="2">
        <f t="shared" si="2"/>
        <v>940.67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7">IF(D$12=0,0,D16/D$12)</f>
        <v>0</v>
      </c>
      <c r="G16" s="4"/>
      <c r="H16" s="4">
        <f>SUM(OSRRefH16x_0)</f>
        <v>0</v>
      </c>
      <c r="I16" s="4"/>
      <c r="J16" s="12">
        <f t="shared" ref="J16:J18" si="8">IF(H$12=0,0,H16/H$12)</f>
        <v>0</v>
      </c>
      <c r="K16" s="4"/>
      <c r="L16" s="4">
        <f t="shared" ref="L16:L18" si="9">+D16-H16</f>
        <v>0</v>
      </c>
      <c r="M16" s="4"/>
      <c r="N16" s="12">
        <f t="shared" ref="N16:N18" si="10">IF(H16=0,0,L16/H16)</f>
        <v>0</v>
      </c>
      <c r="O16" s="10"/>
      <c r="P16" s="4">
        <f>SUM(OSRRefP16x_0)</f>
        <v>9795.24</v>
      </c>
      <c r="Q16" s="4"/>
      <c r="R16" s="12">
        <f t="shared" ref="R16:R18" si="11">IF(P$12=0,0,P16/P$12)</f>
        <v>4.6404886667783446E-2</v>
      </c>
      <c r="S16" s="4"/>
      <c r="T16" s="4">
        <f>SUM(OSRRefT16x_0)</f>
        <v>0</v>
      </c>
      <c r="U16" s="4"/>
      <c r="V16" s="12">
        <f t="shared" ref="V16:V18" si="12">IF(T$12=0,0,T16/T$12)</f>
        <v>0</v>
      </c>
      <c r="W16" s="4"/>
      <c r="X16" s="4">
        <f t="shared" ref="X16:X18" si="13">+P16-T16</f>
        <v>9795.24</v>
      </c>
      <c r="Y16" s="4"/>
      <c r="Z16" s="12">
        <f t="shared" ref="Z16:Z18" si="14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1"/>
      <c r="P17" s="2">
        <v>373.24</v>
      </c>
      <c r="Q17" s="2"/>
      <c r="R17" s="19">
        <f t="shared" si="11"/>
        <v>1.7682221058272687E-3</v>
      </c>
      <c r="S17" s="2"/>
      <c r="T17" s="2"/>
      <c r="U17" s="2"/>
      <c r="V17" s="19">
        <f t="shared" si="12"/>
        <v>0</v>
      </c>
      <c r="W17" s="2"/>
      <c r="X17" s="2">
        <f t="shared" si="13"/>
        <v>373.24</v>
      </c>
      <c r="Y17" s="2"/>
      <c r="Z17" s="19">
        <f t="shared" si="14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1"/>
      <c r="P18" s="2">
        <v>9422</v>
      </c>
      <c r="Q18" s="2"/>
      <c r="R18" s="19">
        <f t="shared" si="11"/>
        <v>4.4636664561956182E-2</v>
      </c>
      <c r="S18" s="2"/>
      <c r="T18" s="2"/>
      <c r="U18" s="2"/>
      <c r="V18" s="19">
        <f t="shared" si="12"/>
        <v>0</v>
      </c>
      <c r="W18" s="2"/>
      <c r="X18" s="2">
        <f t="shared" si="13"/>
        <v>9422</v>
      </c>
      <c r="Y18" s="2"/>
      <c r="Z18" s="19">
        <f t="shared" si="14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0</v>
      </c>
      <c r="I20" s="14"/>
      <c r="J20" s="20">
        <f>IF(H$12=0,0,H20/H$12)</f>
        <v>0</v>
      </c>
      <c r="K20" s="15"/>
      <c r="L20" s="21">
        <f>+D20-H20</f>
        <v>0</v>
      </c>
      <c r="M20" s="15"/>
      <c r="N20" s="20">
        <f>IF(H20=0,0,L20/H20)</f>
        <v>0</v>
      </c>
      <c r="O20" s="29"/>
      <c r="P20" s="21">
        <f>P12-P16</f>
        <v>201286.84000000003</v>
      </c>
      <c r="Q20" s="14"/>
      <c r="R20" s="20">
        <f>IF(P$12=0,0,P20/P$12)</f>
        <v>0.95359511333221658</v>
      </c>
      <c r="S20" s="14"/>
      <c r="T20" s="21">
        <f>T12-T16</f>
        <v>0</v>
      </c>
      <c r="U20" s="14"/>
      <c r="V20" s="20">
        <f>IF(T$12=0,0,T20/T$12)</f>
        <v>0</v>
      </c>
      <c r="W20" s="15"/>
      <c r="X20" s="21">
        <f>+P20-T20</f>
        <v>201286.84000000003</v>
      </c>
      <c r="Y20" s="15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-29291.05</v>
      </c>
      <c r="E22" s="22"/>
      <c r="F22" s="35">
        <f t="shared" ref="F22:F31" si="15">IF(D$12=0,0,D22/D$12)</f>
        <v>0</v>
      </c>
      <c r="G22" s="22"/>
      <c r="H22" s="22">
        <f>SUM(OSRRefH22x_0)</f>
        <v>0</v>
      </c>
      <c r="I22" s="22"/>
      <c r="J22" s="35">
        <f t="shared" ref="J22:J31" si="16">IF(H$12=0,0,H22/H$12)</f>
        <v>0</v>
      </c>
      <c r="K22" s="4"/>
      <c r="L22" s="22">
        <f t="shared" ref="L22:L31" si="17">+D22-H22</f>
        <v>-29291.05</v>
      </c>
      <c r="M22" s="4"/>
      <c r="N22" s="35">
        <f t="shared" ref="N22:N31" si="18">IF(H22=0,0,L22/H22)</f>
        <v>0</v>
      </c>
      <c r="O22" s="10"/>
      <c r="P22" s="22">
        <f>SUM(OSRRefP22x_0)</f>
        <v>200125.53999999998</v>
      </c>
      <c r="Q22" s="22"/>
      <c r="R22" s="35">
        <f t="shared" ref="R22:R31" si="19">IF(P$12=0,0,P22/P$12)</f>
        <v>0.94809346203145228</v>
      </c>
      <c r="S22" s="22"/>
      <c r="T22" s="22">
        <f>SUM(OSRRefT22x_0)</f>
        <v>0</v>
      </c>
      <c r="U22" s="22"/>
      <c r="V22" s="35">
        <f t="shared" ref="V22:V31" si="20">IF(T$12=0,0,T22/T$12)</f>
        <v>0</v>
      </c>
      <c r="W22" s="4"/>
      <c r="X22" s="22">
        <f t="shared" ref="X22:X31" si="21">+P22-T22</f>
        <v>200125.53999999998</v>
      </c>
      <c r="Y22" s="4"/>
      <c r="Z22" s="35">
        <f t="shared" ref="Z22:Z31" si="22">IF(T22=0,0,X22/T22)</f>
        <v>0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-29291.05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-29291.05</v>
      </c>
      <c r="M23" s="1"/>
      <c r="N23" s="5">
        <f t="shared" si="18"/>
        <v>0</v>
      </c>
      <c r="O23" s="13"/>
      <c r="P23" s="1">
        <f>SUM(OSRRefP22_0x_0)</f>
        <v>34814.620000000003</v>
      </c>
      <c r="Q23" s="1"/>
      <c r="R23" s="5">
        <f t="shared" si="19"/>
        <v>0.1649340389293113</v>
      </c>
      <c r="S23" s="1"/>
      <c r="T23" s="1">
        <f>SUM(OSRRefT22_0x_0)</f>
        <v>0</v>
      </c>
      <c r="U23" s="1"/>
      <c r="V23" s="5">
        <f t="shared" si="20"/>
        <v>0</v>
      </c>
      <c r="W23" s="1"/>
      <c r="X23" s="1">
        <f t="shared" si="21"/>
        <v>34814.620000000003</v>
      </c>
      <c r="Y23" s="1"/>
      <c r="Z23" s="5">
        <f t="shared" si="22"/>
        <v>0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1"/>
      <c r="P24" s="6">
        <v>14309.01</v>
      </c>
      <c r="Q24" s="2"/>
      <c r="R24" s="7">
        <f t="shared" si="19"/>
        <v>6.7788843088906453E-2</v>
      </c>
      <c r="S24" s="2"/>
      <c r="T24" s="6"/>
      <c r="U24" s="2"/>
      <c r="V24" s="7">
        <f t="shared" si="20"/>
        <v>0</v>
      </c>
      <c r="W24" s="2"/>
      <c r="X24" s="6">
        <f t="shared" si="21"/>
        <v>14309.01</v>
      </c>
      <c r="Y24" s="2"/>
      <c r="Z24" s="7">
        <f t="shared" si="22"/>
        <v>0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1"/>
      <c r="P25" s="6">
        <v>8030.89</v>
      </c>
      <c r="Q25" s="2"/>
      <c r="R25" s="7">
        <f t="shared" si="19"/>
        <v>3.8046289860323525E-2</v>
      </c>
      <c r="S25" s="2"/>
      <c r="T25" s="6"/>
      <c r="U25" s="2"/>
      <c r="V25" s="7">
        <f t="shared" si="20"/>
        <v>0</v>
      </c>
      <c r="W25" s="2"/>
      <c r="X25" s="6">
        <f t="shared" si="21"/>
        <v>8030.89</v>
      </c>
      <c r="Y25" s="2"/>
      <c r="Z25" s="7">
        <f t="shared" si="22"/>
        <v>0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1"/>
      <c r="P26" s="6">
        <v>19739.060000000001</v>
      </c>
      <c r="Q26" s="2"/>
      <c r="R26" s="7">
        <f t="shared" si="19"/>
        <v>9.3513670132490637E-2</v>
      </c>
      <c r="S26" s="2"/>
      <c r="T26" s="6"/>
      <c r="U26" s="2"/>
      <c r="V26" s="7">
        <f t="shared" si="20"/>
        <v>0</v>
      </c>
      <c r="W26" s="2"/>
      <c r="X26" s="6">
        <f t="shared" si="21"/>
        <v>19739.060000000001</v>
      </c>
      <c r="Y26" s="2"/>
      <c r="Z26" s="7">
        <f t="shared" si="22"/>
        <v>0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1"/>
      <c r="P27" s="6">
        <v>538.16</v>
      </c>
      <c r="Q27" s="2"/>
      <c r="R27" s="7">
        <f t="shared" si="19"/>
        <v>2.5495295479369918E-3</v>
      </c>
      <c r="S27" s="2"/>
      <c r="T27" s="6"/>
      <c r="U27" s="2"/>
      <c r="V27" s="7">
        <f t="shared" si="20"/>
        <v>0</v>
      </c>
      <c r="W27" s="2"/>
      <c r="X27" s="6">
        <f t="shared" si="21"/>
        <v>538.16</v>
      </c>
      <c r="Y27" s="2"/>
      <c r="Z27" s="7">
        <f t="shared" si="22"/>
        <v>0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>
        <v>1708.59</v>
      </c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1708.59</v>
      </c>
      <c r="M28" s="2"/>
      <c r="N28" s="7">
        <f t="shared" si="18"/>
        <v>0</v>
      </c>
      <c r="O28" s="11"/>
      <c r="P28" s="6">
        <v>10221.48</v>
      </c>
      <c r="Q28" s="2"/>
      <c r="R28" s="7">
        <f t="shared" si="19"/>
        <v>4.8424195933638697E-2</v>
      </c>
      <c r="S28" s="2"/>
      <c r="T28" s="6"/>
      <c r="U28" s="2"/>
      <c r="V28" s="7">
        <f t="shared" si="20"/>
        <v>0</v>
      </c>
      <c r="W28" s="2"/>
      <c r="X28" s="6">
        <f t="shared" si="21"/>
        <v>10221.48</v>
      </c>
      <c r="Y28" s="2"/>
      <c r="Z28" s="7">
        <f t="shared" si="22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1"/>
      <c r="P29" s="6">
        <v>6534.07</v>
      </c>
      <c r="Q29" s="2"/>
      <c r="R29" s="7">
        <f t="shared" si="19"/>
        <v>3.0955114711774676E-2</v>
      </c>
      <c r="S29" s="2"/>
      <c r="T29" s="6"/>
      <c r="U29" s="2"/>
      <c r="V29" s="7">
        <f t="shared" si="20"/>
        <v>0</v>
      </c>
      <c r="W29" s="2"/>
      <c r="X29" s="6">
        <f t="shared" si="21"/>
        <v>6534.07</v>
      </c>
      <c r="Y29" s="2"/>
      <c r="Z29" s="7">
        <f t="shared" si="22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-30999.64</v>
      </c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-30999.64</v>
      </c>
      <c r="M30" s="2"/>
      <c r="N30" s="7">
        <f t="shared" si="18"/>
        <v>0</v>
      </c>
      <c r="O30" s="11"/>
      <c r="P30" s="6">
        <v>-25661.230000000003</v>
      </c>
      <c r="Q30" s="2"/>
      <c r="R30" s="7">
        <f t="shared" si="19"/>
        <v>-0.12156991251933845</v>
      </c>
      <c r="S30" s="2"/>
      <c r="T30" s="6"/>
      <c r="U30" s="2"/>
      <c r="V30" s="7">
        <f t="shared" si="20"/>
        <v>0</v>
      </c>
      <c r="W30" s="2"/>
      <c r="X30" s="6">
        <f t="shared" si="21"/>
        <v>-25661.230000000003</v>
      </c>
      <c r="Y30" s="2"/>
      <c r="Z30" s="7">
        <f t="shared" si="22"/>
        <v>0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1"/>
      <c r="P31" s="6">
        <v>1103.18</v>
      </c>
      <c r="Q31" s="2"/>
      <c r="R31" s="7">
        <f t="shared" si="19"/>
        <v>5.2263081735787328E-3</v>
      </c>
      <c r="S31" s="2"/>
      <c r="T31" s="6"/>
      <c r="U31" s="2"/>
      <c r="V31" s="7">
        <f t="shared" si="20"/>
        <v>0</v>
      </c>
      <c r="W31" s="2"/>
      <c r="X31" s="6">
        <f t="shared" si="21"/>
        <v>1103.18</v>
      </c>
      <c r="Y31" s="2"/>
      <c r="Z31" s="7">
        <f t="shared" si="22"/>
        <v>0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3">IF(D$12=0,0,D32/D$12)</f>
        <v>0</v>
      </c>
      <c r="G32" s="1"/>
      <c r="H32" s="1">
        <f>SUM(OSRRefH22_1x_0)</f>
        <v>0</v>
      </c>
      <c r="I32" s="1"/>
      <c r="J32" s="5">
        <f t="shared" ref="J32:J36" si="24">IF(H$12=0,0,H32/H$12)</f>
        <v>0</v>
      </c>
      <c r="K32" s="1"/>
      <c r="L32" s="1">
        <f t="shared" ref="L32:L36" si="25">+D32-H32</f>
        <v>0</v>
      </c>
      <c r="M32" s="1"/>
      <c r="N32" s="5">
        <f t="shared" ref="N32:N36" si="26">IF(H32=0,0,L32/H32)</f>
        <v>0</v>
      </c>
      <c r="O32" s="13"/>
      <c r="P32" s="1">
        <f>SUM(OSRRefP22_1x_0)</f>
        <v>160569.98000000001</v>
      </c>
      <c r="Q32" s="1"/>
      <c r="R32" s="5">
        <f t="shared" ref="R32:R36" si="27">IF(P$12=0,0,P32/P$12)</f>
        <v>0.76069925026321517</v>
      </c>
      <c r="S32" s="1"/>
      <c r="T32" s="1">
        <f>SUM(OSRRefT22_1x_0)</f>
        <v>0</v>
      </c>
      <c r="U32" s="1"/>
      <c r="V32" s="5">
        <f t="shared" ref="V32:V36" si="28">IF(T$12=0,0,T32/T$12)</f>
        <v>0</v>
      </c>
      <c r="W32" s="1"/>
      <c r="X32" s="1">
        <f t="shared" ref="X32:X36" si="29">+P32-T32</f>
        <v>160569.98000000001</v>
      </c>
      <c r="Y32" s="1"/>
      <c r="Z32" s="5">
        <f t="shared" ref="Z32:Z36" si="30">IF(T32=0,0,X32/T32)</f>
        <v>0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1"/>
      <c r="P33" s="6">
        <v>113004.92000000001</v>
      </c>
      <c r="Q33" s="2"/>
      <c r="R33" s="7">
        <f t="shared" si="27"/>
        <v>0.5353600836224468</v>
      </c>
      <c r="S33" s="2"/>
      <c r="T33" s="6"/>
      <c r="U33" s="2"/>
      <c r="V33" s="7">
        <f t="shared" si="28"/>
        <v>0</v>
      </c>
      <c r="W33" s="2"/>
      <c r="X33" s="6">
        <f t="shared" si="29"/>
        <v>113004.92000000001</v>
      </c>
      <c r="Y33" s="2"/>
      <c r="Z33" s="7">
        <f t="shared" si="30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1"/>
      <c r="P34" s="6">
        <v>18036.649999999998</v>
      </c>
      <c r="Q34" s="2"/>
      <c r="R34" s="7">
        <f t="shared" si="27"/>
        <v>8.5448513677712459E-2</v>
      </c>
      <c r="S34" s="2"/>
      <c r="T34" s="6"/>
      <c r="U34" s="2"/>
      <c r="V34" s="7">
        <f t="shared" si="28"/>
        <v>0</v>
      </c>
      <c r="W34" s="2"/>
      <c r="X34" s="6">
        <f t="shared" si="29"/>
        <v>18036.649999999998</v>
      </c>
      <c r="Y34" s="2"/>
      <c r="Z34" s="7">
        <f t="shared" si="30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1"/>
      <c r="P35" s="6">
        <v>25720.959999999999</v>
      </c>
      <c r="Q35" s="2"/>
      <c r="R35" s="7">
        <f t="shared" si="27"/>
        <v>0.12185288301119639</v>
      </c>
      <c r="S35" s="2"/>
      <c r="T35" s="6"/>
      <c r="U35" s="2"/>
      <c r="V35" s="7">
        <f t="shared" si="28"/>
        <v>0</v>
      </c>
      <c r="W35" s="2"/>
      <c r="X35" s="6">
        <f t="shared" si="29"/>
        <v>25720.959999999999</v>
      </c>
      <c r="Y35" s="2"/>
      <c r="Z35" s="7">
        <f t="shared" si="30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1"/>
      <c r="P36" s="6">
        <v>3807.45</v>
      </c>
      <c r="Q36" s="2"/>
      <c r="R36" s="7">
        <f t="shared" si="27"/>
        <v>1.8037769951859482E-2</v>
      </c>
      <c r="S36" s="2"/>
      <c r="T36" s="6"/>
      <c r="U36" s="2"/>
      <c r="V36" s="7">
        <f t="shared" si="28"/>
        <v>0</v>
      </c>
      <c r="W36" s="2"/>
      <c r="X36" s="6">
        <f t="shared" si="29"/>
        <v>3807.45</v>
      </c>
      <c r="Y36" s="2"/>
      <c r="Z36" s="7">
        <f t="shared" si="30"/>
        <v>0</v>
      </c>
    </row>
    <row r="37" spans="1:26" s="25" customFormat="1" outlineLevel="1" collapsed="1" x14ac:dyDescent="0.25">
      <c r="A37" s="26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7" si="31">IF(D$12=0,0,D37/D$12)</f>
        <v>0</v>
      </c>
      <c r="G37" s="1"/>
      <c r="H37" s="1">
        <f>SUM(OSRRefH22_2x_0)</f>
        <v>0</v>
      </c>
      <c r="I37" s="1"/>
      <c r="J37" s="5">
        <f t="shared" ref="J37:J47" si="32">IF(H$12=0,0,H37/H$12)</f>
        <v>0</v>
      </c>
      <c r="K37" s="1"/>
      <c r="L37" s="1">
        <f t="shared" ref="L37:L47" si="33">+D37-H37</f>
        <v>0</v>
      </c>
      <c r="M37" s="1"/>
      <c r="N37" s="5">
        <f t="shared" ref="N37:N47" si="34">IF(H37=0,0,L37/H37)</f>
        <v>0</v>
      </c>
      <c r="O37" s="13"/>
      <c r="P37" s="1">
        <f>SUM(OSRRefP22_2x_0)</f>
        <v>500</v>
      </c>
      <c r="Q37" s="1"/>
      <c r="R37" s="5">
        <f t="shared" ref="R37:R47" si="35">IF(P$12=0,0,P37/P$12)</f>
        <v>2.3687467927168424E-3</v>
      </c>
      <c r="S37" s="1"/>
      <c r="T37" s="1">
        <f>SUM(OSRRefT22_2x_0)</f>
        <v>0</v>
      </c>
      <c r="U37" s="1"/>
      <c r="V37" s="5">
        <f t="shared" ref="V37:V47" si="36">IF(T$12=0,0,T37/T$12)</f>
        <v>0</v>
      </c>
      <c r="W37" s="1"/>
      <c r="X37" s="1">
        <f t="shared" ref="X37:X47" si="37">+P37-T37</f>
        <v>500</v>
      </c>
      <c r="Y37" s="1"/>
      <c r="Z37" s="5">
        <f t="shared" ref="Z37:Z47" si="38">IF(T37=0,0,X37/T37)</f>
        <v>0</v>
      </c>
    </row>
    <row r="38" spans="1:26" s="24" customFormat="1" hidden="1" outlineLevel="2" x14ac:dyDescent="0.25">
      <c r="A38" s="27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1"/>
        <v>0</v>
      </c>
      <c r="G38" s="2"/>
      <c r="H38" s="6"/>
      <c r="I38" s="2"/>
      <c r="J38" s="7">
        <f t="shared" si="32"/>
        <v>0</v>
      </c>
      <c r="K38" s="2"/>
      <c r="L38" s="6">
        <f t="shared" si="33"/>
        <v>0</v>
      </c>
      <c r="M38" s="2"/>
      <c r="N38" s="7">
        <f t="shared" si="34"/>
        <v>0</v>
      </c>
      <c r="O38" s="11"/>
      <c r="P38" s="6">
        <v>500</v>
      </c>
      <c r="Q38" s="2"/>
      <c r="R38" s="7">
        <f t="shared" si="35"/>
        <v>2.3687467927168424E-3</v>
      </c>
      <c r="S38" s="2"/>
      <c r="T38" s="6"/>
      <c r="U38" s="2"/>
      <c r="V38" s="7">
        <f t="shared" si="36"/>
        <v>0</v>
      </c>
      <c r="W38" s="2"/>
      <c r="X38" s="6">
        <f t="shared" si="37"/>
        <v>500</v>
      </c>
      <c r="Y38" s="2"/>
      <c r="Z38" s="7">
        <f t="shared" si="38"/>
        <v>0</v>
      </c>
    </row>
    <row r="39" spans="1:26" s="25" customFormat="1" outlineLevel="1" collapsed="1" x14ac:dyDescent="0.25">
      <c r="A39" s="26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1"/>
        <v>0</v>
      </c>
      <c r="G39" s="1"/>
      <c r="H39" s="1">
        <f>SUM(OSRRefH22_3x_0)</f>
        <v>0</v>
      </c>
      <c r="I39" s="1"/>
      <c r="J39" s="5">
        <f t="shared" si="32"/>
        <v>0</v>
      </c>
      <c r="K39" s="1"/>
      <c r="L39" s="1">
        <f t="shared" si="33"/>
        <v>0</v>
      </c>
      <c r="M39" s="1"/>
      <c r="N39" s="5">
        <f t="shared" si="34"/>
        <v>0</v>
      </c>
      <c r="O39" s="13"/>
      <c r="P39" s="1">
        <f>SUM(OSRRefP22_3x_0)</f>
        <v>-1.98</v>
      </c>
      <c r="Q39" s="1"/>
      <c r="R39" s="5">
        <f t="shared" si="35"/>
        <v>-9.3802372991586962E-6</v>
      </c>
      <c r="S39" s="1"/>
      <c r="T39" s="1">
        <f>SUM(OSRRefT22_3x_0)</f>
        <v>0</v>
      </c>
      <c r="U39" s="1"/>
      <c r="V39" s="5">
        <f t="shared" si="36"/>
        <v>0</v>
      </c>
      <c r="W39" s="1"/>
      <c r="X39" s="1">
        <f t="shared" si="37"/>
        <v>-1.98</v>
      </c>
      <c r="Y39" s="1"/>
      <c r="Z39" s="5">
        <f t="shared" si="38"/>
        <v>0</v>
      </c>
    </row>
    <row r="40" spans="1:26" s="24" customFormat="1" hidden="1" outlineLevel="2" x14ac:dyDescent="0.25">
      <c r="A40" s="27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1"/>
      <c r="P40" s="6">
        <v>-1.98</v>
      </c>
      <c r="Q40" s="2"/>
      <c r="R40" s="7">
        <f t="shared" si="35"/>
        <v>-9.3802372991586962E-6</v>
      </c>
      <c r="S40" s="2"/>
      <c r="T40" s="6"/>
      <c r="U40" s="2"/>
      <c r="V40" s="7">
        <f t="shared" si="36"/>
        <v>0</v>
      </c>
      <c r="W40" s="2"/>
      <c r="X40" s="6">
        <f t="shared" si="37"/>
        <v>-1.98</v>
      </c>
      <c r="Y40" s="2"/>
      <c r="Z40" s="7">
        <f t="shared" si="38"/>
        <v>0</v>
      </c>
    </row>
    <row r="41" spans="1:26" s="25" customFormat="1" outlineLevel="1" collapsed="1" x14ac:dyDescent="0.25">
      <c r="A41" s="26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1"/>
        <v>0</v>
      </c>
      <c r="G41" s="1"/>
      <c r="H41" s="1">
        <f>SUM(OSRRefH22_4x_0)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3"/>
      <c r="P41" s="1">
        <f>SUM(OSRRefP22_4x_0)</f>
        <v>685.09</v>
      </c>
      <c r="Q41" s="1"/>
      <c r="R41" s="5">
        <f t="shared" si="35"/>
        <v>3.2456094804447634E-3</v>
      </c>
      <c r="S41" s="1"/>
      <c r="T41" s="1">
        <f>SUM(OSRRefT22_4x_0)</f>
        <v>0</v>
      </c>
      <c r="U41" s="1"/>
      <c r="V41" s="5">
        <f t="shared" si="36"/>
        <v>0</v>
      </c>
      <c r="W41" s="1"/>
      <c r="X41" s="1">
        <f t="shared" si="37"/>
        <v>685.09</v>
      </c>
      <c r="Y41" s="1"/>
      <c r="Z41" s="5">
        <f t="shared" si="38"/>
        <v>0</v>
      </c>
    </row>
    <row r="42" spans="1:26" s="24" customFormat="1" hidden="1" outlineLevel="2" x14ac:dyDescent="0.25">
      <c r="A42" s="27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1"/>
      <c r="P42" s="6">
        <v>685.09</v>
      </c>
      <c r="Q42" s="2"/>
      <c r="R42" s="7">
        <f t="shared" si="35"/>
        <v>3.2456094804447634E-3</v>
      </c>
      <c r="S42" s="2"/>
      <c r="T42" s="6"/>
      <c r="U42" s="2"/>
      <c r="V42" s="7">
        <f t="shared" si="36"/>
        <v>0</v>
      </c>
      <c r="W42" s="2"/>
      <c r="X42" s="6">
        <f t="shared" si="37"/>
        <v>685.09</v>
      </c>
      <c r="Y42" s="2"/>
      <c r="Z42" s="7">
        <f t="shared" si="38"/>
        <v>0</v>
      </c>
    </row>
    <row r="43" spans="1:26" s="25" customFormat="1" outlineLevel="1" collapsed="1" x14ac:dyDescent="0.25">
      <c r="A43" s="26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SUM(OSRRefD22_5x_0)</f>
        <v>0</v>
      </c>
      <c r="E43" s="1"/>
      <c r="F43" s="5">
        <f t="shared" si="31"/>
        <v>0</v>
      </c>
      <c r="G43" s="1"/>
      <c r="H43" s="1">
        <f>SUM(OSRRefH22_5x_0)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3"/>
      <c r="P43" s="1">
        <f>SUM(OSRRefP22_5x_0)</f>
        <v>1151.21</v>
      </c>
      <c r="Q43" s="1"/>
      <c r="R43" s="5">
        <f t="shared" si="35"/>
        <v>5.4538499904871127E-3</v>
      </c>
      <c r="S43" s="1"/>
      <c r="T43" s="1">
        <f>SUM(OSRRefT22_5x_0)</f>
        <v>0</v>
      </c>
      <c r="U43" s="1"/>
      <c r="V43" s="5">
        <f t="shared" si="36"/>
        <v>0</v>
      </c>
      <c r="W43" s="1"/>
      <c r="X43" s="1">
        <f t="shared" si="37"/>
        <v>1151.21</v>
      </c>
      <c r="Y43" s="1"/>
      <c r="Z43" s="5">
        <f t="shared" si="38"/>
        <v>0</v>
      </c>
    </row>
    <row r="44" spans="1:26" s="24" customFormat="1" hidden="1" outlineLevel="2" x14ac:dyDescent="0.25">
      <c r="A44" s="27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1"/>
      <c r="P44" s="6">
        <v>1151.21</v>
      </c>
      <c r="Q44" s="2"/>
      <c r="R44" s="7">
        <f t="shared" si="35"/>
        <v>5.4538499904871127E-3</v>
      </c>
      <c r="S44" s="2"/>
      <c r="T44" s="6"/>
      <c r="U44" s="2"/>
      <c r="V44" s="7">
        <f t="shared" si="36"/>
        <v>0</v>
      </c>
      <c r="W44" s="2"/>
      <c r="X44" s="6">
        <f t="shared" si="37"/>
        <v>1151.21</v>
      </c>
      <c r="Y44" s="2"/>
      <c r="Z44" s="7">
        <f t="shared" si="38"/>
        <v>0</v>
      </c>
    </row>
    <row r="45" spans="1:26" s="25" customFormat="1" outlineLevel="1" collapsed="1" x14ac:dyDescent="0.25">
      <c r="A45" s="26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SUM(OSRRefD22_6x_0)</f>
        <v>0</v>
      </c>
      <c r="E45" s="1"/>
      <c r="F45" s="5">
        <f t="shared" si="31"/>
        <v>0</v>
      </c>
      <c r="G45" s="1"/>
      <c r="H45" s="1">
        <f>SUM(OSRRefH22_6x_0)</f>
        <v>0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3"/>
      <c r="P45" s="1">
        <f>SUM(OSRRefP22_6x_0)</f>
        <v>1137.47</v>
      </c>
      <c r="Q45" s="1"/>
      <c r="R45" s="5">
        <f t="shared" si="35"/>
        <v>5.388756828623254E-3</v>
      </c>
      <c r="S45" s="1"/>
      <c r="T45" s="1">
        <f>SUM(OSRRefT22_6x_0)</f>
        <v>0</v>
      </c>
      <c r="U45" s="1"/>
      <c r="V45" s="5">
        <f t="shared" si="36"/>
        <v>0</v>
      </c>
      <c r="W45" s="1"/>
      <c r="X45" s="1">
        <f t="shared" si="37"/>
        <v>1137.47</v>
      </c>
      <c r="Y45" s="1"/>
      <c r="Z45" s="5">
        <f t="shared" si="38"/>
        <v>0</v>
      </c>
    </row>
    <row r="46" spans="1:26" s="24" customFormat="1" hidden="1" outlineLevel="2" x14ac:dyDescent="0.25">
      <c r="A46" s="27"/>
      <c r="B46" s="11" t="str">
        <f>CONCATENATE("          ", "6241", " - ", "OFFICE EXPENSE")</f>
        <v xml:space="preserve">          6241 - OFFICE EXPENSE</v>
      </c>
      <c r="C46" s="11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1"/>
      <c r="P46" s="6">
        <v>914.08</v>
      </c>
      <c r="Q46" s="2"/>
      <c r="R46" s="7">
        <f t="shared" si="35"/>
        <v>4.330448136573223E-3</v>
      </c>
      <c r="S46" s="2"/>
      <c r="T46" s="6"/>
      <c r="U46" s="2"/>
      <c r="V46" s="7">
        <f t="shared" si="36"/>
        <v>0</v>
      </c>
      <c r="W46" s="2"/>
      <c r="X46" s="6">
        <f t="shared" si="37"/>
        <v>914.08</v>
      </c>
      <c r="Y46" s="2"/>
      <c r="Z46" s="7">
        <f t="shared" si="38"/>
        <v>0</v>
      </c>
    </row>
    <row r="47" spans="1:26" s="24" customFormat="1" hidden="1" outlineLevel="2" x14ac:dyDescent="0.25">
      <c r="A47" s="27"/>
      <c r="B47" s="11" t="str">
        <f>CONCATENATE("          ", "6247", " - ", "STORE SUPPLIES")</f>
        <v xml:space="preserve">          6247 - STORE SUPPLIES</v>
      </c>
      <c r="C47" s="11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1"/>
      <c r="P47" s="6">
        <v>223.39</v>
      </c>
      <c r="Q47" s="2"/>
      <c r="R47" s="7">
        <f t="shared" si="35"/>
        <v>1.0583086920500308E-3</v>
      </c>
      <c r="S47" s="2"/>
      <c r="T47" s="6"/>
      <c r="U47" s="2"/>
      <c r="V47" s="7">
        <f t="shared" si="36"/>
        <v>0</v>
      </c>
      <c r="W47" s="2"/>
      <c r="X47" s="6">
        <f t="shared" si="37"/>
        <v>223.39</v>
      </c>
      <c r="Y47" s="2"/>
      <c r="Z47" s="7">
        <f t="shared" si="38"/>
        <v>0</v>
      </c>
    </row>
    <row r="48" spans="1:26" s="25" customFormat="1" outlineLevel="1" collapsed="1" x14ac:dyDescent="0.25">
      <c r="A48" s="26"/>
      <c r="B48" s="13" t="str">
        <f>CONCATENATE("     ","Travel                                            ")</f>
        <v xml:space="preserve">     Travel                                            </v>
      </c>
      <c r="C48" s="13"/>
      <c r="D48" s="1">
        <f>SUM(OSRRefD22_7x_0)</f>
        <v>0</v>
      </c>
      <c r="E48" s="1"/>
      <c r="F48" s="5">
        <f t="shared" ref="F48:F49" si="39">IF(D$12=0,0,D48/D$12)</f>
        <v>0</v>
      </c>
      <c r="G48" s="1"/>
      <c r="H48" s="1">
        <f>SUM(OSRRefH22_7x_0)</f>
        <v>0</v>
      </c>
      <c r="I48" s="1"/>
      <c r="J48" s="5">
        <f t="shared" ref="J48:J49" si="40">IF(H$12=0,0,H48/H$12)</f>
        <v>0</v>
      </c>
      <c r="K48" s="1"/>
      <c r="L48" s="1">
        <f t="shared" ref="L48:L49" si="41">+D48-H48</f>
        <v>0</v>
      </c>
      <c r="M48" s="1"/>
      <c r="N48" s="5">
        <f t="shared" ref="N48:N49" si="42">IF(H48=0,0,L48/H48)</f>
        <v>0</v>
      </c>
      <c r="O48" s="13"/>
      <c r="P48" s="1">
        <f>SUM(OSRRefP22_7x_0)</f>
        <v>1269.1500000000001</v>
      </c>
      <c r="Q48" s="1"/>
      <c r="R48" s="5">
        <f t="shared" ref="R48:R49" si="43">IF(P$12=0,0,P48/P$12)</f>
        <v>6.0125899839531616E-3</v>
      </c>
      <c r="S48" s="1"/>
      <c r="T48" s="1">
        <f>SUM(OSRRefT22_7x_0)</f>
        <v>0</v>
      </c>
      <c r="U48" s="1"/>
      <c r="V48" s="5">
        <f t="shared" ref="V48:V49" si="44">IF(T$12=0,0,T48/T$12)</f>
        <v>0</v>
      </c>
      <c r="W48" s="1"/>
      <c r="X48" s="1">
        <f t="shared" ref="X48:X49" si="45">+P48-T48</f>
        <v>1269.1500000000001</v>
      </c>
      <c r="Y48" s="1"/>
      <c r="Z48" s="5">
        <f t="shared" ref="Z48:Z49" si="46">IF(T48=0,0,X48/T48)</f>
        <v>0</v>
      </c>
    </row>
    <row r="49" spans="1:26" s="24" customFormat="1" hidden="1" outlineLevel="2" x14ac:dyDescent="0.25">
      <c r="A49" s="27"/>
      <c r="B49" s="11" t="str">
        <f>CONCATENATE("          ", "6292", " - ", "TRAVEL/CONFERENCE")</f>
        <v xml:space="preserve">          6292 - TRAVEL/CONFERENCE</v>
      </c>
      <c r="C49" s="11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1"/>
      <c r="P49" s="6">
        <v>1269.1500000000001</v>
      </c>
      <c r="Q49" s="2"/>
      <c r="R49" s="7">
        <f t="shared" si="43"/>
        <v>6.0125899839531616E-3</v>
      </c>
      <c r="S49" s="2"/>
      <c r="T49" s="6"/>
      <c r="U49" s="2"/>
      <c r="V49" s="7">
        <f t="shared" si="44"/>
        <v>0</v>
      </c>
      <c r="W49" s="2"/>
      <c r="X49" s="6">
        <f t="shared" si="45"/>
        <v>1269.1500000000001</v>
      </c>
      <c r="Y49" s="2"/>
      <c r="Z49" s="7">
        <f t="shared" si="46"/>
        <v>0</v>
      </c>
    </row>
    <row r="50" spans="1:26" s="53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9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3</v>
      </c>
      <c r="C53" s="28"/>
      <c r="D53" s="21">
        <f>+D20-D22+D51</f>
        <v>29291.05</v>
      </c>
      <c r="E53" s="14"/>
      <c r="F53" s="20">
        <f>IF(D$12=0,0,D53/D$12)</f>
        <v>0</v>
      </c>
      <c r="G53" s="14"/>
      <c r="H53" s="21">
        <f>+H20-H22+H51</f>
        <v>0</v>
      </c>
      <c r="I53" s="14"/>
      <c r="J53" s="20">
        <f>IF(H$12=0,0,H53/H$12)</f>
        <v>0</v>
      </c>
      <c r="K53" s="15"/>
      <c r="L53" s="21">
        <f>+D53-H53</f>
        <v>29291.05</v>
      </c>
      <c r="M53" s="15"/>
      <c r="N53" s="20">
        <f>IF(H53=0,0,L53/H53)</f>
        <v>0</v>
      </c>
      <c r="O53" s="29"/>
      <c r="P53" s="21">
        <f>+P20-P22+P51</f>
        <v>1161.3000000000466</v>
      </c>
      <c r="Q53" s="14"/>
      <c r="R53" s="20">
        <f>IF(P$12=0,0,P53/P$12)</f>
        <v>5.5016513007643594E-3</v>
      </c>
      <c r="S53" s="14"/>
      <c r="T53" s="21">
        <f>+T20-T22+T51</f>
        <v>0</v>
      </c>
      <c r="U53" s="14"/>
      <c r="V53" s="20">
        <f>IF(T$12=0,0,T53/T$12)</f>
        <v>0</v>
      </c>
      <c r="W53" s="15"/>
      <c r="X53" s="21">
        <f>+P53-T53</f>
        <v>1161.3000000000466</v>
      </c>
      <c r="Y53" s="15"/>
      <c r="Z53" s="20">
        <f>IF(T53=0,0,X53/T53)</f>
        <v>0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1"/>
      <c r="B55" s="10" t="s">
        <v>13</v>
      </c>
      <c r="C55" s="10"/>
      <c r="D55" s="4">
        <v>1348.9</v>
      </c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1348.9</v>
      </c>
      <c r="M55" s="4"/>
      <c r="N55" s="12">
        <f>IF(H55=0,0,L55/H55)</f>
        <v>0</v>
      </c>
      <c r="O55" s="10"/>
      <c r="P55" s="4">
        <v>23966.86</v>
      </c>
      <c r="Q55" s="4"/>
      <c r="R55" s="12">
        <f>IF(P$12=0,0,P55/P$12)</f>
        <v>0.11354284551298717</v>
      </c>
      <c r="S55" s="4"/>
      <c r="T55" s="4"/>
      <c r="U55" s="4"/>
      <c r="V55" s="12">
        <f>IF(T$12=0,0,T55/T$12)</f>
        <v>0</v>
      </c>
      <c r="W55" s="4"/>
      <c r="X55" s="4">
        <f>+P55-T55</f>
        <v>23966.86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4</v>
      </c>
      <c r="C57" s="28"/>
      <c r="D57" s="30">
        <f>+D53-D55</f>
        <v>27942.149999999998</v>
      </c>
      <c r="E57" s="14"/>
      <c r="F57" s="36">
        <f>IF(D$12=0,0,D57/D$12)</f>
        <v>0</v>
      </c>
      <c r="G57" s="14"/>
      <c r="H57" s="30">
        <f>+H53-H55</f>
        <v>0</v>
      </c>
      <c r="I57" s="14"/>
      <c r="J57" s="36">
        <f>IF(H$12=0,0,H57/H$12)</f>
        <v>0</v>
      </c>
      <c r="K57" s="15"/>
      <c r="L57" s="30">
        <f>D57-H57</f>
        <v>27942.149999999998</v>
      </c>
      <c r="M57" s="15"/>
      <c r="N57" s="36">
        <f>IF(H57=0,0,L57/H57)</f>
        <v>0</v>
      </c>
      <c r="O57" s="29"/>
      <c r="P57" s="30">
        <f>+P53-P55</f>
        <v>-22805.559999999954</v>
      </c>
      <c r="Q57" s="14"/>
      <c r="R57" s="36">
        <f>IF(P$12=0,0,P57/P$12)</f>
        <v>-0.10804119421222282</v>
      </c>
      <c r="S57" s="14"/>
      <c r="T57" s="30">
        <f>+T53-T55</f>
        <v>0</v>
      </c>
      <c r="U57" s="14"/>
      <c r="V57" s="36">
        <f>IF(T$12=0,0,T57/T$12)</f>
        <v>0</v>
      </c>
      <c r="W57" s="15"/>
      <c r="X57" s="30">
        <f>P57-T57</f>
        <v>-22805.559999999954</v>
      </c>
      <c r="Y57" s="15"/>
      <c r="Z57" s="36">
        <f>IF(T57=0,0,X57/T57)</f>
        <v>0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8" t="s">
        <v>5</v>
      </c>
      <c r="C60" s="28"/>
      <c r="D60" s="31">
        <f>SUM(D57:D59)</f>
        <v>27942.149999999998</v>
      </c>
      <c r="E60" s="14"/>
      <c r="F60" s="32">
        <f>IF(D$12=0,0,D60/D$12)</f>
        <v>0</v>
      </c>
      <c r="G60" s="14"/>
      <c r="H60" s="31">
        <f>SUM(H57:H59)</f>
        <v>0</v>
      </c>
      <c r="I60" s="14"/>
      <c r="J60" s="32">
        <f>IF(H$12=0,0,H60/H$12)</f>
        <v>0</v>
      </c>
      <c r="K60" s="15"/>
      <c r="L60" s="31">
        <f>+D60-H60</f>
        <v>27942.149999999998</v>
      </c>
      <c r="M60" s="15"/>
      <c r="N60" s="32">
        <f>IF(H60=0,0,L60/H60)</f>
        <v>0</v>
      </c>
      <c r="O60" s="29"/>
      <c r="P60" s="31">
        <f>SUM(P57:P59)</f>
        <v>-22805.559999999954</v>
      </c>
      <c r="Q60" s="14"/>
      <c r="R60" s="32">
        <f>IF(P$12=0,0,P60/P$12)</f>
        <v>-0.10804119421222282</v>
      </c>
      <c r="S60" s="14"/>
      <c r="T60" s="31">
        <f>SUM(T57:T59)</f>
        <v>0</v>
      </c>
      <c r="U60" s="14"/>
      <c r="V60" s="32">
        <f>IF(T$12=0,0,T60/T$12)</f>
        <v>0</v>
      </c>
      <c r="W60" s="15"/>
      <c r="X60" s="31">
        <f>+P60-T60</f>
        <v>-22805.559999999954</v>
      </c>
      <c r="Y60" s="15"/>
      <c r="Z60" s="32">
        <f>IF(T60=0,0,X60/T60)</f>
        <v>0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54">
        <v>43965.471394409724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59" t="s">
        <v>313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61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4:24" x14ac:dyDescent="0.25"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","413", " - ", "Beach Walk")</f>
        <v>Department 413 - Beach Walk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41739.81</v>
      </c>
      <c r="I12" s="4"/>
      <c r="J12" s="12"/>
      <c r="K12" s="4"/>
      <c r="L12" s="4">
        <f t="shared" ref="L12:L14" si="0">+D12-H12</f>
        <v>-41739.81</v>
      </c>
      <c r="M12" s="4"/>
      <c r="N12" s="12">
        <f t="shared" ref="N12:N14" si="1">IF(H12=0,0,L12/H12)</f>
        <v>-1</v>
      </c>
      <c r="O12" s="10"/>
      <c r="P12" s="4">
        <f>SUM(OSRRefP13x_0)</f>
        <v>255048.55</v>
      </c>
      <c r="Q12" s="4"/>
      <c r="R12" s="12"/>
      <c r="S12" s="4"/>
      <c r="T12" s="4">
        <f>SUM(OSRRefT13x_0)</f>
        <v>334615.32</v>
      </c>
      <c r="U12" s="4"/>
      <c r="V12" s="12"/>
      <c r="W12" s="4"/>
      <c r="X12" s="4">
        <f t="shared" ref="X12:X14" si="2">+P12-T12</f>
        <v>-79566.770000000019</v>
      </c>
      <c r="Y12" s="4"/>
      <c r="Z12" s="12">
        <f t="shared" ref="Z12:Z14" si="3">IF(T12=0,0,X12/T12)</f>
        <v>-0.23778579534254443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--10114.14</f>
        <v>10114.14</v>
      </c>
      <c r="I13" s="2"/>
      <c r="J13" s="19"/>
      <c r="K13" s="2"/>
      <c r="L13" s="2">
        <f t="shared" si="0"/>
        <v>-10114.14</v>
      </c>
      <c r="M13" s="2"/>
      <c r="N13" s="19">
        <f t="shared" si="1"/>
        <v>-1</v>
      </c>
      <c r="O13" s="11"/>
      <c r="P13" s="2">
        <f>--57510.69</f>
        <v>57510.69</v>
      </c>
      <c r="Q13" s="2"/>
      <c r="R13" s="19"/>
      <c r="S13" s="2"/>
      <c r="T13" s="2">
        <f>--90113.04</f>
        <v>90113.04</v>
      </c>
      <c r="U13" s="2"/>
      <c r="V13" s="19"/>
      <c r="W13" s="2"/>
      <c r="X13" s="2">
        <f t="shared" si="2"/>
        <v>-32602.349999999991</v>
      </c>
      <c r="Y13" s="2"/>
      <c r="Z13" s="19">
        <f t="shared" si="3"/>
        <v>-0.36179392016960027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--31625.67</f>
        <v>31625.67</v>
      </c>
      <c r="I14" s="2"/>
      <c r="J14" s="19"/>
      <c r="K14" s="2"/>
      <c r="L14" s="2">
        <f t="shared" si="0"/>
        <v>-31625.67</v>
      </c>
      <c r="M14" s="2"/>
      <c r="N14" s="19">
        <f t="shared" si="1"/>
        <v>-1</v>
      </c>
      <c r="O14" s="11"/>
      <c r="P14" s="2">
        <f>--197537.86</f>
        <v>197537.86</v>
      </c>
      <c r="Q14" s="2"/>
      <c r="R14" s="19"/>
      <c r="S14" s="2"/>
      <c r="T14" s="2">
        <f>--244502.28</f>
        <v>244502.28</v>
      </c>
      <c r="U14" s="2"/>
      <c r="V14" s="19"/>
      <c r="W14" s="2"/>
      <c r="X14" s="2">
        <f t="shared" si="2"/>
        <v>-46964.420000000013</v>
      </c>
      <c r="Y14" s="2"/>
      <c r="Z14" s="19">
        <f t="shared" si="3"/>
        <v>-0.19208172619085603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9325</v>
      </c>
      <c r="E16" s="4"/>
      <c r="F16" s="12">
        <f t="shared" ref="F16:F18" si="5">IF(D$12=0,0,D16/D$12)</f>
        <v>0</v>
      </c>
      <c r="G16" s="4"/>
      <c r="H16" s="4">
        <f>SUM(OSRRefH16x_0)</f>
        <v>13711.4</v>
      </c>
      <c r="I16" s="4"/>
      <c r="J16" s="12">
        <f t="shared" ref="J16:J18" si="6">IF(H$12=0,0,H16/H$12)</f>
        <v>0.32849694332580814</v>
      </c>
      <c r="K16" s="4"/>
      <c r="L16" s="4">
        <f t="shared" ref="L16:L18" si="7">+D16-H16</f>
        <v>-4386.3999999999996</v>
      </c>
      <c r="M16" s="4"/>
      <c r="N16" s="12">
        <f t="shared" ref="N16:N18" si="8">IF(H16=0,0,L16/H16)</f>
        <v>-0.31990898084805341</v>
      </c>
      <c r="O16" s="10"/>
      <c r="P16" s="4">
        <f>SUM(OSRRefP16x_0)</f>
        <v>92282.459999999992</v>
      </c>
      <c r="Q16" s="4"/>
      <c r="R16" s="12">
        <f t="shared" ref="R16:R18" si="9">IF(P$12=0,0,P16/P$12)</f>
        <v>0.36182311171735732</v>
      </c>
      <c r="S16" s="4"/>
      <c r="T16" s="4">
        <f>SUM(OSRRefT16x_0)</f>
        <v>98066.14</v>
      </c>
      <c r="U16" s="4"/>
      <c r="V16" s="12">
        <f t="shared" ref="V16:V18" si="10">IF(T$12=0,0,T16/T$12)</f>
        <v>0.29307127958158041</v>
      </c>
      <c r="W16" s="4"/>
      <c r="X16" s="4">
        <f t="shared" ref="X16:X18" si="11">+P16-T16</f>
        <v>-5783.6800000000076</v>
      </c>
      <c r="Y16" s="4"/>
      <c r="Z16" s="12">
        <f t="shared" ref="Z16:Z18" si="12">IF(T16=0,0,X16/T16)</f>
        <v>-5.8977339171298139E-2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14575.57</v>
      </c>
      <c r="I17" s="2"/>
      <c r="J17" s="19">
        <f t="shared" si="6"/>
        <v>0.34920067915977576</v>
      </c>
      <c r="K17" s="2"/>
      <c r="L17" s="2">
        <f t="shared" si="7"/>
        <v>-14575.57</v>
      </c>
      <c r="M17" s="2"/>
      <c r="N17" s="19">
        <f t="shared" si="8"/>
        <v>-1</v>
      </c>
      <c r="O17" s="11"/>
      <c r="P17" s="2">
        <v>90960.51999999999</v>
      </c>
      <c r="Q17" s="2"/>
      <c r="R17" s="19">
        <f t="shared" si="9"/>
        <v>0.3566400201059759</v>
      </c>
      <c r="S17" s="2"/>
      <c r="T17" s="2">
        <v>112963.37</v>
      </c>
      <c r="U17" s="2"/>
      <c r="V17" s="19">
        <f t="shared" si="10"/>
        <v>0.3375917456499003</v>
      </c>
      <c r="W17" s="2"/>
      <c r="X17" s="2">
        <f t="shared" si="11"/>
        <v>-22002.850000000006</v>
      </c>
      <c r="Y17" s="2"/>
      <c r="Z17" s="19">
        <f t="shared" si="12"/>
        <v>-0.19477862602718038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9325</v>
      </c>
      <c r="E18" s="2"/>
      <c r="F18" s="19">
        <f t="shared" si="5"/>
        <v>0</v>
      </c>
      <c r="G18" s="2"/>
      <c r="H18" s="2">
        <v>-864.17</v>
      </c>
      <c r="I18" s="2"/>
      <c r="J18" s="19">
        <f t="shared" si="6"/>
        <v>-2.0703735833967622E-2</v>
      </c>
      <c r="K18" s="2"/>
      <c r="L18" s="2">
        <f t="shared" si="7"/>
        <v>10189.17</v>
      </c>
      <c r="M18" s="2"/>
      <c r="N18" s="19">
        <f t="shared" si="8"/>
        <v>-11.790700903757363</v>
      </c>
      <c r="O18" s="11"/>
      <c r="P18" s="2">
        <v>1321.94</v>
      </c>
      <c r="Q18" s="2"/>
      <c r="R18" s="19">
        <f t="shared" si="9"/>
        <v>5.183091611381441E-3</v>
      </c>
      <c r="S18" s="2"/>
      <c r="T18" s="2">
        <v>-14897.230000000001</v>
      </c>
      <c r="U18" s="2"/>
      <c r="V18" s="19">
        <f t="shared" si="10"/>
        <v>-4.4520466068319886E-2</v>
      </c>
      <c r="W18" s="2"/>
      <c r="X18" s="2">
        <f t="shared" si="11"/>
        <v>16219.170000000002</v>
      </c>
      <c r="Y18" s="2"/>
      <c r="Z18" s="19">
        <f t="shared" si="12"/>
        <v>-1.0887373021695981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-9325</v>
      </c>
      <c r="E20" s="14"/>
      <c r="F20" s="20">
        <f>IF(D$12=0,0,D20/D$12)</f>
        <v>0</v>
      </c>
      <c r="G20" s="14"/>
      <c r="H20" s="21">
        <f>H12-H16</f>
        <v>28028.409999999996</v>
      </c>
      <c r="I20" s="14"/>
      <c r="J20" s="20">
        <f>IF(H$12=0,0,H20/H$12)</f>
        <v>0.67150305667419186</v>
      </c>
      <c r="K20" s="15"/>
      <c r="L20" s="21">
        <f>+D20-H20</f>
        <v>-37353.409999999996</v>
      </c>
      <c r="M20" s="15"/>
      <c r="N20" s="20">
        <f>IF(H20=0,0,L20/H20)</f>
        <v>-1.3326981444898232</v>
      </c>
      <c r="O20" s="29"/>
      <c r="P20" s="21">
        <f>P12-P16</f>
        <v>162766.09</v>
      </c>
      <c r="Q20" s="14"/>
      <c r="R20" s="20">
        <f>IF(P$12=0,0,P20/P$12)</f>
        <v>0.63817688828264263</v>
      </c>
      <c r="S20" s="14"/>
      <c r="T20" s="21">
        <f>T12-T16</f>
        <v>236549.18</v>
      </c>
      <c r="U20" s="14"/>
      <c r="V20" s="20">
        <f>IF(T$12=0,0,T20/T$12)</f>
        <v>0.70692872041841959</v>
      </c>
      <c r="W20" s="15"/>
      <c r="X20" s="21">
        <f>+P20-T20</f>
        <v>-73783.09</v>
      </c>
      <c r="Y20" s="15"/>
      <c r="Z20" s="20">
        <f>IF(T20=0,0,X20/T20)</f>
        <v>-0.31191437653683685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4817.079999999999</v>
      </c>
      <c r="E22" s="22"/>
      <c r="F22" s="35">
        <f t="shared" ref="F22:F31" si="13">IF(D$12=0,0,D22/D$12)</f>
        <v>0</v>
      </c>
      <c r="G22" s="22"/>
      <c r="H22" s="22">
        <f>SUM(OSRRefH22x_0)</f>
        <v>16670.12</v>
      </c>
      <c r="I22" s="22"/>
      <c r="J22" s="35">
        <f t="shared" ref="J22:J31" si="14">IF(H$12=0,0,H22/H$12)</f>
        <v>0.39938178923191076</v>
      </c>
      <c r="K22" s="4"/>
      <c r="L22" s="22">
        <f t="shared" ref="L22:L31" si="15">+D22-H22</f>
        <v>-11853.04</v>
      </c>
      <c r="M22" s="4"/>
      <c r="N22" s="35">
        <f t="shared" ref="N22:N31" si="16">IF(H22=0,0,L22/H22)</f>
        <v>-0.71103507353276407</v>
      </c>
      <c r="O22" s="10"/>
      <c r="P22" s="22">
        <f>SUM(OSRRefP22x_0)</f>
        <v>188843.53999999992</v>
      </c>
      <c r="Q22" s="22"/>
      <c r="R22" s="35">
        <f t="shared" ref="R22:R31" si="17">IF(P$12=0,0,P22/P$12)</f>
        <v>0.7404219314322702</v>
      </c>
      <c r="S22" s="22"/>
      <c r="T22" s="22">
        <f>SUM(OSRRefT22x_0)</f>
        <v>187844.33000000002</v>
      </c>
      <c r="U22" s="22"/>
      <c r="V22" s="35">
        <f t="shared" ref="V22:V31" si="18">IF(T$12=0,0,T22/T$12)</f>
        <v>0.56137396817336405</v>
      </c>
      <c r="W22" s="4"/>
      <c r="X22" s="22">
        <f t="shared" ref="X22:X31" si="19">+P22-T22</f>
        <v>999.20999999990454</v>
      </c>
      <c r="Y22" s="4"/>
      <c r="Z22" s="35">
        <f t="shared" ref="Z22:Z31" si="20">IF(T22=0,0,X22/T22)</f>
        <v>5.3193514012368883E-3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2720.6</v>
      </c>
      <c r="E23" s="1"/>
      <c r="F23" s="5">
        <f t="shared" si="13"/>
        <v>0</v>
      </c>
      <c r="G23" s="1"/>
      <c r="H23" s="1">
        <f>SUM(OSRRefH22_0x_0)</f>
        <v>3240</v>
      </c>
      <c r="I23" s="1"/>
      <c r="J23" s="5">
        <f t="shared" si="14"/>
        <v>7.7623736188545178E-2</v>
      </c>
      <c r="K23" s="1"/>
      <c r="L23" s="1">
        <f t="shared" si="15"/>
        <v>-519.40000000000009</v>
      </c>
      <c r="M23" s="1"/>
      <c r="N23" s="5">
        <f t="shared" si="16"/>
        <v>-0.16030864197530867</v>
      </c>
      <c r="O23" s="13"/>
      <c r="P23" s="1">
        <f>SUM(OSRRefP22_0x_0)</f>
        <v>35281.060000000005</v>
      </c>
      <c r="Q23" s="1"/>
      <c r="R23" s="5">
        <f t="shared" si="17"/>
        <v>0.1383307609472785</v>
      </c>
      <c r="S23" s="1"/>
      <c r="T23" s="1">
        <f>SUM(OSRRefT22_0x_0)</f>
        <v>33980.449999999997</v>
      </c>
      <c r="U23" s="1"/>
      <c r="V23" s="5">
        <f t="shared" si="18"/>
        <v>0.10155078972475019</v>
      </c>
      <c r="W23" s="1"/>
      <c r="X23" s="1">
        <f t="shared" si="19"/>
        <v>1300.6100000000079</v>
      </c>
      <c r="Y23" s="1"/>
      <c r="Z23" s="5">
        <f t="shared" si="20"/>
        <v>3.8275243559164403E-2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>
        <v>605.75</v>
      </c>
      <c r="E24" s="2"/>
      <c r="F24" s="7">
        <f t="shared" si="13"/>
        <v>0</v>
      </c>
      <c r="G24" s="2"/>
      <c r="H24" s="6">
        <v>623.03</v>
      </c>
      <c r="I24" s="2"/>
      <c r="J24" s="7">
        <f t="shared" si="14"/>
        <v>1.492651739430534E-2</v>
      </c>
      <c r="K24" s="2"/>
      <c r="L24" s="6">
        <f t="shared" si="15"/>
        <v>-17.279999999999973</v>
      </c>
      <c r="M24" s="2"/>
      <c r="N24" s="7">
        <f t="shared" si="16"/>
        <v>-2.7735422050302511E-2</v>
      </c>
      <c r="O24" s="11"/>
      <c r="P24" s="6">
        <v>6915.76</v>
      </c>
      <c r="Q24" s="2"/>
      <c r="R24" s="7">
        <f t="shared" si="17"/>
        <v>2.711546487913772E-2</v>
      </c>
      <c r="S24" s="2"/>
      <c r="T24" s="6">
        <v>6474.83</v>
      </c>
      <c r="U24" s="2"/>
      <c r="V24" s="7">
        <f t="shared" si="18"/>
        <v>1.9350070403231986E-2</v>
      </c>
      <c r="W24" s="2"/>
      <c r="X24" s="6">
        <f t="shared" si="19"/>
        <v>440.93000000000029</v>
      </c>
      <c r="Y24" s="2"/>
      <c r="Z24" s="7">
        <f t="shared" si="20"/>
        <v>6.8099085226948089E-2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241.25</v>
      </c>
      <c r="E25" s="2"/>
      <c r="F25" s="7">
        <f t="shared" si="13"/>
        <v>0</v>
      </c>
      <c r="G25" s="2"/>
      <c r="H25" s="6">
        <v>412.86</v>
      </c>
      <c r="I25" s="2"/>
      <c r="J25" s="7">
        <f t="shared" si="14"/>
        <v>9.8912764576551751E-3</v>
      </c>
      <c r="K25" s="2"/>
      <c r="L25" s="6">
        <f t="shared" si="15"/>
        <v>-171.61</v>
      </c>
      <c r="M25" s="2"/>
      <c r="N25" s="7">
        <f t="shared" si="16"/>
        <v>-0.41566148331153419</v>
      </c>
      <c r="O25" s="11"/>
      <c r="P25" s="6">
        <v>4287.18</v>
      </c>
      <c r="Q25" s="2"/>
      <c r="R25" s="7">
        <f t="shared" si="17"/>
        <v>1.6809270235019963E-2</v>
      </c>
      <c r="S25" s="2"/>
      <c r="T25" s="6">
        <v>3840.04</v>
      </c>
      <c r="U25" s="2"/>
      <c r="V25" s="7">
        <f t="shared" si="18"/>
        <v>1.1475983825247451E-2</v>
      </c>
      <c r="W25" s="2"/>
      <c r="X25" s="6">
        <f t="shared" si="19"/>
        <v>447.14000000000033</v>
      </c>
      <c r="Y25" s="2"/>
      <c r="Z25" s="7">
        <f t="shared" si="20"/>
        <v>0.11644149540108965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>
        <v>718.51</v>
      </c>
      <c r="E26" s="2"/>
      <c r="F26" s="7">
        <f t="shared" si="13"/>
        <v>0</v>
      </c>
      <c r="G26" s="2"/>
      <c r="H26" s="6">
        <v>1286.5999999999999</v>
      </c>
      <c r="I26" s="2"/>
      <c r="J26" s="7">
        <f t="shared" si="14"/>
        <v>3.0824289808698217E-2</v>
      </c>
      <c r="K26" s="2"/>
      <c r="L26" s="6">
        <f t="shared" si="15"/>
        <v>-568.08999999999992</v>
      </c>
      <c r="M26" s="2"/>
      <c r="N26" s="7">
        <f t="shared" si="16"/>
        <v>-0.44154360329550751</v>
      </c>
      <c r="O26" s="11"/>
      <c r="P26" s="6">
        <v>12581.36</v>
      </c>
      <c r="Q26" s="2"/>
      <c r="R26" s="7">
        <f t="shared" si="17"/>
        <v>4.9329274759648704E-2</v>
      </c>
      <c r="S26" s="2"/>
      <c r="T26" s="6">
        <v>12748.91</v>
      </c>
      <c r="U26" s="2"/>
      <c r="V26" s="7">
        <f t="shared" si="18"/>
        <v>3.8100198161877347E-2</v>
      </c>
      <c r="W26" s="2"/>
      <c r="X26" s="6">
        <f t="shared" si="19"/>
        <v>-167.54999999999927</v>
      </c>
      <c r="Y26" s="2"/>
      <c r="Z26" s="7">
        <f t="shared" si="20"/>
        <v>-1.3142300008392817E-2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16.170000000000002</v>
      </c>
      <c r="E27" s="2"/>
      <c r="F27" s="7">
        <f t="shared" si="13"/>
        <v>0</v>
      </c>
      <c r="G27" s="2"/>
      <c r="H27" s="6">
        <v>30.67</v>
      </c>
      <c r="I27" s="2"/>
      <c r="J27" s="7">
        <f t="shared" si="14"/>
        <v>7.3479012003169165E-4</v>
      </c>
      <c r="K27" s="2"/>
      <c r="L27" s="6">
        <f t="shared" si="15"/>
        <v>-14.5</v>
      </c>
      <c r="M27" s="2"/>
      <c r="N27" s="7">
        <f t="shared" si="16"/>
        <v>-0.47277469840234754</v>
      </c>
      <c r="O27" s="11"/>
      <c r="P27" s="6">
        <v>337.12</v>
      </c>
      <c r="Q27" s="2"/>
      <c r="R27" s="7">
        <f t="shared" si="17"/>
        <v>1.3217875577022492E-3</v>
      </c>
      <c r="S27" s="2"/>
      <c r="T27" s="6">
        <v>327.91</v>
      </c>
      <c r="U27" s="2"/>
      <c r="V27" s="7">
        <f t="shared" si="18"/>
        <v>9.7996110877409922E-4</v>
      </c>
      <c r="W27" s="2"/>
      <c r="X27" s="6">
        <f t="shared" si="19"/>
        <v>9.2099999999999795</v>
      </c>
      <c r="Y27" s="2"/>
      <c r="Z27" s="7">
        <f t="shared" si="20"/>
        <v>2.8086975084626816E-2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>
        <v>340.69</v>
      </c>
      <c r="E28" s="2"/>
      <c r="F28" s="7">
        <f t="shared" si="13"/>
        <v>0</v>
      </c>
      <c r="G28" s="2"/>
      <c r="H28" s="6">
        <v>310.52</v>
      </c>
      <c r="I28" s="2"/>
      <c r="J28" s="7">
        <f t="shared" si="14"/>
        <v>7.4394205436009407E-3</v>
      </c>
      <c r="K28" s="2"/>
      <c r="L28" s="6">
        <f t="shared" si="15"/>
        <v>30.170000000000016</v>
      </c>
      <c r="M28" s="2"/>
      <c r="N28" s="7">
        <f t="shared" si="16"/>
        <v>9.7159603246167778E-2</v>
      </c>
      <c r="O28" s="11"/>
      <c r="P28" s="6">
        <v>3449.72</v>
      </c>
      <c r="Q28" s="2"/>
      <c r="R28" s="7">
        <f t="shared" si="17"/>
        <v>1.3525738530958125E-2</v>
      </c>
      <c r="S28" s="2"/>
      <c r="T28" s="6">
        <v>3319.57</v>
      </c>
      <c r="U28" s="2"/>
      <c r="V28" s="7">
        <f t="shared" si="18"/>
        <v>9.9205559386820671E-3</v>
      </c>
      <c r="W28" s="2"/>
      <c r="X28" s="6">
        <f t="shared" si="19"/>
        <v>130.14999999999964</v>
      </c>
      <c r="Y28" s="2"/>
      <c r="Z28" s="7">
        <f t="shared" si="20"/>
        <v>3.9206885229110887E-2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>
        <v>334.03</v>
      </c>
      <c r="E29" s="2"/>
      <c r="F29" s="7">
        <f t="shared" si="13"/>
        <v>0</v>
      </c>
      <c r="G29" s="2"/>
      <c r="H29" s="6">
        <v>261.52</v>
      </c>
      <c r="I29" s="2"/>
      <c r="J29" s="7">
        <f t="shared" si="14"/>
        <v>6.2654813234655354E-3</v>
      </c>
      <c r="K29" s="2"/>
      <c r="L29" s="6">
        <f t="shared" si="15"/>
        <v>72.509999999999991</v>
      </c>
      <c r="M29" s="2"/>
      <c r="N29" s="7">
        <f t="shared" si="16"/>
        <v>0.27726368920159067</v>
      </c>
      <c r="O29" s="11"/>
      <c r="P29" s="6">
        <v>3236.94</v>
      </c>
      <c r="Q29" s="2"/>
      <c r="R29" s="7">
        <f t="shared" si="17"/>
        <v>1.269146599735619E-2</v>
      </c>
      <c r="S29" s="2"/>
      <c r="T29" s="6">
        <v>2895.08</v>
      </c>
      <c r="U29" s="2"/>
      <c r="V29" s="7">
        <f t="shared" si="18"/>
        <v>8.6519648891150592E-3</v>
      </c>
      <c r="W29" s="2"/>
      <c r="X29" s="6">
        <f t="shared" si="19"/>
        <v>341.86000000000013</v>
      </c>
      <c r="Y29" s="2"/>
      <c r="Z29" s="7">
        <f t="shared" si="20"/>
        <v>0.11808309269519326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400.2</v>
      </c>
      <c r="E30" s="2"/>
      <c r="F30" s="7">
        <f t="shared" si="13"/>
        <v>0</v>
      </c>
      <c r="G30" s="2"/>
      <c r="H30" s="6">
        <v>209.34</v>
      </c>
      <c r="I30" s="2"/>
      <c r="J30" s="7">
        <f t="shared" si="14"/>
        <v>5.0153558437376691E-3</v>
      </c>
      <c r="K30" s="2"/>
      <c r="L30" s="6">
        <f t="shared" si="15"/>
        <v>190.85999999999999</v>
      </c>
      <c r="M30" s="2"/>
      <c r="N30" s="7">
        <f t="shared" si="16"/>
        <v>0.91172255660647739</v>
      </c>
      <c r="O30" s="11"/>
      <c r="P30" s="6">
        <v>3292.86</v>
      </c>
      <c r="Q30" s="2"/>
      <c r="R30" s="7">
        <f t="shared" si="17"/>
        <v>1.291071837107092E-2</v>
      </c>
      <c r="S30" s="2"/>
      <c r="T30" s="6">
        <v>3053.52</v>
      </c>
      <c r="U30" s="2"/>
      <c r="V30" s="7">
        <f t="shared" si="18"/>
        <v>9.1254638311240501E-3</v>
      </c>
      <c r="W30" s="2"/>
      <c r="X30" s="6">
        <f t="shared" si="19"/>
        <v>239.34000000000015</v>
      </c>
      <c r="Y30" s="2"/>
      <c r="Z30" s="7">
        <f t="shared" si="20"/>
        <v>7.8381670989546542E-2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64</v>
      </c>
      <c r="E31" s="2"/>
      <c r="F31" s="7">
        <f t="shared" si="13"/>
        <v>0</v>
      </c>
      <c r="G31" s="2"/>
      <c r="H31" s="6">
        <v>105.46</v>
      </c>
      <c r="I31" s="2"/>
      <c r="J31" s="7">
        <f t="shared" si="14"/>
        <v>2.5266046970506095E-3</v>
      </c>
      <c r="K31" s="2"/>
      <c r="L31" s="6">
        <f t="shared" si="15"/>
        <v>-41.459999999999994</v>
      </c>
      <c r="M31" s="2"/>
      <c r="N31" s="7">
        <f t="shared" si="16"/>
        <v>-0.39313483785321446</v>
      </c>
      <c r="O31" s="11"/>
      <c r="P31" s="6">
        <v>1180.1199999999999</v>
      </c>
      <c r="Q31" s="2"/>
      <c r="R31" s="7">
        <f t="shared" si="17"/>
        <v>4.6270406163846055E-3</v>
      </c>
      <c r="S31" s="2"/>
      <c r="T31" s="6">
        <v>1320.59</v>
      </c>
      <c r="U31" s="2"/>
      <c r="V31" s="7">
        <f t="shared" si="18"/>
        <v>3.9465915666981417E-3</v>
      </c>
      <c r="W31" s="2"/>
      <c r="X31" s="6">
        <f t="shared" si="19"/>
        <v>-140.47000000000003</v>
      </c>
      <c r="Y31" s="2"/>
      <c r="Z31" s="7">
        <f t="shared" si="20"/>
        <v>-0.1063691228920407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1785.26</v>
      </c>
      <c r="E32" s="1"/>
      <c r="F32" s="5">
        <f t="shared" ref="F32:F38" si="21">IF(D$12=0,0,D32/D$12)</f>
        <v>0</v>
      </c>
      <c r="G32" s="1"/>
      <c r="H32" s="1">
        <f>SUM(OSRRefH22_1x_0)</f>
        <v>10946.25</v>
      </c>
      <c r="I32" s="1"/>
      <c r="J32" s="5">
        <f t="shared" ref="J32:J38" si="22">IF(H$12=0,0,H32/H$12)</f>
        <v>0.26224963649810579</v>
      </c>
      <c r="K32" s="1"/>
      <c r="L32" s="1">
        <f t="shared" ref="L32:L38" si="23">+D32-H32</f>
        <v>-9160.99</v>
      </c>
      <c r="M32" s="1"/>
      <c r="N32" s="5">
        <f t="shared" ref="N32:N38" si="24">IF(H32=0,0,L32/H32)</f>
        <v>-0.83690670320886151</v>
      </c>
      <c r="O32" s="13"/>
      <c r="P32" s="1">
        <f>SUM(OSRRefP22_1x_0)</f>
        <v>118718.43999999999</v>
      </c>
      <c r="Q32" s="1"/>
      <c r="R32" s="5">
        <f t="shared" ref="R32:R38" si="25">IF(P$12=0,0,P32/P$12)</f>
        <v>0.46547388722656918</v>
      </c>
      <c r="S32" s="1"/>
      <c r="T32" s="1">
        <f>SUM(OSRRefT22_1x_0)</f>
        <v>122491.69</v>
      </c>
      <c r="U32" s="1"/>
      <c r="V32" s="5">
        <f t="shared" ref="V32:V38" si="26">IF(T$12=0,0,T32/T$12)</f>
        <v>0.36606719022906664</v>
      </c>
      <c r="W32" s="1"/>
      <c r="X32" s="1">
        <f t="shared" ref="X32:X38" si="27">+P32-T32</f>
        <v>-3773.2500000000146</v>
      </c>
      <c r="Y32" s="1"/>
      <c r="Z32" s="5">
        <f t="shared" ref="Z32:Z38" si="28">IF(T32=0,0,X32/T32)</f>
        <v>-3.0804130467952679E-2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1581.26</v>
      </c>
      <c r="E33" s="2"/>
      <c r="F33" s="7">
        <f t="shared" si="21"/>
        <v>0</v>
      </c>
      <c r="G33" s="2"/>
      <c r="H33" s="6">
        <v>3630.77</v>
      </c>
      <c r="I33" s="2"/>
      <c r="J33" s="7">
        <f t="shared" si="22"/>
        <v>8.6985781679408708E-2</v>
      </c>
      <c r="K33" s="2"/>
      <c r="L33" s="6">
        <f t="shared" si="23"/>
        <v>-2049.5100000000002</v>
      </c>
      <c r="M33" s="2"/>
      <c r="N33" s="7">
        <f t="shared" si="24"/>
        <v>-0.56448356684670198</v>
      </c>
      <c r="O33" s="11"/>
      <c r="P33" s="6">
        <v>45271.619999999995</v>
      </c>
      <c r="Q33" s="2"/>
      <c r="R33" s="7">
        <f t="shared" si="25"/>
        <v>0.1775019697230194</v>
      </c>
      <c r="S33" s="2"/>
      <c r="T33" s="6">
        <v>44360</v>
      </c>
      <c r="U33" s="2"/>
      <c r="V33" s="7">
        <f t="shared" si="26"/>
        <v>0.13257014054228</v>
      </c>
      <c r="W33" s="2"/>
      <c r="X33" s="6">
        <f t="shared" si="27"/>
        <v>911.61999999999534</v>
      </c>
      <c r="Y33" s="2"/>
      <c r="Z33" s="7">
        <f t="shared" si="28"/>
        <v>2.0550495942290248E-2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408</v>
      </c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408</v>
      </c>
      <c r="M34" s="2"/>
      <c r="N34" s="7">
        <f t="shared" si="24"/>
        <v>0</v>
      </c>
      <c r="O34" s="11"/>
      <c r="P34" s="6">
        <v>2483.52</v>
      </c>
      <c r="Q34" s="2"/>
      <c r="R34" s="7">
        <f t="shared" si="25"/>
        <v>9.7374401854078366E-3</v>
      </c>
      <c r="S34" s="2"/>
      <c r="T34" s="6"/>
      <c r="U34" s="2"/>
      <c r="V34" s="7">
        <f t="shared" si="26"/>
        <v>0</v>
      </c>
      <c r="W34" s="2"/>
      <c r="X34" s="6">
        <f t="shared" si="27"/>
        <v>2483.52</v>
      </c>
      <c r="Y34" s="2"/>
      <c r="Z34" s="7">
        <f t="shared" si="28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3194.69</v>
      </c>
      <c r="I35" s="2"/>
      <c r="J35" s="7">
        <f t="shared" si="22"/>
        <v>7.6538201779068962E-2</v>
      </c>
      <c r="K35" s="2"/>
      <c r="L35" s="6">
        <f t="shared" si="23"/>
        <v>-3194.69</v>
      </c>
      <c r="M35" s="2"/>
      <c r="N35" s="7">
        <f t="shared" si="24"/>
        <v>-1</v>
      </c>
      <c r="O35" s="11"/>
      <c r="P35" s="6">
        <v>29725.459999999995</v>
      </c>
      <c r="Q35" s="2"/>
      <c r="R35" s="7">
        <f t="shared" si="25"/>
        <v>0.11654824150147099</v>
      </c>
      <c r="S35" s="2"/>
      <c r="T35" s="6">
        <v>26233.489999999998</v>
      </c>
      <c r="U35" s="2"/>
      <c r="V35" s="7">
        <f t="shared" si="26"/>
        <v>7.8398950771291637E-2</v>
      </c>
      <c r="W35" s="2"/>
      <c r="X35" s="6">
        <f t="shared" si="27"/>
        <v>3491.9699999999975</v>
      </c>
      <c r="Y35" s="2"/>
      <c r="Z35" s="7">
        <f t="shared" si="28"/>
        <v>0.13311114914561492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>
        <v>411.19</v>
      </c>
      <c r="I36" s="2"/>
      <c r="J36" s="7">
        <f t="shared" si="22"/>
        <v>9.8512666923974979E-3</v>
      </c>
      <c r="K36" s="2"/>
      <c r="L36" s="6">
        <f t="shared" si="23"/>
        <v>-411.19</v>
      </c>
      <c r="M36" s="2"/>
      <c r="N36" s="7">
        <f t="shared" si="24"/>
        <v>-1</v>
      </c>
      <c r="O36" s="11"/>
      <c r="P36" s="6"/>
      <c r="Q36" s="2"/>
      <c r="R36" s="7">
        <f t="shared" si="25"/>
        <v>0</v>
      </c>
      <c r="S36" s="2"/>
      <c r="T36" s="6">
        <v>5655.33</v>
      </c>
      <c r="U36" s="2"/>
      <c r="V36" s="7">
        <f t="shared" si="26"/>
        <v>1.6900989470535897E-2</v>
      </c>
      <c r="W36" s="2"/>
      <c r="X36" s="6">
        <f t="shared" si="27"/>
        <v>-5655.33</v>
      </c>
      <c r="Y36" s="2"/>
      <c r="Z36" s="7">
        <f t="shared" si="28"/>
        <v>-1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-204</v>
      </c>
      <c r="E37" s="2"/>
      <c r="F37" s="7">
        <f t="shared" si="21"/>
        <v>0</v>
      </c>
      <c r="G37" s="2"/>
      <c r="H37" s="6">
        <v>3109</v>
      </c>
      <c r="I37" s="2"/>
      <c r="J37" s="7">
        <f t="shared" si="22"/>
        <v>7.4485245620428076E-2</v>
      </c>
      <c r="K37" s="2"/>
      <c r="L37" s="6">
        <f t="shared" si="23"/>
        <v>-3313</v>
      </c>
      <c r="M37" s="2"/>
      <c r="N37" s="7">
        <f t="shared" si="24"/>
        <v>-1.0656159536828562</v>
      </c>
      <c r="O37" s="11"/>
      <c r="P37" s="6">
        <v>36868.25</v>
      </c>
      <c r="Q37" s="2"/>
      <c r="R37" s="7">
        <f t="shared" si="25"/>
        <v>0.14455385062961543</v>
      </c>
      <c r="S37" s="2"/>
      <c r="T37" s="6">
        <v>37860.270000000004</v>
      </c>
      <c r="U37" s="2"/>
      <c r="V37" s="7">
        <f t="shared" si="26"/>
        <v>0.11314565633157503</v>
      </c>
      <c r="W37" s="2"/>
      <c r="X37" s="6">
        <f t="shared" si="27"/>
        <v>-992.02000000000407</v>
      </c>
      <c r="Y37" s="2"/>
      <c r="Z37" s="7">
        <f t="shared" si="28"/>
        <v>-2.620213749135978E-2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600.6</v>
      </c>
      <c r="I38" s="2"/>
      <c r="J38" s="7">
        <f t="shared" si="22"/>
        <v>1.4389140726802543E-2</v>
      </c>
      <c r="K38" s="2"/>
      <c r="L38" s="6">
        <f t="shared" si="23"/>
        <v>-600.6</v>
      </c>
      <c r="M38" s="2"/>
      <c r="N38" s="7">
        <f t="shared" si="24"/>
        <v>-1</v>
      </c>
      <c r="O38" s="11"/>
      <c r="P38" s="6">
        <v>4369.59</v>
      </c>
      <c r="Q38" s="2"/>
      <c r="R38" s="7">
        <f t="shared" si="25"/>
        <v>1.7132385187055565E-2</v>
      </c>
      <c r="S38" s="2"/>
      <c r="T38" s="6">
        <v>8382.6</v>
      </c>
      <c r="U38" s="2"/>
      <c r="V38" s="7">
        <f t="shared" si="26"/>
        <v>2.505145311338405E-2</v>
      </c>
      <c r="W38" s="2"/>
      <c r="X38" s="6">
        <f t="shared" si="27"/>
        <v>-4013.01</v>
      </c>
      <c r="Y38" s="2"/>
      <c r="Z38" s="7">
        <f t="shared" si="28"/>
        <v>-0.47873094266695299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2" si="29">IF(D$12=0,0,D39/D$12)</f>
        <v>0</v>
      </c>
      <c r="G39" s="1"/>
      <c r="H39" s="1">
        <f>SUM(OSRRefH22_2x_0)</f>
        <v>59.32</v>
      </c>
      <c r="I39" s="1"/>
      <c r="J39" s="5">
        <f t="shared" ref="J39:J52" si="30">IF(H$12=0,0,H39/H$12)</f>
        <v>1.4211851946618829E-3</v>
      </c>
      <c r="K39" s="1"/>
      <c r="L39" s="1">
        <f t="shared" ref="L39:L52" si="31">+D39-H39</f>
        <v>-59.32</v>
      </c>
      <c r="M39" s="1"/>
      <c r="N39" s="5">
        <f t="shared" ref="N39:N52" si="32">IF(H39=0,0,L39/H39)</f>
        <v>-1</v>
      </c>
      <c r="O39" s="13"/>
      <c r="P39" s="1">
        <f>SUM(OSRRefP22_2x_0)</f>
        <v>2599.63</v>
      </c>
      <c r="Q39" s="1"/>
      <c r="R39" s="5">
        <f t="shared" ref="R39:R52" si="33">IF(P$12=0,0,P39/P$12)</f>
        <v>1.0192686843348061E-2</v>
      </c>
      <c r="S39" s="1"/>
      <c r="T39" s="1">
        <f>SUM(OSRRefT22_2x_0)</f>
        <v>1570.81</v>
      </c>
      <c r="U39" s="1"/>
      <c r="V39" s="5">
        <f t="shared" ref="V39:V52" si="34">IF(T$12=0,0,T39/T$12)</f>
        <v>4.6943756191437976E-3</v>
      </c>
      <c r="W39" s="1"/>
      <c r="X39" s="1">
        <f t="shared" ref="X39:X52" si="35">+P39-T39</f>
        <v>1028.8200000000002</v>
      </c>
      <c r="Y39" s="1"/>
      <c r="Z39" s="5">
        <f t="shared" ref="Z39:Z52" si="36">IF(T39=0,0,X39/T39)</f>
        <v>0.65496145300832065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9"/>
        <v>0</v>
      </c>
      <c r="G40" s="2"/>
      <c r="H40" s="6">
        <v>59.32</v>
      </c>
      <c r="I40" s="2"/>
      <c r="J40" s="7">
        <f t="shared" si="30"/>
        <v>1.4211851946618829E-3</v>
      </c>
      <c r="K40" s="2"/>
      <c r="L40" s="6">
        <f t="shared" si="31"/>
        <v>-59.32</v>
      </c>
      <c r="M40" s="2"/>
      <c r="N40" s="7">
        <f t="shared" si="32"/>
        <v>-1</v>
      </c>
      <c r="O40" s="11"/>
      <c r="P40" s="6">
        <v>2599.63</v>
      </c>
      <c r="Q40" s="2"/>
      <c r="R40" s="7">
        <f t="shared" si="33"/>
        <v>1.0192686843348061E-2</v>
      </c>
      <c r="S40" s="2"/>
      <c r="T40" s="6">
        <v>1570.81</v>
      </c>
      <c r="U40" s="2"/>
      <c r="V40" s="7">
        <f t="shared" si="34"/>
        <v>4.6943756191437976E-3</v>
      </c>
      <c r="W40" s="2"/>
      <c r="X40" s="6">
        <f t="shared" si="35"/>
        <v>1028.8200000000002</v>
      </c>
      <c r="Y40" s="2"/>
      <c r="Z40" s="7">
        <f t="shared" si="36"/>
        <v>0.65496145300832065</v>
      </c>
    </row>
    <row r="41" spans="1:26" s="25" customFormat="1" outlineLevel="1" collapsed="1" x14ac:dyDescent="0.25">
      <c r="A41" s="26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-3.56</v>
      </c>
      <c r="I41" s="1"/>
      <c r="J41" s="5">
        <f t="shared" si="30"/>
        <v>-8.5290278034327432E-5</v>
      </c>
      <c r="K41" s="1"/>
      <c r="L41" s="1">
        <f t="shared" si="31"/>
        <v>3.56</v>
      </c>
      <c r="M41" s="1"/>
      <c r="N41" s="5">
        <f t="shared" si="32"/>
        <v>-1</v>
      </c>
      <c r="O41" s="13"/>
      <c r="P41" s="1">
        <f>SUM(OSRRefP22_3x_0)</f>
        <v>-48.26</v>
      </c>
      <c r="Q41" s="1"/>
      <c r="R41" s="5">
        <f t="shared" si="33"/>
        <v>-1.8921887617083101E-4</v>
      </c>
      <c r="S41" s="1"/>
      <c r="T41" s="1">
        <f>SUM(OSRRefT22_3x_0)</f>
        <v>50.5</v>
      </c>
      <c r="U41" s="1"/>
      <c r="V41" s="5">
        <f t="shared" si="34"/>
        <v>1.5091956937297432E-4</v>
      </c>
      <c r="W41" s="1"/>
      <c r="X41" s="1">
        <f t="shared" si="35"/>
        <v>-98.759999999999991</v>
      </c>
      <c r="Y41" s="1"/>
      <c r="Z41" s="5">
        <f t="shared" si="36"/>
        <v>-1.9556435643564354</v>
      </c>
    </row>
    <row r="42" spans="1:26" s="24" customFormat="1" hidden="1" outlineLevel="2" x14ac:dyDescent="0.25">
      <c r="A42" s="27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-3.56</v>
      </c>
      <c r="I42" s="2"/>
      <c r="J42" s="7">
        <f t="shared" si="30"/>
        <v>-8.5290278034327432E-5</v>
      </c>
      <c r="K42" s="2"/>
      <c r="L42" s="6">
        <f t="shared" si="31"/>
        <v>3.56</v>
      </c>
      <c r="M42" s="2"/>
      <c r="N42" s="7">
        <f t="shared" si="32"/>
        <v>-1</v>
      </c>
      <c r="O42" s="11"/>
      <c r="P42" s="6">
        <v>-48.26</v>
      </c>
      <c r="Q42" s="2"/>
      <c r="R42" s="7">
        <f t="shared" si="33"/>
        <v>-1.8921887617083101E-4</v>
      </c>
      <c r="S42" s="2"/>
      <c r="T42" s="6">
        <v>50.5</v>
      </c>
      <c r="U42" s="2"/>
      <c r="V42" s="7">
        <f t="shared" si="34"/>
        <v>1.5091956937297432E-4</v>
      </c>
      <c r="W42" s="2"/>
      <c r="X42" s="6">
        <f t="shared" si="35"/>
        <v>-98.759999999999991</v>
      </c>
      <c r="Y42" s="2"/>
      <c r="Z42" s="7">
        <f t="shared" si="36"/>
        <v>-1.9556435643564354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182.15</v>
      </c>
      <c r="E43" s="1"/>
      <c r="F43" s="5">
        <f t="shared" si="29"/>
        <v>0</v>
      </c>
      <c r="G43" s="1"/>
      <c r="H43" s="1">
        <f>SUM(OSRRefH22_4x_0)</f>
        <v>1384.96</v>
      </c>
      <c r="I43" s="1"/>
      <c r="J43" s="5">
        <f t="shared" si="30"/>
        <v>3.3180793108545541E-2</v>
      </c>
      <c r="K43" s="1"/>
      <c r="L43" s="1">
        <f t="shared" si="31"/>
        <v>-1202.81</v>
      </c>
      <c r="M43" s="1"/>
      <c r="N43" s="5">
        <f t="shared" si="32"/>
        <v>-0.8684799560998151</v>
      </c>
      <c r="O43" s="13"/>
      <c r="P43" s="1">
        <f>SUM(OSRRefP22_4x_0)</f>
        <v>10000.31</v>
      </c>
      <c r="Q43" s="1"/>
      <c r="R43" s="5">
        <f t="shared" si="33"/>
        <v>3.9209436791544199E-2</v>
      </c>
      <c r="S43" s="1"/>
      <c r="T43" s="1">
        <f>SUM(OSRRefT22_4x_0)</f>
        <v>12745.93</v>
      </c>
      <c r="U43" s="1"/>
      <c r="V43" s="5">
        <f t="shared" si="34"/>
        <v>3.8091292413031178E-2</v>
      </c>
      <c r="W43" s="1"/>
      <c r="X43" s="1">
        <f t="shared" si="35"/>
        <v>-2745.6200000000008</v>
      </c>
      <c r="Y43" s="1"/>
      <c r="Z43" s="5">
        <f t="shared" si="36"/>
        <v>-0.21541150783034277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182.15</v>
      </c>
      <c r="E44" s="2"/>
      <c r="F44" s="7">
        <f t="shared" si="29"/>
        <v>0</v>
      </c>
      <c r="G44" s="2"/>
      <c r="H44" s="6">
        <v>1384.96</v>
      </c>
      <c r="I44" s="2"/>
      <c r="J44" s="7">
        <f t="shared" si="30"/>
        <v>3.3180793108545541E-2</v>
      </c>
      <c r="K44" s="2"/>
      <c r="L44" s="6">
        <f t="shared" si="31"/>
        <v>-1202.81</v>
      </c>
      <c r="M44" s="2"/>
      <c r="N44" s="7">
        <f t="shared" si="32"/>
        <v>-0.8684799560998151</v>
      </c>
      <c r="O44" s="11"/>
      <c r="P44" s="6">
        <v>10000.31</v>
      </c>
      <c r="Q44" s="2"/>
      <c r="R44" s="7">
        <f t="shared" si="33"/>
        <v>3.9209436791544199E-2</v>
      </c>
      <c r="S44" s="2"/>
      <c r="T44" s="6">
        <v>12745.93</v>
      </c>
      <c r="U44" s="2"/>
      <c r="V44" s="7">
        <f t="shared" si="34"/>
        <v>3.8091292413031178E-2</v>
      </c>
      <c r="W44" s="2"/>
      <c r="X44" s="6">
        <f t="shared" si="35"/>
        <v>-2745.6200000000008</v>
      </c>
      <c r="Y44" s="2"/>
      <c r="Z44" s="7">
        <f t="shared" si="36"/>
        <v>-0.21541150783034277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58.07</v>
      </c>
      <c r="E45" s="1"/>
      <c r="F45" s="5">
        <f t="shared" si="29"/>
        <v>0</v>
      </c>
      <c r="G45" s="1"/>
      <c r="H45" s="1">
        <f>SUM(OSRRefH22_5x_0)</f>
        <v>635.67999999999995</v>
      </c>
      <c r="I45" s="1"/>
      <c r="J45" s="5">
        <f t="shared" si="30"/>
        <v>1.5229585376646419E-2</v>
      </c>
      <c r="K45" s="1"/>
      <c r="L45" s="1">
        <f t="shared" si="31"/>
        <v>-577.6099999999999</v>
      </c>
      <c r="M45" s="1"/>
      <c r="N45" s="5">
        <f t="shared" si="32"/>
        <v>-0.90864900578907615</v>
      </c>
      <c r="O45" s="13"/>
      <c r="P45" s="1">
        <f>SUM(OSRRefP22_5x_0)</f>
        <v>5729.96</v>
      </c>
      <c r="Q45" s="1"/>
      <c r="R45" s="5">
        <f t="shared" si="33"/>
        <v>2.2466153993033876E-2</v>
      </c>
      <c r="S45" s="1"/>
      <c r="T45" s="1">
        <f>SUM(OSRRefT22_5x_0)</f>
        <v>6356.8</v>
      </c>
      <c r="U45" s="1"/>
      <c r="V45" s="5">
        <f t="shared" si="34"/>
        <v>1.8997337001784617E-2</v>
      </c>
      <c r="W45" s="1"/>
      <c r="X45" s="1">
        <f t="shared" si="35"/>
        <v>-626.84000000000015</v>
      </c>
      <c r="Y45" s="1"/>
      <c r="Z45" s="5">
        <f t="shared" si="36"/>
        <v>-9.86093632016109E-2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58.07</v>
      </c>
      <c r="E46" s="2"/>
      <c r="F46" s="7">
        <f t="shared" si="29"/>
        <v>0</v>
      </c>
      <c r="G46" s="2"/>
      <c r="H46" s="6">
        <v>635.67999999999995</v>
      </c>
      <c r="I46" s="2"/>
      <c r="J46" s="7">
        <f t="shared" si="30"/>
        <v>1.5229585376646419E-2</v>
      </c>
      <c r="K46" s="2"/>
      <c r="L46" s="6">
        <f t="shared" si="31"/>
        <v>-577.6099999999999</v>
      </c>
      <c r="M46" s="2"/>
      <c r="N46" s="7">
        <f t="shared" si="32"/>
        <v>-0.90864900578907615</v>
      </c>
      <c r="O46" s="11"/>
      <c r="P46" s="6">
        <v>5729.96</v>
      </c>
      <c r="Q46" s="2"/>
      <c r="R46" s="7">
        <f t="shared" si="33"/>
        <v>2.2466153993033876E-2</v>
      </c>
      <c r="S46" s="2"/>
      <c r="T46" s="6">
        <v>6356.8</v>
      </c>
      <c r="U46" s="2"/>
      <c r="V46" s="7">
        <f t="shared" si="34"/>
        <v>1.8997337001784617E-2</v>
      </c>
      <c r="W46" s="2"/>
      <c r="X46" s="6">
        <f t="shared" si="35"/>
        <v>-626.84000000000015</v>
      </c>
      <c r="Y46" s="2"/>
      <c r="Z46" s="7">
        <f t="shared" si="36"/>
        <v>-9.86093632016109E-2</v>
      </c>
    </row>
    <row r="47" spans="1:26" s="25" customFormat="1" outlineLevel="1" collapsed="1" x14ac:dyDescent="0.25">
      <c r="A47" s="26"/>
      <c r="B47" s="13" t="str">
        <f>CONCATENATE("     ","General                                           ")</f>
        <v xml:space="preserve">     General                                           </v>
      </c>
      <c r="C47" s="13"/>
      <c r="D47" s="1">
        <f>SUM(OSRRefD22_6x_0)</f>
        <v>0</v>
      </c>
      <c r="E47" s="1"/>
      <c r="F47" s="5">
        <f t="shared" si="29"/>
        <v>0</v>
      </c>
      <c r="G47" s="1"/>
      <c r="H47" s="1">
        <f>SUM(OSRRefH22_6x_0)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SUM(OSRRefP22_6x_0)</f>
        <v>901.75</v>
      </c>
      <c r="Q47" s="1"/>
      <c r="R47" s="5">
        <f t="shared" si="33"/>
        <v>3.535601359035368E-3</v>
      </c>
      <c r="S47" s="1"/>
      <c r="T47" s="1">
        <f>SUM(OSRRefT22_6x_0)</f>
        <v>724.2</v>
      </c>
      <c r="U47" s="1"/>
      <c r="V47" s="5">
        <f t="shared" si="34"/>
        <v>2.1642762799981784E-3</v>
      </c>
      <c r="W47" s="1"/>
      <c r="X47" s="1">
        <f t="shared" si="35"/>
        <v>177.54999999999995</v>
      </c>
      <c r="Y47" s="1"/>
      <c r="Z47" s="5">
        <f t="shared" si="36"/>
        <v>0.24516708091687373</v>
      </c>
    </row>
    <row r="48" spans="1:26" s="24" customFormat="1" hidden="1" outlineLevel="2" x14ac:dyDescent="0.25">
      <c r="A48" s="27"/>
      <c r="B48" s="11" t="str">
        <f>CONCATENATE("          ", "6279", " - ", "GENERAL EXPENSE")</f>
        <v xml:space="preserve">          6279 - GENERAL EXPENSE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901.75</v>
      </c>
      <c r="Q48" s="2"/>
      <c r="R48" s="7">
        <f t="shared" si="33"/>
        <v>3.535601359035368E-3</v>
      </c>
      <c r="S48" s="2"/>
      <c r="T48" s="6">
        <v>724.2</v>
      </c>
      <c r="U48" s="2"/>
      <c r="V48" s="7">
        <f t="shared" si="34"/>
        <v>2.1642762799981784E-3</v>
      </c>
      <c r="W48" s="2"/>
      <c r="X48" s="6">
        <f t="shared" si="35"/>
        <v>177.54999999999995</v>
      </c>
      <c r="Y48" s="2"/>
      <c r="Z48" s="7">
        <f t="shared" si="36"/>
        <v>0.24516708091687373</v>
      </c>
    </row>
    <row r="49" spans="1:26" s="25" customFormat="1" outlineLevel="1" collapsed="1" x14ac:dyDescent="0.25">
      <c r="A49" s="26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SUM(OSRRefD22_7x_0)</f>
        <v>0</v>
      </c>
      <c r="E49" s="1"/>
      <c r="F49" s="5">
        <f t="shared" si="29"/>
        <v>0</v>
      </c>
      <c r="G49" s="1"/>
      <c r="H49" s="1">
        <f>SUM(OSRRefH22_7x_0)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3"/>
      <c r="P49" s="1">
        <f>SUM(OSRRefP22_7x_0)</f>
        <v>8877.11</v>
      </c>
      <c r="Q49" s="1"/>
      <c r="R49" s="5">
        <f t="shared" si="33"/>
        <v>3.4805569371007997E-2</v>
      </c>
      <c r="S49" s="1"/>
      <c r="T49" s="1">
        <f>SUM(OSRRefT22_7x_0)</f>
        <v>2979.52</v>
      </c>
      <c r="U49" s="1"/>
      <c r="V49" s="5">
        <f t="shared" si="34"/>
        <v>8.9043143631319689E-3</v>
      </c>
      <c r="W49" s="1"/>
      <c r="X49" s="1">
        <f t="shared" si="35"/>
        <v>5897.59</v>
      </c>
      <c r="Y49" s="1"/>
      <c r="Z49" s="5">
        <f t="shared" si="36"/>
        <v>1.9793758726237785</v>
      </c>
    </row>
    <row r="50" spans="1:26" s="24" customFormat="1" hidden="1" outlineLevel="2" x14ac:dyDescent="0.25">
      <c r="A50" s="27"/>
      <c r="B50" s="11" t="str">
        <f>CONCATENATE("          ", "6371", " - ", "COMPUTER SOFTWARE MAINTENANCE")</f>
        <v xml:space="preserve">          6371 - COMPUTER SOFTWARE MAINTENANCE</v>
      </c>
      <c r="C50" s="11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1"/>
      <c r="P50" s="6">
        <v>874.62</v>
      </c>
      <c r="Q50" s="2"/>
      <c r="R50" s="7">
        <f t="shared" si="33"/>
        <v>3.4292294545489477E-3</v>
      </c>
      <c r="S50" s="2"/>
      <c r="T50" s="6"/>
      <c r="U50" s="2"/>
      <c r="V50" s="7">
        <f t="shared" si="34"/>
        <v>0</v>
      </c>
      <c r="W50" s="2"/>
      <c r="X50" s="6">
        <f t="shared" si="35"/>
        <v>874.62</v>
      </c>
      <c r="Y50" s="2"/>
      <c r="Z50" s="7">
        <f t="shared" si="36"/>
        <v>0</v>
      </c>
    </row>
    <row r="51" spans="1:26" s="24" customFormat="1" hidden="1" outlineLevel="2" x14ac:dyDescent="0.25">
      <c r="A51" s="27"/>
      <c r="B51" s="11" t="str">
        <f>CONCATENATE("          ", "6373", " - ", "MAINTENANCE CONTRACTS")</f>
        <v xml:space="preserve">          6373 - MAINTENANCE CONTRACTS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1031.97</v>
      </c>
      <c r="Q51" s="2"/>
      <c r="R51" s="7">
        <f t="shared" si="33"/>
        <v>4.0461708172816512E-3</v>
      </c>
      <c r="S51" s="2"/>
      <c r="T51" s="6">
        <v>467.85</v>
      </c>
      <c r="U51" s="2"/>
      <c r="V51" s="7">
        <f t="shared" si="34"/>
        <v>1.3981726837850701E-3</v>
      </c>
      <c r="W51" s="2"/>
      <c r="X51" s="6">
        <f t="shared" si="35"/>
        <v>564.12</v>
      </c>
      <c r="Y51" s="2"/>
      <c r="Z51" s="7">
        <f t="shared" si="36"/>
        <v>1.205771080474511</v>
      </c>
    </row>
    <row r="52" spans="1:26" s="24" customFormat="1" hidden="1" outlineLevel="2" x14ac:dyDescent="0.25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6970.52</v>
      </c>
      <c r="Q52" s="2"/>
      <c r="R52" s="7">
        <f t="shared" si="33"/>
        <v>2.7330169099177393E-2</v>
      </c>
      <c r="S52" s="2"/>
      <c r="T52" s="6">
        <v>2511.67</v>
      </c>
      <c r="U52" s="2"/>
      <c r="V52" s="7">
        <f t="shared" si="34"/>
        <v>7.5061416793468991E-3</v>
      </c>
      <c r="W52" s="2"/>
      <c r="X52" s="6">
        <f t="shared" si="35"/>
        <v>4458.8500000000004</v>
      </c>
      <c r="Y52" s="2"/>
      <c r="Z52" s="7">
        <f t="shared" si="36"/>
        <v>1.7752531184431077</v>
      </c>
    </row>
    <row r="53" spans="1:26" s="25" customFormat="1" outlineLevel="1" collapsed="1" x14ac:dyDescent="0.25">
      <c r="A53" s="26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SUM(OSRRefD22_8x_0)</f>
        <v>0</v>
      </c>
      <c r="E53" s="1"/>
      <c r="F53" s="5">
        <f t="shared" ref="F53:F55" si="37">IF(D$12=0,0,D53/D$12)</f>
        <v>0</v>
      </c>
      <c r="G53" s="1"/>
      <c r="H53" s="1">
        <f>SUM(OSRRefH22_8x_0)</f>
        <v>0</v>
      </c>
      <c r="I53" s="1"/>
      <c r="J53" s="5">
        <f t="shared" ref="J53:J55" si="38">IF(H$12=0,0,H53/H$12)</f>
        <v>0</v>
      </c>
      <c r="K53" s="1"/>
      <c r="L53" s="1">
        <f t="shared" ref="L53:L55" si="39">+D53-H53</f>
        <v>0</v>
      </c>
      <c r="M53" s="1"/>
      <c r="N53" s="5">
        <f t="shared" ref="N53:N55" si="40">IF(H53=0,0,L53/H53)</f>
        <v>0</v>
      </c>
      <c r="O53" s="13"/>
      <c r="P53" s="1">
        <f>SUM(OSRRefP22_8x_0)</f>
        <v>1368.82</v>
      </c>
      <c r="Q53" s="1"/>
      <c r="R53" s="5">
        <f t="shared" ref="R53:R55" si="41">IF(P$12=0,0,P53/P$12)</f>
        <v>5.3668997530078094E-3</v>
      </c>
      <c r="S53" s="1"/>
      <c r="T53" s="1">
        <f>SUM(OSRRefT22_8x_0)</f>
        <v>1184.17</v>
      </c>
      <c r="U53" s="1"/>
      <c r="V53" s="5">
        <f t="shared" ref="V53:V55" si="42">IF(T$12=0,0,T53/T$12)</f>
        <v>3.5388995339484157E-3</v>
      </c>
      <c r="W53" s="1"/>
      <c r="X53" s="1">
        <f t="shared" ref="X53:X55" si="43">+P53-T53</f>
        <v>184.64999999999986</v>
      </c>
      <c r="Y53" s="1"/>
      <c r="Z53" s="5">
        <f t="shared" ref="Z53:Z55" si="44">IF(T53=0,0,X53/T53)</f>
        <v>0.15593200300632498</v>
      </c>
    </row>
    <row r="54" spans="1:26" s="24" customFormat="1" hidden="1" outlineLevel="2" x14ac:dyDescent="0.25">
      <c r="A54" s="27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7"/>
        <v>0</v>
      </c>
      <c r="G54" s="2"/>
      <c r="H54" s="6"/>
      <c r="I54" s="2"/>
      <c r="J54" s="7">
        <f t="shared" si="38"/>
        <v>0</v>
      </c>
      <c r="K54" s="2"/>
      <c r="L54" s="6">
        <f t="shared" si="39"/>
        <v>0</v>
      </c>
      <c r="M54" s="2"/>
      <c r="N54" s="7">
        <f t="shared" si="40"/>
        <v>0</v>
      </c>
      <c r="O54" s="11"/>
      <c r="P54" s="6">
        <v>712.8</v>
      </c>
      <c r="Q54" s="2"/>
      <c r="R54" s="7">
        <f t="shared" si="41"/>
        <v>2.7947620168787472E-3</v>
      </c>
      <c r="S54" s="2"/>
      <c r="T54" s="6">
        <v>338</v>
      </c>
      <c r="U54" s="2"/>
      <c r="V54" s="7">
        <f t="shared" si="42"/>
        <v>1.0101151375854517E-3</v>
      </c>
      <c r="W54" s="2"/>
      <c r="X54" s="6">
        <f t="shared" si="43"/>
        <v>374.79999999999995</v>
      </c>
      <c r="Y54" s="2"/>
      <c r="Z54" s="7">
        <f t="shared" si="44"/>
        <v>1.1088757396449702</v>
      </c>
    </row>
    <row r="55" spans="1:26" s="24" customFormat="1" hidden="1" outlineLevel="2" x14ac:dyDescent="0.25">
      <c r="A55" s="27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7"/>
        <v>0</v>
      </c>
      <c r="G55" s="2"/>
      <c r="H55" s="6"/>
      <c r="I55" s="2"/>
      <c r="J55" s="7">
        <f t="shared" si="38"/>
        <v>0</v>
      </c>
      <c r="K55" s="2"/>
      <c r="L55" s="6">
        <f t="shared" si="39"/>
        <v>0</v>
      </c>
      <c r="M55" s="2"/>
      <c r="N55" s="7">
        <f t="shared" si="40"/>
        <v>0</v>
      </c>
      <c r="O55" s="11"/>
      <c r="P55" s="6">
        <v>656.02</v>
      </c>
      <c r="Q55" s="2"/>
      <c r="R55" s="7">
        <f t="shared" si="41"/>
        <v>2.5721377361290626E-3</v>
      </c>
      <c r="S55" s="2"/>
      <c r="T55" s="6">
        <v>846.17</v>
      </c>
      <c r="U55" s="2"/>
      <c r="V55" s="7">
        <f t="shared" si="42"/>
        <v>2.5287843963629638E-3</v>
      </c>
      <c r="W55" s="2"/>
      <c r="X55" s="6">
        <f t="shared" si="43"/>
        <v>-190.14999999999998</v>
      </c>
      <c r="Y55" s="2"/>
      <c r="Z55" s="7">
        <f t="shared" si="44"/>
        <v>-0.22471843719347173</v>
      </c>
    </row>
    <row r="56" spans="1:26" s="25" customFormat="1" outlineLevel="1" collapsed="1" x14ac:dyDescent="0.25">
      <c r="A56" s="26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SUM(OSRRefD22_9x_0)</f>
        <v>0</v>
      </c>
      <c r="E56" s="1"/>
      <c r="F56" s="5">
        <f t="shared" ref="F56:F62" si="45">IF(D$12=0,0,D56/D$12)</f>
        <v>0</v>
      </c>
      <c r="G56" s="1"/>
      <c r="H56" s="1">
        <f>SUM(OSRRefH22_9x_0)</f>
        <v>329.69</v>
      </c>
      <c r="I56" s="1"/>
      <c r="J56" s="5">
        <f t="shared" ref="J56:J62" si="46">IF(H$12=0,0,H56/H$12)</f>
        <v>7.8986943160498334E-3</v>
      </c>
      <c r="K56" s="1"/>
      <c r="L56" s="1">
        <f t="shared" ref="L56:L62" si="47">+D56-H56</f>
        <v>-329.69</v>
      </c>
      <c r="M56" s="1"/>
      <c r="N56" s="5">
        <f t="shared" ref="N56:N62" si="48">IF(H56=0,0,L56/H56)</f>
        <v>-1</v>
      </c>
      <c r="O56" s="13"/>
      <c r="P56" s="1">
        <f>SUM(OSRRefP22_9x_0)</f>
        <v>4596.26</v>
      </c>
      <c r="Q56" s="1"/>
      <c r="R56" s="5">
        <f t="shared" ref="R56:R62" si="49">IF(P$12=0,0,P56/P$12)</f>
        <v>1.8021117940094152E-2</v>
      </c>
      <c r="S56" s="1"/>
      <c r="T56" s="1">
        <f>SUM(OSRRefT22_9x_0)</f>
        <v>5043.4800000000005</v>
      </c>
      <c r="U56" s="1"/>
      <c r="V56" s="5">
        <f t="shared" ref="V56:V62" si="50">IF(T$12=0,0,T56/T$12)</f>
        <v>1.5072471876063536E-2</v>
      </c>
      <c r="W56" s="1"/>
      <c r="X56" s="1">
        <f t="shared" ref="X56:X62" si="51">+P56-T56</f>
        <v>-447.22000000000025</v>
      </c>
      <c r="Y56" s="1"/>
      <c r="Z56" s="5">
        <f t="shared" ref="Z56:Z62" si="52">IF(T56=0,0,X56/T56)</f>
        <v>-8.8672900457620579E-2</v>
      </c>
    </row>
    <row r="57" spans="1:26" s="24" customFormat="1" hidden="1" outlineLevel="2" x14ac:dyDescent="0.25">
      <c r="A57" s="27"/>
      <c r="B57" s="11" t="str">
        <f>CONCATENATE("          ", "6239", " - ", "KITCHEN SUPPLIES")</f>
        <v xml:space="preserve">          6239 - KITCHEN SUPPLIES</v>
      </c>
      <c r="C57" s="11"/>
      <c r="D57" s="6"/>
      <c r="E57" s="2"/>
      <c r="F57" s="7">
        <f t="shared" si="45"/>
        <v>0</v>
      </c>
      <c r="G57" s="2"/>
      <c r="H57" s="6">
        <v>76.59</v>
      </c>
      <c r="I57" s="2"/>
      <c r="J57" s="7">
        <f t="shared" si="46"/>
        <v>1.8349388749014431E-3</v>
      </c>
      <c r="K57" s="2"/>
      <c r="L57" s="6">
        <f t="shared" si="47"/>
        <v>-76.59</v>
      </c>
      <c r="M57" s="2"/>
      <c r="N57" s="7">
        <f t="shared" si="48"/>
        <v>-1</v>
      </c>
      <c r="O57" s="11"/>
      <c r="P57" s="6">
        <v>960.31</v>
      </c>
      <c r="Q57" s="2"/>
      <c r="R57" s="7">
        <f t="shared" si="49"/>
        <v>3.7652047031829822E-3</v>
      </c>
      <c r="S57" s="2"/>
      <c r="T57" s="6">
        <v>449.92</v>
      </c>
      <c r="U57" s="2"/>
      <c r="V57" s="7">
        <f t="shared" si="50"/>
        <v>1.3445887653918535E-3</v>
      </c>
      <c r="W57" s="2"/>
      <c r="X57" s="6">
        <f t="shared" si="51"/>
        <v>510.38999999999993</v>
      </c>
      <c r="Y57" s="2"/>
      <c r="Z57" s="7">
        <f t="shared" si="52"/>
        <v>1.1344016714082501</v>
      </c>
    </row>
    <row r="58" spans="1:26" s="24" customFormat="1" hidden="1" outlineLevel="2" x14ac:dyDescent="0.25">
      <c r="A58" s="27"/>
      <c r="B58" s="11" t="str">
        <f>CONCATENATE("          ", "6241", " - ", "OFFICE EXPENSE")</f>
        <v xml:space="preserve">          6241 - OFFICE EXPENSE</v>
      </c>
      <c r="C58" s="11"/>
      <c r="D58" s="6"/>
      <c r="E58" s="2"/>
      <c r="F58" s="7">
        <f t="shared" si="45"/>
        <v>0</v>
      </c>
      <c r="G58" s="2"/>
      <c r="H58" s="6"/>
      <c r="I58" s="2"/>
      <c r="J58" s="7">
        <f t="shared" si="46"/>
        <v>0</v>
      </c>
      <c r="K58" s="2"/>
      <c r="L58" s="6">
        <f t="shared" si="47"/>
        <v>0</v>
      </c>
      <c r="M58" s="2"/>
      <c r="N58" s="7">
        <f t="shared" si="48"/>
        <v>0</v>
      </c>
      <c r="O58" s="11"/>
      <c r="P58" s="6">
        <v>1153.24</v>
      </c>
      <c r="Q58" s="2"/>
      <c r="R58" s="7">
        <f t="shared" si="49"/>
        <v>4.5216489174316025E-3</v>
      </c>
      <c r="S58" s="2"/>
      <c r="T58" s="6">
        <v>1143.8699999999999</v>
      </c>
      <c r="U58" s="2"/>
      <c r="V58" s="7">
        <f t="shared" si="50"/>
        <v>3.4184627290824578E-3</v>
      </c>
      <c r="W58" s="2"/>
      <c r="X58" s="6">
        <f t="shared" si="51"/>
        <v>9.3700000000001182</v>
      </c>
      <c r="Y58" s="2"/>
      <c r="Z58" s="7">
        <f t="shared" si="52"/>
        <v>8.1914902917290585E-3</v>
      </c>
    </row>
    <row r="59" spans="1:26" s="24" customFormat="1" hidden="1" outlineLevel="2" x14ac:dyDescent="0.25">
      <c r="A59" s="27"/>
      <c r="B59" s="11" t="str">
        <f>CONCATENATE("          ", "6243", " - ", "PAPER SUPPLIES")</f>
        <v xml:space="preserve">          6243 - PAPER SUPPLIES</v>
      </c>
      <c r="C59" s="11"/>
      <c r="D59" s="6"/>
      <c r="E59" s="2"/>
      <c r="F59" s="7">
        <f t="shared" si="45"/>
        <v>0</v>
      </c>
      <c r="G59" s="2"/>
      <c r="H59" s="6">
        <v>253.1</v>
      </c>
      <c r="I59" s="2"/>
      <c r="J59" s="7">
        <f t="shared" si="46"/>
        <v>6.0637554411483909E-3</v>
      </c>
      <c r="K59" s="2"/>
      <c r="L59" s="6">
        <f t="shared" si="47"/>
        <v>-253.1</v>
      </c>
      <c r="M59" s="2"/>
      <c r="N59" s="7">
        <f t="shared" si="48"/>
        <v>-1</v>
      </c>
      <c r="O59" s="11"/>
      <c r="P59" s="6">
        <v>1490.35</v>
      </c>
      <c r="Q59" s="2"/>
      <c r="R59" s="7">
        <f t="shared" si="49"/>
        <v>5.8433972669125148E-3</v>
      </c>
      <c r="S59" s="2"/>
      <c r="T59" s="6">
        <v>2202.96</v>
      </c>
      <c r="U59" s="2"/>
      <c r="V59" s="7">
        <f t="shared" si="50"/>
        <v>6.5835598919977726E-3</v>
      </c>
      <c r="W59" s="2"/>
      <c r="X59" s="6">
        <f t="shared" si="51"/>
        <v>-712.61000000000013</v>
      </c>
      <c r="Y59" s="2"/>
      <c r="Z59" s="7">
        <f t="shared" si="52"/>
        <v>-0.32347841086538115</v>
      </c>
    </row>
    <row r="60" spans="1:26" s="24" customFormat="1" hidden="1" outlineLevel="2" x14ac:dyDescent="0.25">
      <c r="A60" s="27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45"/>
        <v>0</v>
      </c>
      <c r="G60" s="2"/>
      <c r="H60" s="6"/>
      <c r="I60" s="2"/>
      <c r="J60" s="7">
        <f t="shared" si="46"/>
        <v>0</v>
      </c>
      <c r="K60" s="2"/>
      <c r="L60" s="6">
        <f t="shared" si="47"/>
        <v>0</v>
      </c>
      <c r="M60" s="2"/>
      <c r="N60" s="7">
        <f t="shared" si="48"/>
        <v>0</v>
      </c>
      <c r="O60" s="11"/>
      <c r="P60" s="6">
        <v>244.39</v>
      </c>
      <c r="Q60" s="2"/>
      <c r="R60" s="7">
        <f t="shared" si="49"/>
        <v>9.5820972124719002E-4</v>
      </c>
      <c r="S60" s="2"/>
      <c r="T60" s="6">
        <v>7.06</v>
      </c>
      <c r="U60" s="2"/>
      <c r="V60" s="7">
        <f t="shared" si="50"/>
        <v>2.1098854648974228E-5</v>
      </c>
      <c r="W60" s="2"/>
      <c r="X60" s="6">
        <f t="shared" si="51"/>
        <v>237.32999999999998</v>
      </c>
      <c r="Y60" s="2"/>
      <c r="Z60" s="7">
        <f t="shared" si="52"/>
        <v>33.616147308781869</v>
      </c>
    </row>
    <row r="61" spans="1:26" s="24" customFormat="1" hidden="1" outlineLevel="2" x14ac:dyDescent="0.25">
      <c r="A61" s="27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45"/>
        <v>0</v>
      </c>
      <c r="G61" s="2"/>
      <c r="H61" s="6"/>
      <c r="I61" s="2"/>
      <c r="J61" s="7">
        <f t="shared" si="46"/>
        <v>0</v>
      </c>
      <c r="K61" s="2"/>
      <c r="L61" s="6">
        <f t="shared" si="47"/>
        <v>0</v>
      </c>
      <c r="M61" s="2"/>
      <c r="N61" s="7">
        <f t="shared" si="48"/>
        <v>0</v>
      </c>
      <c r="O61" s="11"/>
      <c r="P61" s="6">
        <v>42.98</v>
      </c>
      <c r="Q61" s="2"/>
      <c r="R61" s="7">
        <f t="shared" si="49"/>
        <v>1.685169353050625E-4</v>
      </c>
      <c r="S61" s="2"/>
      <c r="T61" s="6">
        <v>334.08</v>
      </c>
      <c r="U61" s="2"/>
      <c r="V61" s="7">
        <f t="shared" si="50"/>
        <v>9.9840019279451991E-4</v>
      </c>
      <c r="W61" s="2"/>
      <c r="X61" s="6">
        <f t="shared" si="51"/>
        <v>-291.09999999999997</v>
      </c>
      <c r="Y61" s="2"/>
      <c r="Z61" s="7">
        <f t="shared" si="52"/>
        <v>-0.87134818007662829</v>
      </c>
    </row>
    <row r="62" spans="1:26" s="24" customFormat="1" hidden="1" outlineLevel="2" x14ac:dyDescent="0.25">
      <c r="A62" s="27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>
        <v>704.99</v>
      </c>
      <c r="Q62" s="2"/>
      <c r="R62" s="7">
        <f t="shared" si="49"/>
        <v>2.7641403960147982E-3</v>
      </c>
      <c r="S62" s="2"/>
      <c r="T62" s="6">
        <v>905.59</v>
      </c>
      <c r="U62" s="2"/>
      <c r="V62" s="7">
        <f t="shared" si="50"/>
        <v>2.7063614421479567E-3</v>
      </c>
      <c r="W62" s="2"/>
      <c r="X62" s="6">
        <f t="shared" si="51"/>
        <v>-200.60000000000002</v>
      </c>
      <c r="Y62" s="2"/>
      <c r="Z62" s="7">
        <f t="shared" si="52"/>
        <v>-0.22151304674300734</v>
      </c>
    </row>
    <row r="63" spans="1:26" s="25" customFormat="1" outlineLevel="1" collapsed="1" x14ac:dyDescent="0.25">
      <c r="A63" s="26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71</v>
      </c>
      <c r="E63" s="1"/>
      <c r="F63" s="5">
        <f t="shared" ref="F63:F68" si="53">IF(D$12=0,0,D63/D$12)</f>
        <v>0</v>
      </c>
      <c r="G63" s="1"/>
      <c r="H63" s="1">
        <f>SUM(OSRRefH22_10x_0)</f>
        <v>71</v>
      </c>
      <c r="I63" s="1"/>
      <c r="J63" s="5">
        <f t="shared" ref="J63:J68" si="54">IF(H$12=0,0,H63/H$12)</f>
        <v>1.7010139720329345E-3</v>
      </c>
      <c r="K63" s="1"/>
      <c r="L63" s="1">
        <f t="shared" ref="L63:L68" si="55">+D63-H63</f>
        <v>0</v>
      </c>
      <c r="M63" s="1"/>
      <c r="N63" s="5">
        <f t="shared" ref="N63:N68" si="56">IF(H63=0,0,L63/H63)</f>
        <v>0</v>
      </c>
      <c r="O63" s="13"/>
      <c r="P63" s="1">
        <f>SUM(OSRRefP22_10x_0)</f>
        <v>765.96</v>
      </c>
      <c r="Q63" s="1"/>
      <c r="R63" s="5">
        <f t="shared" ref="R63:R68" si="57">IF(P$12=0,0,P63/P$12)</f>
        <v>3.0031929215045532E-3</v>
      </c>
      <c r="S63" s="1"/>
      <c r="T63" s="1">
        <f>SUM(OSRRefT22_10x_0)</f>
        <v>710</v>
      </c>
      <c r="U63" s="1"/>
      <c r="V63" s="5">
        <f t="shared" ref="V63:V68" si="58">IF(T$12=0,0,T63/T$12)</f>
        <v>2.1218394901942922E-3</v>
      </c>
      <c r="W63" s="1"/>
      <c r="X63" s="1">
        <f t="shared" ref="X63:X68" si="59">+P63-T63</f>
        <v>55.960000000000036</v>
      </c>
      <c r="Y63" s="1"/>
      <c r="Z63" s="5">
        <f t="shared" ref="Z63:Z68" si="60">IF(T63=0,0,X63/T63)</f>
        <v>7.8816901408450754E-2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6">
        <v>71</v>
      </c>
      <c r="E64" s="2"/>
      <c r="F64" s="7">
        <f t="shared" si="53"/>
        <v>0</v>
      </c>
      <c r="G64" s="2"/>
      <c r="H64" s="6">
        <v>71</v>
      </c>
      <c r="I64" s="2"/>
      <c r="J64" s="7">
        <f t="shared" si="54"/>
        <v>1.7010139720329345E-3</v>
      </c>
      <c r="K64" s="2"/>
      <c r="L64" s="6">
        <f t="shared" si="55"/>
        <v>0</v>
      </c>
      <c r="M64" s="2"/>
      <c r="N64" s="7">
        <f t="shared" si="56"/>
        <v>0</v>
      </c>
      <c r="O64" s="11"/>
      <c r="P64" s="6">
        <v>765.96</v>
      </c>
      <c r="Q64" s="2"/>
      <c r="R64" s="7">
        <f t="shared" si="57"/>
        <v>3.0031929215045532E-3</v>
      </c>
      <c r="S64" s="2"/>
      <c r="T64" s="6">
        <v>710</v>
      </c>
      <c r="U64" s="2"/>
      <c r="V64" s="7">
        <f t="shared" si="58"/>
        <v>2.1218394901942922E-3</v>
      </c>
      <c r="W64" s="2"/>
      <c r="X64" s="6">
        <f t="shared" si="59"/>
        <v>55.960000000000036</v>
      </c>
      <c r="Y64" s="2"/>
      <c r="Z64" s="7">
        <f t="shared" si="60"/>
        <v>7.8816901408450754E-2</v>
      </c>
    </row>
    <row r="65" spans="1:26" s="25" customFormat="1" outlineLevel="1" collapsed="1" x14ac:dyDescent="0.25">
      <c r="A65" s="26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SUM(OSRRefD22_11x_0)</f>
        <v>0</v>
      </c>
      <c r="E65" s="1"/>
      <c r="F65" s="5">
        <f t="shared" si="53"/>
        <v>0</v>
      </c>
      <c r="G65" s="1"/>
      <c r="H65" s="1">
        <f>SUM(OSRRefH22_11x_0)</f>
        <v>0</v>
      </c>
      <c r="I65" s="1"/>
      <c r="J65" s="5">
        <f t="shared" si="54"/>
        <v>0</v>
      </c>
      <c r="K65" s="1"/>
      <c r="L65" s="1">
        <f t="shared" si="55"/>
        <v>0</v>
      </c>
      <c r="M65" s="1"/>
      <c r="N65" s="5">
        <f t="shared" si="56"/>
        <v>0</v>
      </c>
      <c r="O65" s="13"/>
      <c r="P65" s="1">
        <f>SUM(OSRRefP22_11x_0)</f>
        <v>52.5</v>
      </c>
      <c r="Q65" s="1"/>
      <c r="R65" s="5">
        <f t="shared" si="57"/>
        <v>2.058431620175845E-4</v>
      </c>
      <c r="S65" s="1"/>
      <c r="T65" s="1">
        <f>SUM(OSRRefT22_11x_0)</f>
        <v>0</v>
      </c>
      <c r="U65" s="1"/>
      <c r="V65" s="5">
        <f t="shared" si="58"/>
        <v>0</v>
      </c>
      <c r="W65" s="1"/>
      <c r="X65" s="1">
        <f t="shared" si="59"/>
        <v>52.5</v>
      </c>
      <c r="Y65" s="1"/>
      <c r="Z65" s="5">
        <f t="shared" si="60"/>
        <v>0</v>
      </c>
    </row>
    <row r="66" spans="1:26" s="24" customFormat="1" hidden="1" outlineLevel="2" x14ac:dyDescent="0.25">
      <c r="A66" s="27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53"/>
        <v>0</v>
      </c>
      <c r="G66" s="2"/>
      <c r="H66" s="6"/>
      <c r="I66" s="2"/>
      <c r="J66" s="7">
        <f t="shared" si="54"/>
        <v>0</v>
      </c>
      <c r="K66" s="2"/>
      <c r="L66" s="6">
        <f t="shared" si="55"/>
        <v>0</v>
      </c>
      <c r="M66" s="2"/>
      <c r="N66" s="7">
        <f t="shared" si="56"/>
        <v>0</v>
      </c>
      <c r="O66" s="11"/>
      <c r="P66" s="6">
        <v>52.5</v>
      </c>
      <c r="Q66" s="2"/>
      <c r="R66" s="7">
        <f t="shared" si="57"/>
        <v>2.058431620175845E-4</v>
      </c>
      <c r="S66" s="2"/>
      <c r="T66" s="6"/>
      <c r="U66" s="2"/>
      <c r="V66" s="7">
        <f t="shared" si="58"/>
        <v>0</v>
      </c>
      <c r="W66" s="2"/>
      <c r="X66" s="6">
        <f t="shared" si="59"/>
        <v>52.5</v>
      </c>
      <c r="Y66" s="2"/>
      <c r="Z66" s="7">
        <f t="shared" si="60"/>
        <v>0</v>
      </c>
    </row>
    <row r="67" spans="1:26" s="25" customFormat="1" outlineLevel="1" collapsed="1" x14ac:dyDescent="0.25">
      <c r="A67" s="26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SUM(OSRRefD22_12x_0)</f>
        <v>0</v>
      </c>
      <c r="E67" s="1"/>
      <c r="F67" s="5">
        <f t="shared" si="53"/>
        <v>0</v>
      </c>
      <c r="G67" s="1"/>
      <c r="H67" s="1">
        <f>SUM(OSRRefH22_12x_0)</f>
        <v>6.78</v>
      </c>
      <c r="I67" s="1"/>
      <c r="J67" s="5">
        <f t="shared" si="54"/>
        <v>1.6243485535751123E-4</v>
      </c>
      <c r="K67" s="1"/>
      <c r="L67" s="1">
        <f t="shared" si="55"/>
        <v>-6.78</v>
      </c>
      <c r="M67" s="1"/>
      <c r="N67" s="5">
        <f t="shared" si="56"/>
        <v>-1</v>
      </c>
      <c r="O67" s="13"/>
      <c r="P67" s="1">
        <f>SUM(OSRRefP22_12x_0)</f>
        <v>0</v>
      </c>
      <c r="Q67" s="1"/>
      <c r="R67" s="5">
        <f t="shared" si="57"/>
        <v>0</v>
      </c>
      <c r="S67" s="1"/>
      <c r="T67" s="1">
        <f>SUM(OSRRefT22_12x_0)</f>
        <v>6.78</v>
      </c>
      <c r="U67" s="1"/>
      <c r="V67" s="5">
        <f t="shared" si="58"/>
        <v>2.0262072878193382E-5</v>
      </c>
      <c r="W67" s="1"/>
      <c r="X67" s="1">
        <f t="shared" si="59"/>
        <v>-6.78</v>
      </c>
      <c r="Y67" s="1"/>
      <c r="Z67" s="5">
        <f t="shared" si="60"/>
        <v>-1</v>
      </c>
    </row>
    <row r="68" spans="1:26" s="24" customFormat="1" hidden="1" outlineLevel="2" x14ac:dyDescent="0.25">
      <c r="A68" s="27"/>
      <c r="B68" s="11" t="str">
        <f>CONCATENATE("          ", "6292", " - ", "TRAVEL/CONFERENCE")</f>
        <v xml:space="preserve">          6292 - TRAVEL/CONFERENCE</v>
      </c>
      <c r="C68" s="11"/>
      <c r="D68" s="6"/>
      <c r="E68" s="2"/>
      <c r="F68" s="7">
        <f t="shared" si="53"/>
        <v>0</v>
      </c>
      <c r="G68" s="2"/>
      <c r="H68" s="6">
        <v>6.78</v>
      </c>
      <c r="I68" s="2"/>
      <c r="J68" s="7">
        <f t="shared" si="54"/>
        <v>1.6243485535751123E-4</v>
      </c>
      <c r="K68" s="2"/>
      <c r="L68" s="6">
        <f t="shared" si="55"/>
        <v>-6.78</v>
      </c>
      <c r="M68" s="2"/>
      <c r="N68" s="7">
        <f t="shared" si="56"/>
        <v>-1</v>
      </c>
      <c r="O68" s="11"/>
      <c r="P68" s="6"/>
      <c r="Q68" s="2"/>
      <c r="R68" s="7">
        <f t="shared" si="57"/>
        <v>0</v>
      </c>
      <c r="S68" s="2"/>
      <c r="T68" s="6">
        <v>6.78</v>
      </c>
      <c r="U68" s="2"/>
      <c r="V68" s="7">
        <f t="shared" si="58"/>
        <v>2.0262072878193382E-5</v>
      </c>
      <c r="W68" s="2"/>
      <c r="X68" s="6">
        <f t="shared" si="59"/>
        <v>-6.78</v>
      </c>
      <c r="Y68" s="2"/>
      <c r="Z68" s="7">
        <f t="shared" si="60"/>
        <v>-1</v>
      </c>
    </row>
    <row r="69" spans="1:26" s="53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9" t="s">
        <v>0</v>
      </c>
      <c r="C70" s="10"/>
      <c r="D70" s="4">
        <f>SUM(OSRRefD25x_0)</f>
        <v>0</v>
      </c>
      <c r="E70" s="4"/>
      <c r="F70" s="12">
        <f t="shared" ref="F70:F71" si="61">IF(D$12=0,0,D70/D$12)</f>
        <v>0</v>
      </c>
      <c r="G70" s="4"/>
      <c r="H70" s="4">
        <f>SUM(OSRRefH25x_0)</f>
        <v>73</v>
      </c>
      <c r="I70" s="4"/>
      <c r="J70" s="12">
        <f t="shared" ref="J70:J71" si="62">IF(H$12=0,0,H70/H$12)</f>
        <v>1.7489298585690737E-3</v>
      </c>
      <c r="K70" s="4"/>
      <c r="L70" s="4">
        <f t="shared" ref="L70:L71" si="63">+D70-H70</f>
        <v>-73</v>
      </c>
      <c r="M70" s="4"/>
      <c r="N70" s="12">
        <f t="shared" ref="N70:N71" si="64">IF(H70=0,0,L70/H70)</f>
        <v>-1</v>
      </c>
      <c r="O70" s="10"/>
      <c r="P70" s="4">
        <f>SUM(OSRRefP25x_0)</f>
        <v>507</v>
      </c>
      <c r="Q70" s="4"/>
      <c r="R70" s="12">
        <f t="shared" ref="R70:R71" si="65">IF(P$12=0,0,P70/P$12)</f>
        <v>1.9878568217698159E-3</v>
      </c>
      <c r="S70" s="4"/>
      <c r="T70" s="4">
        <f>SUM(OSRRefT25x_0)</f>
        <v>6394</v>
      </c>
      <c r="U70" s="4"/>
      <c r="V70" s="12">
        <f t="shared" ref="V70:V71" si="66">IF(T$12=0,0,T70/T$12)</f>
        <v>1.91085094370455E-2</v>
      </c>
      <c r="W70" s="4"/>
      <c r="X70" s="4">
        <f t="shared" ref="X70:X71" si="67">+P70-T70</f>
        <v>-5887</v>
      </c>
      <c r="Y70" s="4"/>
      <c r="Z70" s="12">
        <f t="shared" ref="Z70:Z71" si="68">IF(T70=0,0,X70/T70)</f>
        <v>-0.92070691273068506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0</f>
        <v>0</v>
      </c>
      <c r="E71" s="2"/>
      <c r="F71" s="19">
        <f t="shared" si="61"/>
        <v>0</v>
      </c>
      <c r="G71" s="2"/>
      <c r="H71" s="2">
        <f>--73</f>
        <v>73</v>
      </c>
      <c r="I71" s="2"/>
      <c r="J71" s="19">
        <f t="shared" si="62"/>
        <v>1.7489298585690737E-3</v>
      </c>
      <c r="K71" s="2"/>
      <c r="L71" s="2">
        <f t="shared" si="63"/>
        <v>-73</v>
      </c>
      <c r="M71" s="2"/>
      <c r="N71" s="19">
        <f t="shared" si="64"/>
        <v>-1</v>
      </c>
      <c r="O71" s="11"/>
      <c r="P71" s="2">
        <f>--507</f>
        <v>507</v>
      </c>
      <c r="Q71" s="2"/>
      <c r="R71" s="19">
        <f t="shared" si="65"/>
        <v>1.9878568217698159E-3</v>
      </c>
      <c r="S71" s="2"/>
      <c r="T71" s="2">
        <f>--6394</f>
        <v>6394</v>
      </c>
      <c r="U71" s="2"/>
      <c r="V71" s="19">
        <f t="shared" si="66"/>
        <v>1.91085094370455E-2</v>
      </c>
      <c r="W71" s="2"/>
      <c r="X71" s="2">
        <f t="shared" si="67"/>
        <v>-5887</v>
      </c>
      <c r="Y71" s="2"/>
      <c r="Z71" s="19">
        <f t="shared" si="68"/>
        <v>-0.92070691273068506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+D20-D22+D70</f>
        <v>-14142.079999999998</v>
      </c>
      <c r="E73" s="14"/>
      <c r="F73" s="20">
        <f>IF(D$12=0,0,D73/D$12)</f>
        <v>0</v>
      </c>
      <c r="G73" s="14"/>
      <c r="H73" s="21">
        <f>+H20-H22+H70</f>
        <v>11431.289999999997</v>
      </c>
      <c r="I73" s="14"/>
      <c r="J73" s="20">
        <f>IF(H$12=0,0,H73/H$12)</f>
        <v>0.27387019730085016</v>
      </c>
      <c r="K73" s="15"/>
      <c r="L73" s="21">
        <f>+D73-H73</f>
        <v>-25573.369999999995</v>
      </c>
      <c r="M73" s="15"/>
      <c r="N73" s="20">
        <f>IF(H73=0,0,L73/H73)</f>
        <v>-2.2371377158658388</v>
      </c>
      <c r="O73" s="29"/>
      <c r="P73" s="21">
        <f>+P20-P22+P70</f>
        <v>-25570.449999999924</v>
      </c>
      <c r="Q73" s="14"/>
      <c r="R73" s="20">
        <f>IF(P$12=0,0,P73/P$12)</f>
        <v>-0.10025718632785768</v>
      </c>
      <c r="S73" s="14"/>
      <c r="T73" s="21">
        <f>+T20-T22+T70</f>
        <v>55098.849999999977</v>
      </c>
      <c r="U73" s="14"/>
      <c r="V73" s="20">
        <f>IF(T$12=0,0,T73/T$12)</f>
        <v>0.16466326168210102</v>
      </c>
      <c r="W73" s="15"/>
      <c r="X73" s="21">
        <f>+P73-T73</f>
        <v>-80669.299999999901</v>
      </c>
      <c r="Y73" s="15"/>
      <c r="Z73" s="20">
        <f>IF(T73=0,0,X73/T73)</f>
        <v>-1.4640831886690908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1629.87</v>
      </c>
      <c r="E75" s="4"/>
      <c r="F75" s="12">
        <f>IF(D$12=0,0,D75/D$12)</f>
        <v>0</v>
      </c>
      <c r="G75" s="4"/>
      <c r="H75" s="4">
        <v>4628.01</v>
      </c>
      <c r="I75" s="4"/>
      <c r="J75" s="12">
        <f>IF(H$12=0,0,H75/H$12)</f>
        <v>0.11087760102405834</v>
      </c>
      <c r="K75" s="4"/>
      <c r="L75" s="4">
        <f>+D75-H75</f>
        <v>-2998.1400000000003</v>
      </c>
      <c r="M75" s="4"/>
      <c r="N75" s="12">
        <f>IF(H75=0,0,L75/H75)</f>
        <v>-0.64782487505428898</v>
      </c>
      <c r="O75" s="10"/>
      <c r="P75" s="4">
        <v>28958.94</v>
      </c>
      <c r="Q75" s="4"/>
      <c r="R75" s="12">
        <f>IF(P$12=0,0,P75/P$12)</f>
        <v>0.11354285291957159</v>
      </c>
      <c r="S75" s="4"/>
      <c r="T75" s="4">
        <v>34786.120000000003</v>
      </c>
      <c r="U75" s="4"/>
      <c r="V75" s="12">
        <f>IF(T$12=0,0,T75/T$12)</f>
        <v>0.10395853961498237</v>
      </c>
      <c r="W75" s="4"/>
      <c r="X75" s="4">
        <f>+P75-T75</f>
        <v>-5827.1800000000039</v>
      </c>
      <c r="Y75" s="4"/>
      <c r="Z75" s="12">
        <f>IF(T75=0,0,X75/T75)</f>
        <v>-0.16751451440977044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0">
        <f>+D73-D75</f>
        <v>-15771.949999999997</v>
      </c>
      <c r="E77" s="14"/>
      <c r="F77" s="36">
        <f>IF(D$12=0,0,D77/D$12)</f>
        <v>0</v>
      </c>
      <c r="G77" s="14"/>
      <c r="H77" s="30">
        <f>+H73-H75</f>
        <v>6803.279999999997</v>
      </c>
      <c r="I77" s="14"/>
      <c r="J77" s="36">
        <f>IF(H$12=0,0,H77/H$12)</f>
        <v>0.1629925962767918</v>
      </c>
      <c r="K77" s="15"/>
      <c r="L77" s="30">
        <f>D77-H77</f>
        <v>-22575.229999999996</v>
      </c>
      <c r="M77" s="15"/>
      <c r="N77" s="36">
        <f>IF(H77=0,0,L77/H77)</f>
        <v>-3.3182861796074845</v>
      </c>
      <c r="O77" s="29"/>
      <c r="P77" s="30">
        <f>+P73-P75</f>
        <v>-54529.389999999927</v>
      </c>
      <c r="Q77" s="14"/>
      <c r="R77" s="36">
        <f>IF(P$12=0,0,P77/P$12)</f>
        <v>-0.21380003924742927</v>
      </c>
      <c r="S77" s="14"/>
      <c r="T77" s="30">
        <f>+T73-T75</f>
        <v>20312.729999999974</v>
      </c>
      <c r="U77" s="14"/>
      <c r="V77" s="36">
        <f>IF(T$12=0,0,T77/T$12)</f>
        <v>6.0704722067118667E-2</v>
      </c>
      <c r="W77" s="15"/>
      <c r="X77" s="30">
        <f>P77-T77</f>
        <v>-74842.119999999908</v>
      </c>
      <c r="Y77" s="15"/>
      <c r="Z77" s="36">
        <f>IF(T77=0,0,X77/T77)</f>
        <v>-3.6844934186591365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-15771.949999999997</v>
      </c>
      <c r="E80" s="14"/>
      <c r="F80" s="32">
        <f>IF(D$12=0,0,D80/D$12)</f>
        <v>0</v>
      </c>
      <c r="G80" s="14"/>
      <c r="H80" s="31">
        <f>SUM(H77:H79)</f>
        <v>6803.279999999997</v>
      </c>
      <c r="I80" s="14"/>
      <c r="J80" s="32">
        <f>IF(H$12=0,0,H80/H$12)</f>
        <v>0.1629925962767918</v>
      </c>
      <c r="K80" s="15"/>
      <c r="L80" s="31">
        <f>+D80-H80</f>
        <v>-22575.229999999996</v>
      </c>
      <c r="M80" s="15"/>
      <c r="N80" s="32">
        <f>IF(H80=0,0,L80/H80)</f>
        <v>-3.3182861796074845</v>
      </c>
      <c r="O80" s="29"/>
      <c r="P80" s="31">
        <f>SUM(P77:P79)</f>
        <v>-54529.389999999927</v>
      </c>
      <c r="Q80" s="14"/>
      <c r="R80" s="32">
        <f>IF(P$12=0,0,P80/P$12)</f>
        <v>-0.21380003924742927</v>
      </c>
      <c r="S80" s="14"/>
      <c r="T80" s="31">
        <f>SUM(T77:T79)</f>
        <v>20312.729999999974</v>
      </c>
      <c r="U80" s="14"/>
      <c r="V80" s="32">
        <f>IF(T$12=0,0,T80/T$12)</f>
        <v>6.0704722067118667E-2</v>
      </c>
      <c r="W80" s="15"/>
      <c r="X80" s="31">
        <f>+P80-T80</f>
        <v>-74842.119999999908</v>
      </c>
      <c r="Y80" s="15"/>
      <c r="Z80" s="32">
        <f>IF(T80=0,0,X80/T80)</f>
        <v>-3.6844934186591365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4">
        <v>43965.47131385417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59" t="s">
        <v>313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61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","414", " - ", "Starbucks UDP")</f>
        <v>Department 414 - Starbucks UDP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100432.77</v>
      </c>
      <c r="I12" s="4"/>
      <c r="J12" s="12"/>
      <c r="K12" s="4"/>
      <c r="L12" s="4">
        <f t="shared" ref="L12:L14" si="0">+D12-H12</f>
        <v>-100432.77</v>
      </c>
      <c r="M12" s="4"/>
      <c r="N12" s="12">
        <f t="shared" ref="N12:N14" si="1">IF(H12=0,0,L12/H12)</f>
        <v>-1</v>
      </c>
      <c r="O12" s="10"/>
      <c r="P12" s="4">
        <f>SUM(OSRRefP13x_0)</f>
        <v>591931.24</v>
      </c>
      <c r="Q12" s="4"/>
      <c r="R12" s="12"/>
      <c r="S12" s="4"/>
      <c r="T12" s="4">
        <f>SUM(OSRRefT13x_0)</f>
        <v>764310.7300000001</v>
      </c>
      <c r="U12" s="4"/>
      <c r="V12" s="12"/>
      <c r="W12" s="4"/>
      <c r="X12" s="4">
        <f t="shared" ref="X12:X14" si="2">+P12-T12</f>
        <v>-172379.49000000011</v>
      </c>
      <c r="Y12" s="4"/>
      <c r="Z12" s="12">
        <f t="shared" ref="Z12:Z14" si="3">IF(T12=0,0,X12/T12)</f>
        <v>-0.22553587596500194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>--25564.27</f>
        <v>25564.27</v>
      </c>
      <c r="I13" s="2"/>
      <c r="J13" s="19"/>
      <c r="K13" s="2"/>
      <c r="L13" s="2">
        <f t="shared" si="0"/>
        <v>-25564.27</v>
      </c>
      <c r="M13" s="2"/>
      <c r="N13" s="19">
        <f t="shared" si="1"/>
        <v>-1</v>
      </c>
      <c r="O13" s="11"/>
      <c r="P13" s="2">
        <f>--117077.57</f>
        <v>117077.57</v>
      </c>
      <c r="Q13" s="2"/>
      <c r="R13" s="19"/>
      <c r="S13" s="2"/>
      <c r="T13" s="2">
        <f>--194463.42</f>
        <v>194463.42</v>
      </c>
      <c r="U13" s="2"/>
      <c r="V13" s="19"/>
      <c r="W13" s="2"/>
      <c r="X13" s="2">
        <f t="shared" si="2"/>
        <v>-77385.850000000006</v>
      </c>
      <c r="Y13" s="2"/>
      <c r="Z13" s="19">
        <f t="shared" si="3"/>
        <v>-0.3979455364921588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>--74868.5</f>
        <v>74868.5</v>
      </c>
      <c r="I14" s="2"/>
      <c r="J14" s="19"/>
      <c r="K14" s="2"/>
      <c r="L14" s="2">
        <f t="shared" si="0"/>
        <v>-74868.5</v>
      </c>
      <c r="M14" s="2"/>
      <c r="N14" s="19">
        <f t="shared" si="1"/>
        <v>-1</v>
      </c>
      <c r="O14" s="11"/>
      <c r="P14" s="2">
        <f>--474853.67</f>
        <v>474853.67</v>
      </c>
      <c r="Q14" s="2"/>
      <c r="R14" s="19"/>
      <c r="S14" s="2"/>
      <c r="T14" s="2">
        <f>--569847.31</f>
        <v>569847.31000000006</v>
      </c>
      <c r="U14" s="2"/>
      <c r="V14" s="19"/>
      <c r="W14" s="2"/>
      <c r="X14" s="2">
        <f t="shared" si="2"/>
        <v>-94993.640000000072</v>
      </c>
      <c r="Y14" s="2"/>
      <c r="Z14" s="19">
        <f t="shared" si="3"/>
        <v>-0.16670016394391696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2959</v>
      </c>
      <c r="E16" s="4"/>
      <c r="F16" s="12">
        <f t="shared" ref="F16:F18" si="5">IF(D$12=0,0,D16/D$12)</f>
        <v>0</v>
      </c>
      <c r="G16" s="4"/>
      <c r="H16" s="4">
        <f>SUM(OSRRefH16x_0)</f>
        <v>37225.870000000003</v>
      </c>
      <c r="I16" s="4"/>
      <c r="J16" s="12">
        <f t="shared" ref="J16:J18" si="6">IF(H$12=0,0,H16/H$12)</f>
        <v>0.37065461800963967</v>
      </c>
      <c r="K16" s="4"/>
      <c r="L16" s="4">
        <f t="shared" ref="L16:L18" si="7">+D16-H16</f>
        <v>-34266.870000000003</v>
      </c>
      <c r="M16" s="4"/>
      <c r="N16" s="12">
        <f t="shared" ref="N16:N18" si="8">IF(H16=0,0,L16/H16)</f>
        <v>-0.92051226740973413</v>
      </c>
      <c r="O16" s="10"/>
      <c r="P16" s="4">
        <f>SUM(OSRRefP16x_0)</f>
        <v>201396.77000000002</v>
      </c>
      <c r="Q16" s="4"/>
      <c r="R16" s="12">
        <f t="shared" ref="R16:R18" si="9">IF(P$12=0,0,P16/P$12)</f>
        <v>0.34023676466205777</v>
      </c>
      <c r="S16" s="4"/>
      <c r="T16" s="4">
        <f>SUM(OSRRefT16x_0)</f>
        <v>262294.03000000003</v>
      </c>
      <c r="U16" s="4"/>
      <c r="V16" s="12">
        <f t="shared" ref="V16:V18" si="10">IF(T$12=0,0,T16/T$12)</f>
        <v>0.34317721798829121</v>
      </c>
      <c r="W16" s="4"/>
      <c r="X16" s="4">
        <f t="shared" ref="X16:X18" si="11">+P16-T16</f>
        <v>-60897.260000000009</v>
      </c>
      <c r="Y16" s="4"/>
      <c r="Z16" s="12">
        <f t="shared" ref="Z16:Z18" si="12">IF(T16=0,0,X16/T16)</f>
        <v>-0.2321717349037643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35505.870000000003</v>
      </c>
      <c r="I17" s="2"/>
      <c r="J17" s="19">
        <f t="shared" si="6"/>
        <v>0.35352873369917009</v>
      </c>
      <c r="K17" s="2"/>
      <c r="L17" s="2">
        <f t="shared" si="7"/>
        <v>-35505.870000000003</v>
      </c>
      <c r="M17" s="2"/>
      <c r="N17" s="19">
        <f t="shared" si="8"/>
        <v>-1</v>
      </c>
      <c r="O17" s="11"/>
      <c r="P17" s="2">
        <v>197326.77000000002</v>
      </c>
      <c r="Q17" s="2"/>
      <c r="R17" s="19">
        <f t="shared" si="9"/>
        <v>0.33336096604734028</v>
      </c>
      <c r="S17" s="2"/>
      <c r="T17" s="2">
        <v>268406.03000000003</v>
      </c>
      <c r="U17" s="2"/>
      <c r="V17" s="19">
        <f t="shared" si="10"/>
        <v>0.35117396559381026</v>
      </c>
      <c r="W17" s="2"/>
      <c r="X17" s="2">
        <f t="shared" si="11"/>
        <v>-71079.260000000009</v>
      </c>
      <c r="Y17" s="2"/>
      <c r="Z17" s="19">
        <f t="shared" si="12"/>
        <v>-0.26481990736199185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2959</v>
      </c>
      <c r="E18" s="2"/>
      <c r="F18" s="19">
        <f t="shared" si="5"/>
        <v>0</v>
      </c>
      <c r="G18" s="2"/>
      <c r="H18" s="2">
        <v>1720</v>
      </c>
      <c r="I18" s="2"/>
      <c r="J18" s="19">
        <f t="shared" si="6"/>
        <v>1.7125884310469582E-2</v>
      </c>
      <c r="K18" s="2"/>
      <c r="L18" s="2">
        <f t="shared" si="7"/>
        <v>1239</v>
      </c>
      <c r="M18" s="2"/>
      <c r="N18" s="19">
        <f t="shared" si="8"/>
        <v>0.72034883720930232</v>
      </c>
      <c r="O18" s="11"/>
      <c r="P18" s="2">
        <v>4070</v>
      </c>
      <c r="Q18" s="2"/>
      <c r="R18" s="19">
        <f t="shared" si="9"/>
        <v>6.8757986147174798E-3</v>
      </c>
      <c r="S18" s="2"/>
      <c r="T18" s="2">
        <v>-6112</v>
      </c>
      <c r="U18" s="2"/>
      <c r="V18" s="19">
        <f t="shared" si="10"/>
        <v>-7.9967476055190258E-3</v>
      </c>
      <c r="W18" s="2"/>
      <c r="X18" s="2">
        <f t="shared" si="11"/>
        <v>10182</v>
      </c>
      <c r="Y18" s="2"/>
      <c r="Z18" s="19">
        <f t="shared" si="12"/>
        <v>-1.6659031413612566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-2959</v>
      </c>
      <c r="E20" s="14"/>
      <c r="F20" s="20">
        <f>IF(D$12=0,0,D20/D$12)</f>
        <v>0</v>
      </c>
      <c r="G20" s="14"/>
      <c r="H20" s="21">
        <f>H12-H16</f>
        <v>63206.9</v>
      </c>
      <c r="I20" s="14"/>
      <c r="J20" s="20">
        <f>IF(H$12=0,0,H20/H$12)</f>
        <v>0.62934538199036028</v>
      </c>
      <c r="K20" s="15"/>
      <c r="L20" s="21">
        <f>+D20-H20</f>
        <v>-66165.899999999994</v>
      </c>
      <c r="M20" s="15"/>
      <c r="N20" s="20">
        <f>IF(H20=0,0,L20/H20)</f>
        <v>-1.0468145091754222</v>
      </c>
      <c r="O20" s="29"/>
      <c r="P20" s="21">
        <f>P12-P16</f>
        <v>390534.47</v>
      </c>
      <c r="Q20" s="14"/>
      <c r="R20" s="20">
        <f>IF(P$12=0,0,P20/P$12)</f>
        <v>0.65976323533794223</v>
      </c>
      <c r="S20" s="14"/>
      <c r="T20" s="21">
        <f>T12-T16</f>
        <v>502016.70000000007</v>
      </c>
      <c r="U20" s="14"/>
      <c r="V20" s="20">
        <f>IF(T$12=0,0,T20/T$12)</f>
        <v>0.65682278201170874</v>
      </c>
      <c r="W20" s="15"/>
      <c r="X20" s="21">
        <f>+P20-T20</f>
        <v>-111482.2300000001</v>
      </c>
      <c r="Y20" s="15"/>
      <c r="Z20" s="20">
        <f>IF(T20=0,0,X20/T20)</f>
        <v>-0.22206876783182727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4426.8599999999997</v>
      </c>
      <c r="E22" s="22"/>
      <c r="F22" s="35">
        <f t="shared" ref="F22:F31" si="13">IF(D$12=0,0,D22/D$12)</f>
        <v>0</v>
      </c>
      <c r="G22" s="22"/>
      <c r="H22" s="22">
        <f>SUM(OSRRefH22x_0)</f>
        <v>42708.009999999995</v>
      </c>
      <c r="I22" s="22"/>
      <c r="J22" s="35">
        <f t="shared" ref="J22:J31" si="14">IF(H$12=0,0,H22/H$12)</f>
        <v>0.42523978976184756</v>
      </c>
      <c r="K22" s="4"/>
      <c r="L22" s="22">
        <f t="shared" ref="L22:L31" si="15">+D22-H22</f>
        <v>-38281.149999999994</v>
      </c>
      <c r="M22" s="4"/>
      <c r="N22" s="35">
        <f t="shared" ref="N22:N31" si="16">IF(H22=0,0,L22/H22)</f>
        <v>-0.89634590794560554</v>
      </c>
      <c r="O22" s="10"/>
      <c r="P22" s="22">
        <f>SUM(OSRRefP22x_0)</f>
        <v>326341.10999999993</v>
      </c>
      <c r="Q22" s="22"/>
      <c r="R22" s="35">
        <f t="shared" ref="R22:R31" si="17">IF(P$12=0,0,P22/P$12)</f>
        <v>0.55131590959787813</v>
      </c>
      <c r="S22" s="22"/>
      <c r="T22" s="22">
        <f>SUM(OSRRefT22x_0)</f>
        <v>377607.25999999995</v>
      </c>
      <c r="U22" s="22"/>
      <c r="V22" s="35">
        <f t="shared" ref="V22:V31" si="18">IF(T$12=0,0,T22/T$12)</f>
        <v>0.49404940317925394</v>
      </c>
      <c r="W22" s="4"/>
      <c r="X22" s="22">
        <f t="shared" ref="X22:X31" si="19">+P22-T22</f>
        <v>-51266.150000000023</v>
      </c>
      <c r="Y22" s="4"/>
      <c r="Z22" s="35">
        <f t="shared" ref="Z22:Z31" si="20">IF(T22=0,0,X22/T22)</f>
        <v>-0.13576579539281111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1319.9499999999998</v>
      </c>
      <c r="E23" s="1"/>
      <c r="F23" s="5">
        <f t="shared" si="13"/>
        <v>0</v>
      </c>
      <c r="G23" s="1"/>
      <c r="H23" s="1">
        <f>SUM(OSRRefH22_0x_0)</f>
        <v>2821.7200000000007</v>
      </c>
      <c r="I23" s="1"/>
      <c r="J23" s="5">
        <f t="shared" si="14"/>
        <v>2.8095610625894323E-2</v>
      </c>
      <c r="K23" s="1"/>
      <c r="L23" s="1">
        <f t="shared" si="15"/>
        <v>-1501.7700000000009</v>
      </c>
      <c r="M23" s="1"/>
      <c r="N23" s="5">
        <f t="shared" si="16"/>
        <v>-0.53221793799526551</v>
      </c>
      <c r="O23" s="13"/>
      <c r="P23" s="1">
        <f>SUM(OSRRefP22_0x_0)</f>
        <v>26767.740000000005</v>
      </c>
      <c r="Q23" s="1"/>
      <c r="R23" s="5">
        <f t="shared" si="17"/>
        <v>4.5221029388481007E-2</v>
      </c>
      <c r="S23" s="1"/>
      <c r="T23" s="1">
        <f>SUM(OSRRefT22_0x_0)</f>
        <v>33066.36</v>
      </c>
      <c r="U23" s="1"/>
      <c r="V23" s="5">
        <f t="shared" si="18"/>
        <v>4.3262980227949957E-2</v>
      </c>
      <c r="W23" s="1"/>
      <c r="X23" s="1">
        <f t="shared" si="19"/>
        <v>-6298.6199999999953</v>
      </c>
      <c r="Y23" s="1"/>
      <c r="Z23" s="5">
        <f t="shared" si="20"/>
        <v>-0.1904842262650015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>
        <v>190.68</v>
      </c>
      <c r="E24" s="2"/>
      <c r="F24" s="7">
        <f t="shared" si="13"/>
        <v>0</v>
      </c>
      <c r="G24" s="2"/>
      <c r="H24" s="6">
        <v>479.67</v>
      </c>
      <c r="I24" s="2"/>
      <c r="J24" s="7">
        <f t="shared" si="14"/>
        <v>4.7760307716296184E-3</v>
      </c>
      <c r="K24" s="2"/>
      <c r="L24" s="6">
        <f t="shared" si="15"/>
        <v>-288.99</v>
      </c>
      <c r="M24" s="2"/>
      <c r="N24" s="7">
        <f t="shared" si="16"/>
        <v>-0.60247670273312903</v>
      </c>
      <c r="O24" s="11"/>
      <c r="P24" s="6">
        <v>5976.8</v>
      </c>
      <c r="Q24" s="2"/>
      <c r="R24" s="7">
        <f t="shared" si="17"/>
        <v>1.0097118712639665E-2</v>
      </c>
      <c r="S24" s="2"/>
      <c r="T24" s="6">
        <v>5981.71</v>
      </c>
      <c r="U24" s="2"/>
      <c r="V24" s="7">
        <f t="shared" si="18"/>
        <v>7.8262802878614549E-3</v>
      </c>
      <c r="W24" s="2"/>
      <c r="X24" s="6">
        <f t="shared" si="19"/>
        <v>-4.9099999999998545</v>
      </c>
      <c r="Y24" s="2"/>
      <c r="Z24" s="7">
        <f t="shared" si="20"/>
        <v>-8.2083551359057102E-4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96.72</v>
      </c>
      <c r="E25" s="2"/>
      <c r="F25" s="7">
        <f t="shared" si="13"/>
        <v>0</v>
      </c>
      <c r="G25" s="2"/>
      <c r="H25" s="6">
        <v>766.48</v>
      </c>
      <c r="I25" s="2"/>
      <c r="J25" s="7">
        <f t="shared" si="14"/>
        <v>7.6317719804004213E-3</v>
      </c>
      <c r="K25" s="2"/>
      <c r="L25" s="6">
        <f t="shared" si="15"/>
        <v>-669.76</v>
      </c>
      <c r="M25" s="2"/>
      <c r="N25" s="7">
        <f t="shared" si="16"/>
        <v>-0.87381275440976935</v>
      </c>
      <c r="O25" s="11"/>
      <c r="P25" s="6">
        <v>5901.84</v>
      </c>
      <c r="Q25" s="2"/>
      <c r="R25" s="7">
        <f t="shared" si="17"/>
        <v>9.9704823823794139E-3</v>
      </c>
      <c r="S25" s="2"/>
      <c r="T25" s="6">
        <v>6477.7</v>
      </c>
      <c r="U25" s="2"/>
      <c r="V25" s="7">
        <f t="shared" si="18"/>
        <v>8.475217926091393E-3</v>
      </c>
      <c r="W25" s="2"/>
      <c r="X25" s="6">
        <f t="shared" si="19"/>
        <v>-575.85999999999967</v>
      </c>
      <c r="Y25" s="2"/>
      <c r="Z25" s="7">
        <f t="shared" si="20"/>
        <v>-8.8898837550365054E-2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>
        <v>702.51</v>
      </c>
      <c r="E26" s="2"/>
      <c r="F26" s="7">
        <f t="shared" si="13"/>
        <v>0</v>
      </c>
      <c r="G26" s="2"/>
      <c r="H26" s="6">
        <v>698.82</v>
      </c>
      <c r="I26" s="2"/>
      <c r="J26" s="7">
        <f t="shared" si="14"/>
        <v>6.9580874847920658E-3</v>
      </c>
      <c r="K26" s="2"/>
      <c r="L26" s="6">
        <f t="shared" si="15"/>
        <v>3.6899999999999409</v>
      </c>
      <c r="M26" s="2"/>
      <c r="N26" s="7">
        <f t="shared" si="16"/>
        <v>5.2803296986347562E-3</v>
      </c>
      <c r="O26" s="11"/>
      <c r="P26" s="6">
        <v>7706.31</v>
      </c>
      <c r="Q26" s="2"/>
      <c r="R26" s="7">
        <f t="shared" si="17"/>
        <v>1.3018927671396429E-2</v>
      </c>
      <c r="S26" s="2"/>
      <c r="T26" s="6">
        <v>6583.58</v>
      </c>
      <c r="U26" s="2"/>
      <c r="V26" s="7">
        <f t="shared" si="18"/>
        <v>8.6137479713257453E-3</v>
      </c>
      <c r="W26" s="2"/>
      <c r="X26" s="6">
        <f t="shared" si="19"/>
        <v>1122.7300000000005</v>
      </c>
      <c r="Y26" s="2"/>
      <c r="Z26" s="7">
        <f t="shared" si="20"/>
        <v>0.17053487616160212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6.48</v>
      </c>
      <c r="E27" s="2"/>
      <c r="F27" s="7">
        <f t="shared" si="13"/>
        <v>0</v>
      </c>
      <c r="G27" s="2"/>
      <c r="H27" s="6">
        <v>56.94</v>
      </c>
      <c r="I27" s="2"/>
      <c r="J27" s="7">
        <f t="shared" si="14"/>
        <v>5.6694642595240576E-4</v>
      </c>
      <c r="K27" s="2"/>
      <c r="L27" s="6">
        <f t="shared" si="15"/>
        <v>-50.459999999999994</v>
      </c>
      <c r="M27" s="2"/>
      <c r="N27" s="7">
        <f t="shared" si="16"/>
        <v>-0.88619599578503683</v>
      </c>
      <c r="O27" s="11"/>
      <c r="P27" s="6">
        <v>479.62</v>
      </c>
      <c r="Q27" s="2"/>
      <c r="R27" s="7">
        <f t="shared" si="17"/>
        <v>8.1026302987488889E-4</v>
      </c>
      <c r="S27" s="2"/>
      <c r="T27" s="6">
        <v>550.73</v>
      </c>
      <c r="U27" s="2"/>
      <c r="V27" s="7">
        <f t="shared" si="18"/>
        <v>7.2055772395083334E-4</v>
      </c>
      <c r="W27" s="2"/>
      <c r="X27" s="6">
        <f t="shared" si="19"/>
        <v>-71.110000000000014</v>
      </c>
      <c r="Y27" s="2"/>
      <c r="Z27" s="7">
        <f t="shared" si="20"/>
        <v>-0.12911953225718595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448.74</v>
      </c>
      <c r="I28" s="2"/>
      <c r="J28" s="7">
        <f t="shared" si="14"/>
        <v>4.4680635613256513E-3</v>
      </c>
      <c r="K28" s="2"/>
      <c r="L28" s="6">
        <f t="shared" si="15"/>
        <v>-448.74</v>
      </c>
      <c r="M28" s="2"/>
      <c r="N28" s="7">
        <f t="shared" si="16"/>
        <v>-1</v>
      </c>
      <c r="O28" s="11"/>
      <c r="P28" s="6">
        <v>711.9</v>
      </c>
      <c r="Q28" s="2"/>
      <c r="R28" s="7">
        <f t="shared" si="17"/>
        <v>1.2026734726824015E-3</v>
      </c>
      <c r="S28" s="2"/>
      <c r="T28" s="6">
        <v>5072.3500000000004</v>
      </c>
      <c r="U28" s="2"/>
      <c r="V28" s="7">
        <f t="shared" si="18"/>
        <v>6.6365024078623098E-3</v>
      </c>
      <c r="W28" s="2"/>
      <c r="X28" s="6">
        <f t="shared" si="19"/>
        <v>-4360.4500000000007</v>
      </c>
      <c r="Y28" s="2"/>
      <c r="Z28" s="7">
        <f t="shared" si="20"/>
        <v>-0.85965085216911297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>
        <v>96.25</v>
      </c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96.25</v>
      </c>
      <c r="M29" s="2"/>
      <c r="N29" s="7">
        <f t="shared" si="16"/>
        <v>0</v>
      </c>
      <c r="O29" s="11"/>
      <c r="P29" s="6">
        <v>2037.11</v>
      </c>
      <c r="Q29" s="2"/>
      <c r="R29" s="7">
        <f t="shared" si="17"/>
        <v>3.4414639105717752E-3</v>
      </c>
      <c r="S29" s="2"/>
      <c r="T29" s="6">
        <v>1777.73</v>
      </c>
      <c r="U29" s="2"/>
      <c r="V29" s="7">
        <f t="shared" si="18"/>
        <v>2.3259257396530332E-3</v>
      </c>
      <c r="W29" s="2"/>
      <c r="X29" s="6">
        <f t="shared" si="19"/>
        <v>259.37999999999988</v>
      </c>
      <c r="Y29" s="2"/>
      <c r="Z29" s="7">
        <f t="shared" si="20"/>
        <v>0.14590517120147597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115.31</v>
      </c>
      <c r="E30" s="2"/>
      <c r="F30" s="7">
        <f t="shared" si="13"/>
        <v>0</v>
      </c>
      <c r="G30" s="2"/>
      <c r="H30" s="6">
        <v>219.98</v>
      </c>
      <c r="I30" s="2"/>
      <c r="J30" s="7">
        <f t="shared" si="14"/>
        <v>2.1903209480331966E-3</v>
      </c>
      <c r="K30" s="2"/>
      <c r="L30" s="6">
        <f t="shared" si="15"/>
        <v>-104.66999999999999</v>
      </c>
      <c r="M30" s="2"/>
      <c r="N30" s="7">
        <f t="shared" si="16"/>
        <v>-0.47581598327120644</v>
      </c>
      <c r="O30" s="11"/>
      <c r="P30" s="6">
        <v>2440.5100000000002</v>
      </c>
      <c r="Q30" s="2"/>
      <c r="R30" s="7">
        <f t="shared" si="17"/>
        <v>4.1229619845710459E-3</v>
      </c>
      <c r="S30" s="2"/>
      <c r="T30" s="6">
        <v>5153.53</v>
      </c>
      <c r="U30" s="2"/>
      <c r="V30" s="7">
        <f t="shared" si="18"/>
        <v>6.7427157538400631E-3</v>
      </c>
      <c r="W30" s="2"/>
      <c r="X30" s="6">
        <f t="shared" si="19"/>
        <v>-2713.0199999999995</v>
      </c>
      <c r="Y30" s="2"/>
      <c r="Z30" s="7">
        <f t="shared" si="20"/>
        <v>-0.52643915917827189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112</v>
      </c>
      <c r="E31" s="2"/>
      <c r="F31" s="7">
        <f t="shared" si="13"/>
        <v>0</v>
      </c>
      <c r="G31" s="2"/>
      <c r="H31" s="6">
        <v>151.09</v>
      </c>
      <c r="I31" s="2"/>
      <c r="J31" s="7">
        <f t="shared" si="14"/>
        <v>1.5043894537609586E-3</v>
      </c>
      <c r="K31" s="2"/>
      <c r="L31" s="6">
        <f t="shared" si="15"/>
        <v>-39.090000000000003</v>
      </c>
      <c r="M31" s="2"/>
      <c r="N31" s="7">
        <f t="shared" si="16"/>
        <v>-0.2587199682308558</v>
      </c>
      <c r="O31" s="11"/>
      <c r="P31" s="6">
        <v>1513.65</v>
      </c>
      <c r="Q31" s="2"/>
      <c r="R31" s="7">
        <f t="shared" si="17"/>
        <v>2.5571382243653844E-3</v>
      </c>
      <c r="S31" s="2"/>
      <c r="T31" s="6">
        <v>1469.03</v>
      </c>
      <c r="U31" s="2"/>
      <c r="V31" s="7">
        <f t="shared" si="18"/>
        <v>1.9220324173651203E-3</v>
      </c>
      <c r="W31" s="2"/>
      <c r="X31" s="6">
        <f t="shared" si="19"/>
        <v>44.620000000000118</v>
      </c>
      <c r="Y31" s="2"/>
      <c r="Z31" s="7">
        <f t="shared" si="20"/>
        <v>3.0373784061591743E-2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645.94000000000005</v>
      </c>
      <c r="E32" s="1"/>
      <c r="F32" s="5">
        <f t="shared" ref="F32:F38" si="21">IF(D$12=0,0,D32/D$12)</f>
        <v>0</v>
      </c>
      <c r="G32" s="1"/>
      <c r="H32" s="1">
        <f>SUM(OSRRefH22_1x_0)</f>
        <v>22957.309999999998</v>
      </c>
      <c r="I32" s="1"/>
      <c r="J32" s="5">
        <f t="shared" ref="J32:J38" si="22">IF(H$12=0,0,H32/H$12)</f>
        <v>0.2285838576392944</v>
      </c>
      <c r="K32" s="1"/>
      <c r="L32" s="1">
        <f t="shared" ref="L32:L38" si="23">+D32-H32</f>
        <v>-22311.37</v>
      </c>
      <c r="M32" s="1"/>
      <c r="N32" s="5">
        <f t="shared" ref="N32:N38" si="24">IF(H32=0,0,L32/H32)</f>
        <v>-0.97186342825008687</v>
      </c>
      <c r="O32" s="13"/>
      <c r="P32" s="1">
        <f>SUM(OSRRefP22_1x_0)</f>
        <v>187078.1</v>
      </c>
      <c r="Q32" s="1"/>
      <c r="R32" s="5">
        <f t="shared" ref="R32:R38" si="25">IF(P$12=0,0,P32/P$12)</f>
        <v>0.31604701248746392</v>
      </c>
      <c r="S32" s="1"/>
      <c r="T32" s="1">
        <f>SUM(OSRRefT22_1x_0)</f>
        <v>205149.39</v>
      </c>
      <c r="U32" s="1"/>
      <c r="V32" s="5">
        <f t="shared" ref="V32:V38" si="26">IF(T$12=0,0,T32/T$12)</f>
        <v>0.26841097729976915</v>
      </c>
      <c r="W32" s="1"/>
      <c r="X32" s="1">
        <f t="shared" ref="X32:X38" si="27">+P32-T32</f>
        <v>-18071.290000000008</v>
      </c>
      <c r="Y32" s="1"/>
      <c r="Z32" s="5">
        <f t="shared" ref="Z32:Z38" si="28">IF(T32=0,0,X32/T32)</f>
        <v>-8.8088441306113596E-2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4769.24</v>
      </c>
      <c r="I33" s="2"/>
      <c r="J33" s="7">
        <f t="shared" si="22"/>
        <v>4.7486890981897636E-2</v>
      </c>
      <c r="K33" s="2"/>
      <c r="L33" s="6">
        <f t="shared" si="23"/>
        <v>-4769.24</v>
      </c>
      <c r="M33" s="2"/>
      <c r="N33" s="7">
        <f t="shared" si="24"/>
        <v>-1</v>
      </c>
      <c r="O33" s="11"/>
      <c r="P33" s="6">
        <v>9754.9500000000007</v>
      </c>
      <c r="Q33" s="2"/>
      <c r="R33" s="7">
        <f t="shared" si="25"/>
        <v>1.6479870195734221E-2</v>
      </c>
      <c r="S33" s="2"/>
      <c r="T33" s="6">
        <v>47585.87</v>
      </c>
      <c r="U33" s="2"/>
      <c r="V33" s="7">
        <f t="shared" si="26"/>
        <v>6.2259848164109899E-2</v>
      </c>
      <c r="W33" s="2"/>
      <c r="X33" s="6">
        <f t="shared" si="27"/>
        <v>-37830.92</v>
      </c>
      <c r="Y33" s="2"/>
      <c r="Z33" s="7">
        <f t="shared" si="28"/>
        <v>-0.79500322259527878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1895.94</v>
      </c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1895.94</v>
      </c>
      <c r="M34" s="2"/>
      <c r="N34" s="7">
        <f t="shared" si="24"/>
        <v>0</v>
      </c>
      <c r="O34" s="11"/>
      <c r="P34" s="6">
        <v>53008.29</v>
      </c>
      <c r="Q34" s="2"/>
      <c r="R34" s="7">
        <f t="shared" si="25"/>
        <v>8.9551431683179958E-2</v>
      </c>
      <c r="S34" s="2"/>
      <c r="T34" s="6"/>
      <c r="U34" s="2"/>
      <c r="V34" s="7">
        <f t="shared" si="26"/>
        <v>0</v>
      </c>
      <c r="W34" s="2"/>
      <c r="X34" s="6">
        <f t="shared" si="27"/>
        <v>53008.29</v>
      </c>
      <c r="Y34" s="2"/>
      <c r="Z34" s="7">
        <f t="shared" si="28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1474.75</v>
      </c>
      <c r="I35" s="2"/>
      <c r="J35" s="7">
        <f t="shared" si="22"/>
        <v>1.468395225980524E-2</v>
      </c>
      <c r="K35" s="2"/>
      <c r="L35" s="6">
        <f t="shared" si="23"/>
        <v>-1474.75</v>
      </c>
      <c r="M35" s="2"/>
      <c r="N35" s="7">
        <f t="shared" si="24"/>
        <v>-1</v>
      </c>
      <c r="O35" s="11"/>
      <c r="P35" s="6">
        <v>1997.5</v>
      </c>
      <c r="Q35" s="2"/>
      <c r="R35" s="7">
        <f t="shared" si="25"/>
        <v>3.3745473545204337E-3</v>
      </c>
      <c r="S35" s="2"/>
      <c r="T35" s="6">
        <v>12589.76</v>
      </c>
      <c r="U35" s="2"/>
      <c r="V35" s="7">
        <f t="shared" si="26"/>
        <v>1.6472044033713877E-2</v>
      </c>
      <c r="W35" s="2"/>
      <c r="X35" s="6">
        <f t="shared" si="27"/>
        <v>-10592.26</v>
      </c>
      <c r="Y35" s="2"/>
      <c r="Z35" s="7">
        <f t="shared" si="28"/>
        <v>-0.84133931067788426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29.25</v>
      </c>
      <c r="Q36" s="2"/>
      <c r="R36" s="7">
        <f t="shared" si="25"/>
        <v>4.9414523213878695E-5</v>
      </c>
      <c r="S36" s="2"/>
      <c r="T36" s="6"/>
      <c r="U36" s="2"/>
      <c r="V36" s="7">
        <f t="shared" si="26"/>
        <v>0</v>
      </c>
      <c r="W36" s="2"/>
      <c r="X36" s="6">
        <f t="shared" si="27"/>
        <v>29.25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-1250</v>
      </c>
      <c r="E37" s="2"/>
      <c r="F37" s="7">
        <f t="shared" si="21"/>
        <v>0</v>
      </c>
      <c r="G37" s="2"/>
      <c r="H37" s="6">
        <v>16005.32</v>
      </c>
      <c r="I37" s="2"/>
      <c r="J37" s="7">
        <f t="shared" si="22"/>
        <v>0.15936352248374708</v>
      </c>
      <c r="K37" s="2"/>
      <c r="L37" s="6">
        <f t="shared" si="23"/>
        <v>-17255.32</v>
      </c>
      <c r="M37" s="2"/>
      <c r="N37" s="7">
        <f t="shared" si="24"/>
        <v>-1.0780990320718362</v>
      </c>
      <c r="O37" s="11"/>
      <c r="P37" s="6">
        <v>121057.65999999999</v>
      </c>
      <c r="Q37" s="2"/>
      <c r="R37" s="7">
        <f t="shared" si="25"/>
        <v>0.20451304445428492</v>
      </c>
      <c r="S37" s="2"/>
      <c r="T37" s="6">
        <v>139788.51</v>
      </c>
      <c r="U37" s="2"/>
      <c r="V37" s="7">
        <f t="shared" si="26"/>
        <v>0.1828948679027442</v>
      </c>
      <c r="W37" s="2"/>
      <c r="X37" s="6">
        <f t="shared" si="27"/>
        <v>-18730.85000000002</v>
      </c>
      <c r="Y37" s="2"/>
      <c r="Z37" s="7">
        <f t="shared" si="28"/>
        <v>-0.13399420310009758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708</v>
      </c>
      <c r="I38" s="2"/>
      <c r="J38" s="7">
        <f t="shared" si="22"/>
        <v>7.0494919138444547E-3</v>
      </c>
      <c r="K38" s="2"/>
      <c r="L38" s="6">
        <f t="shared" si="23"/>
        <v>-708</v>
      </c>
      <c r="M38" s="2"/>
      <c r="N38" s="7">
        <f t="shared" si="24"/>
        <v>-1</v>
      </c>
      <c r="O38" s="11"/>
      <c r="P38" s="6">
        <v>1230.45</v>
      </c>
      <c r="Q38" s="2"/>
      <c r="R38" s="7">
        <f t="shared" si="25"/>
        <v>2.0787042765304971E-3</v>
      </c>
      <c r="S38" s="2"/>
      <c r="T38" s="6">
        <v>5185.25</v>
      </c>
      <c r="U38" s="2"/>
      <c r="V38" s="7">
        <f t="shared" si="26"/>
        <v>6.7842171992011672E-3</v>
      </c>
      <c r="W38" s="2"/>
      <c r="X38" s="6">
        <f t="shared" si="27"/>
        <v>-3954.8</v>
      </c>
      <c r="Y38" s="2"/>
      <c r="Z38" s="7">
        <f t="shared" si="28"/>
        <v>-0.76270189479774364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30.68</v>
      </c>
      <c r="E39" s="1"/>
      <c r="F39" s="5">
        <f t="shared" ref="F39:F55" si="29">IF(D$12=0,0,D39/D$12)</f>
        <v>0</v>
      </c>
      <c r="G39" s="1"/>
      <c r="H39" s="1">
        <f>SUM(OSRRefH22_2x_0)</f>
        <v>276.77999999999997</v>
      </c>
      <c r="I39" s="1"/>
      <c r="J39" s="5">
        <f t="shared" ref="J39:J55" si="30">IF(H$12=0,0,H39/H$12)</f>
        <v>2.7558734066580057E-3</v>
      </c>
      <c r="K39" s="1"/>
      <c r="L39" s="1">
        <f t="shared" ref="L39:L55" si="31">+D39-H39</f>
        <v>-246.09999999999997</v>
      </c>
      <c r="M39" s="1"/>
      <c r="N39" s="5">
        <f t="shared" ref="N39:N55" si="32">IF(H39=0,0,L39/H39)</f>
        <v>-0.88915384059541869</v>
      </c>
      <c r="O39" s="13"/>
      <c r="P39" s="1">
        <f>SUM(OSRRefP22_2x_0)</f>
        <v>799.69</v>
      </c>
      <c r="Q39" s="1"/>
      <c r="R39" s="5">
        <f t="shared" ref="R39:R55" si="33">IF(P$12=0,0,P39/P$12)</f>
        <v>1.3509846177403985E-3</v>
      </c>
      <c r="S39" s="1"/>
      <c r="T39" s="1">
        <f>SUM(OSRRefT22_2x_0)</f>
        <v>2648.07</v>
      </c>
      <c r="U39" s="1"/>
      <c r="V39" s="5">
        <f t="shared" ref="V39:V55" si="34">IF(T$12=0,0,T39/T$12)</f>
        <v>3.4646510850371024E-3</v>
      </c>
      <c r="W39" s="1"/>
      <c r="X39" s="1">
        <f t="shared" ref="X39:X55" si="35">+P39-T39</f>
        <v>-1848.38</v>
      </c>
      <c r="Y39" s="1"/>
      <c r="Z39" s="5">
        <f t="shared" ref="Z39:Z55" si="36">IF(T39=0,0,X39/T39)</f>
        <v>-0.69801024897378094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6">
        <v>30.68</v>
      </c>
      <c r="E40" s="2"/>
      <c r="F40" s="7">
        <f t="shared" si="29"/>
        <v>0</v>
      </c>
      <c r="G40" s="2"/>
      <c r="H40" s="6">
        <v>276.77999999999997</v>
      </c>
      <c r="I40" s="2"/>
      <c r="J40" s="7">
        <f t="shared" si="30"/>
        <v>2.7558734066580057E-3</v>
      </c>
      <c r="K40" s="2"/>
      <c r="L40" s="6">
        <f t="shared" si="31"/>
        <v>-246.09999999999997</v>
      </c>
      <c r="M40" s="2"/>
      <c r="N40" s="7">
        <f t="shared" si="32"/>
        <v>-0.88915384059541869</v>
      </c>
      <c r="O40" s="11"/>
      <c r="P40" s="6">
        <v>799.69</v>
      </c>
      <c r="Q40" s="2"/>
      <c r="R40" s="7">
        <f t="shared" si="33"/>
        <v>1.3509846177403985E-3</v>
      </c>
      <c r="S40" s="2"/>
      <c r="T40" s="6">
        <v>2648.07</v>
      </c>
      <c r="U40" s="2"/>
      <c r="V40" s="7">
        <f t="shared" si="34"/>
        <v>3.4646510850371024E-3</v>
      </c>
      <c r="W40" s="2"/>
      <c r="X40" s="6">
        <f t="shared" si="35"/>
        <v>-1848.38</v>
      </c>
      <c r="Y40" s="2"/>
      <c r="Z40" s="7">
        <f t="shared" si="36"/>
        <v>-0.69801024897378094</v>
      </c>
    </row>
    <row r="41" spans="1:26" s="25" customFormat="1" outlineLevel="1" collapsed="1" x14ac:dyDescent="0.25">
      <c r="A41" s="26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-22.76</v>
      </c>
      <c r="I41" s="1"/>
      <c r="J41" s="5">
        <f t="shared" si="30"/>
        <v>-2.2661925982923702E-4</v>
      </c>
      <c r="K41" s="1"/>
      <c r="L41" s="1">
        <f t="shared" si="31"/>
        <v>22.76</v>
      </c>
      <c r="M41" s="1"/>
      <c r="N41" s="5">
        <f t="shared" si="32"/>
        <v>-1</v>
      </c>
      <c r="O41" s="13"/>
      <c r="P41" s="1">
        <f>SUM(OSRRefP22_3x_0)</f>
        <v>125.23</v>
      </c>
      <c r="Q41" s="1"/>
      <c r="R41" s="5">
        <f t="shared" si="33"/>
        <v>2.1156173477176167E-4</v>
      </c>
      <c r="S41" s="1"/>
      <c r="T41" s="1">
        <f>SUM(OSRRefT22_3x_0)</f>
        <v>2077.4899999999998</v>
      </c>
      <c r="U41" s="1"/>
      <c r="V41" s="5">
        <f t="shared" si="34"/>
        <v>2.7181222485258053E-3</v>
      </c>
      <c r="W41" s="1"/>
      <c r="X41" s="1">
        <f t="shared" si="35"/>
        <v>-1952.2599999999998</v>
      </c>
      <c r="Y41" s="1"/>
      <c r="Z41" s="5">
        <f t="shared" si="36"/>
        <v>-0.93972052813731954</v>
      </c>
    </row>
    <row r="42" spans="1:26" s="24" customFormat="1" hidden="1" outlineLevel="2" x14ac:dyDescent="0.25">
      <c r="A42" s="27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-22.76</v>
      </c>
      <c r="I42" s="2"/>
      <c r="J42" s="7">
        <f t="shared" si="30"/>
        <v>-2.2661925982923702E-4</v>
      </c>
      <c r="K42" s="2"/>
      <c r="L42" s="6">
        <f t="shared" si="31"/>
        <v>22.76</v>
      </c>
      <c r="M42" s="2"/>
      <c r="N42" s="7">
        <f t="shared" si="32"/>
        <v>-1</v>
      </c>
      <c r="O42" s="11"/>
      <c r="P42" s="6">
        <v>125.23</v>
      </c>
      <c r="Q42" s="2"/>
      <c r="R42" s="7">
        <f t="shared" si="33"/>
        <v>2.1156173477176167E-4</v>
      </c>
      <c r="S42" s="2"/>
      <c r="T42" s="6">
        <v>2077.4899999999998</v>
      </c>
      <c r="U42" s="2"/>
      <c r="V42" s="7">
        <f t="shared" si="34"/>
        <v>2.7181222485258053E-3</v>
      </c>
      <c r="W42" s="2"/>
      <c r="X42" s="6">
        <f t="shared" si="35"/>
        <v>-1952.2599999999998</v>
      </c>
      <c r="Y42" s="2"/>
      <c r="Z42" s="7">
        <f t="shared" si="36"/>
        <v>-0.93972052813731954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458.24</v>
      </c>
      <c r="E43" s="1"/>
      <c r="F43" s="5">
        <f t="shared" si="29"/>
        <v>0</v>
      </c>
      <c r="G43" s="1"/>
      <c r="H43" s="1">
        <f>SUM(OSRRefH22_4x_0)</f>
        <v>2765.04</v>
      </c>
      <c r="I43" s="1"/>
      <c r="J43" s="5">
        <f t="shared" si="30"/>
        <v>2.7531252996407445E-2</v>
      </c>
      <c r="K43" s="1"/>
      <c r="L43" s="1">
        <f t="shared" si="31"/>
        <v>-2306.8000000000002</v>
      </c>
      <c r="M43" s="1"/>
      <c r="N43" s="5">
        <f t="shared" si="32"/>
        <v>-0.83427364522755554</v>
      </c>
      <c r="O43" s="13"/>
      <c r="P43" s="1">
        <f>SUM(OSRRefP22_4x_0)</f>
        <v>18857.060000000001</v>
      </c>
      <c r="Q43" s="1"/>
      <c r="R43" s="5">
        <f t="shared" si="33"/>
        <v>3.1856842021042851E-2</v>
      </c>
      <c r="S43" s="1"/>
      <c r="T43" s="1">
        <f>SUM(OSRRefT22_4x_0)</f>
        <v>24468.01</v>
      </c>
      <c r="U43" s="1"/>
      <c r="V43" s="5">
        <f t="shared" si="34"/>
        <v>3.2013170873579119E-2</v>
      </c>
      <c r="W43" s="1"/>
      <c r="X43" s="1">
        <f t="shared" si="35"/>
        <v>-5610.9499999999971</v>
      </c>
      <c r="Y43" s="1"/>
      <c r="Z43" s="5">
        <f t="shared" si="36"/>
        <v>-0.2293177908624362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458.24</v>
      </c>
      <c r="E44" s="2"/>
      <c r="F44" s="7">
        <f t="shared" si="29"/>
        <v>0</v>
      </c>
      <c r="G44" s="2"/>
      <c r="H44" s="6">
        <v>2765.04</v>
      </c>
      <c r="I44" s="2"/>
      <c r="J44" s="7">
        <f t="shared" si="30"/>
        <v>2.7531252996407445E-2</v>
      </c>
      <c r="K44" s="2"/>
      <c r="L44" s="6">
        <f t="shared" si="31"/>
        <v>-2306.8000000000002</v>
      </c>
      <c r="M44" s="2"/>
      <c r="N44" s="7">
        <f t="shared" si="32"/>
        <v>-0.83427364522755554</v>
      </c>
      <c r="O44" s="11"/>
      <c r="P44" s="6">
        <v>18857.060000000001</v>
      </c>
      <c r="Q44" s="2"/>
      <c r="R44" s="7">
        <f t="shared" si="33"/>
        <v>3.1856842021042851E-2</v>
      </c>
      <c r="S44" s="2"/>
      <c r="T44" s="6">
        <v>24468.01</v>
      </c>
      <c r="U44" s="2"/>
      <c r="V44" s="7">
        <f t="shared" si="34"/>
        <v>3.2013170873579119E-2</v>
      </c>
      <c r="W44" s="2"/>
      <c r="X44" s="6">
        <f t="shared" si="35"/>
        <v>-5610.9499999999971</v>
      </c>
      <c r="Y44" s="2"/>
      <c r="Z44" s="7">
        <f t="shared" si="36"/>
        <v>-0.2293177908624362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1972.05</v>
      </c>
      <c r="E45" s="1"/>
      <c r="F45" s="5">
        <f t="shared" si="29"/>
        <v>0</v>
      </c>
      <c r="G45" s="1"/>
      <c r="H45" s="1">
        <f>SUM(OSRRefH22_5x_0)</f>
        <v>1638.82</v>
      </c>
      <c r="I45" s="1"/>
      <c r="J45" s="5">
        <f t="shared" si="30"/>
        <v>1.6317582398653347E-2</v>
      </c>
      <c r="K45" s="1"/>
      <c r="L45" s="1">
        <f t="shared" si="31"/>
        <v>333.23</v>
      </c>
      <c r="M45" s="1"/>
      <c r="N45" s="5">
        <f t="shared" si="32"/>
        <v>0.20333532663745868</v>
      </c>
      <c r="O45" s="13"/>
      <c r="P45" s="1">
        <f>SUM(OSRRefP22_5x_0)</f>
        <v>18585.870000000003</v>
      </c>
      <c r="Q45" s="1"/>
      <c r="R45" s="5">
        <f t="shared" si="33"/>
        <v>3.1398697591970316E-2</v>
      </c>
      <c r="S45" s="1"/>
      <c r="T45" s="1">
        <f>SUM(OSRRefT22_5x_0)</f>
        <v>12493.45</v>
      </c>
      <c r="U45" s="1"/>
      <c r="V45" s="5">
        <f t="shared" si="34"/>
        <v>1.6346035073980969E-2</v>
      </c>
      <c r="W45" s="1"/>
      <c r="X45" s="1">
        <f t="shared" si="35"/>
        <v>6092.4200000000019</v>
      </c>
      <c r="Y45" s="1"/>
      <c r="Z45" s="5">
        <f t="shared" si="36"/>
        <v>0.48764912814314715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1972.05</v>
      </c>
      <c r="E46" s="2"/>
      <c r="F46" s="7">
        <f t="shared" si="29"/>
        <v>0</v>
      </c>
      <c r="G46" s="2"/>
      <c r="H46" s="6">
        <v>1638.82</v>
      </c>
      <c r="I46" s="2"/>
      <c r="J46" s="7">
        <f t="shared" si="30"/>
        <v>1.6317582398653347E-2</v>
      </c>
      <c r="K46" s="2"/>
      <c r="L46" s="6">
        <f t="shared" si="31"/>
        <v>333.23</v>
      </c>
      <c r="M46" s="2"/>
      <c r="N46" s="7">
        <f t="shared" si="32"/>
        <v>0.20333532663745868</v>
      </c>
      <c r="O46" s="11"/>
      <c r="P46" s="6">
        <v>18585.870000000003</v>
      </c>
      <c r="Q46" s="2"/>
      <c r="R46" s="7">
        <f t="shared" si="33"/>
        <v>3.1398697591970316E-2</v>
      </c>
      <c r="S46" s="2"/>
      <c r="T46" s="6">
        <v>12493.45</v>
      </c>
      <c r="U46" s="2"/>
      <c r="V46" s="7">
        <f t="shared" si="34"/>
        <v>1.6346035073980969E-2</v>
      </c>
      <c r="W46" s="2"/>
      <c r="X46" s="6">
        <f t="shared" si="35"/>
        <v>6092.4200000000019</v>
      </c>
      <c r="Y46" s="2"/>
      <c r="Z46" s="7">
        <f t="shared" si="36"/>
        <v>0.48764912814314715</v>
      </c>
    </row>
    <row r="47" spans="1:26" s="25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9"/>
        <v>0</v>
      </c>
      <c r="G47" s="1"/>
      <c r="H47" s="1">
        <f>SUM(OSRRefH22_6x_0)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SUM(OSRRefP22_6x_0)</f>
        <v>236.02</v>
      </c>
      <c r="Q47" s="1"/>
      <c r="R47" s="5">
        <f t="shared" si="33"/>
        <v>3.9872874423725298E-4</v>
      </c>
      <c r="S47" s="1"/>
      <c r="T47" s="1">
        <f>SUM(OSRRefT22_6x_0)</f>
        <v>152.24</v>
      </c>
      <c r="U47" s="1"/>
      <c r="V47" s="5">
        <f t="shared" si="34"/>
        <v>1.991860038390407E-4</v>
      </c>
      <c r="W47" s="1"/>
      <c r="X47" s="1">
        <f t="shared" si="35"/>
        <v>83.78</v>
      </c>
      <c r="Y47" s="1"/>
      <c r="Z47" s="5">
        <f t="shared" si="36"/>
        <v>0.55031529164477144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236.02</v>
      </c>
      <c r="Q48" s="2"/>
      <c r="R48" s="7">
        <f t="shared" si="33"/>
        <v>3.9872874423725298E-4</v>
      </c>
      <c r="S48" s="2"/>
      <c r="T48" s="6">
        <v>152.24</v>
      </c>
      <c r="U48" s="2"/>
      <c r="V48" s="7">
        <f t="shared" si="34"/>
        <v>1.991860038390407E-4</v>
      </c>
      <c r="W48" s="2"/>
      <c r="X48" s="6">
        <f t="shared" si="35"/>
        <v>83.78</v>
      </c>
      <c r="Y48" s="2"/>
      <c r="Z48" s="7">
        <f t="shared" si="36"/>
        <v>0.55031529164477144</v>
      </c>
    </row>
    <row r="49" spans="1:26" s="25" customFormat="1" outlineLevel="1" collapsed="1" x14ac:dyDescent="0.25">
      <c r="A49" s="26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0</v>
      </c>
      <c r="E49" s="1"/>
      <c r="F49" s="5">
        <f t="shared" si="29"/>
        <v>0</v>
      </c>
      <c r="G49" s="1"/>
      <c r="H49" s="1">
        <f>SUM(OSRRefH22_7x_0)</f>
        <v>118.91</v>
      </c>
      <c r="I49" s="1"/>
      <c r="J49" s="5">
        <f t="shared" si="30"/>
        <v>1.1839761066034522E-3</v>
      </c>
      <c r="K49" s="1"/>
      <c r="L49" s="1">
        <f t="shared" si="31"/>
        <v>-118.91</v>
      </c>
      <c r="M49" s="1"/>
      <c r="N49" s="5">
        <f t="shared" si="32"/>
        <v>-1</v>
      </c>
      <c r="O49" s="13"/>
      <c r="P49" s="1">
        <f>SUM(OSRRefP22_7x_0)</f>
        <v>951.28</v>
      </c>
      <c r="Q49" s="1"/>
      <c r="R49" s="5">
        <f t="shared" si="33"/>
        <v>1.6070785518939666E-3</v>
      </c>
      <c r="S49" s="1"/>
      <c r="T49" s="1">
        <f>SUM(OSRRefT22_7x_0)</f>
        <v>1189.0999999999999</v>
      </c>
      <c r="U49" s="1"/>
      <c r="V49" s="5">
        <f t="shared" si="34"/>
        <v>1.5557808536849924E-3</v>
      </c>
      <c r="W49" s="1"/>
      <c r="X49" s="1">
        <f t="shared" si="35"/>
        <v>-237.81999999999994</v>
      </c>
      <c r="Y49" s="1"/>
      <c r="Z49" s="5">
        <f t="shared" si="36"/>
        <v>-0.19999999999999996</v>
      </c>
    </row>
    <row r="50" spans="1:26" s="24" customFormat="1" hidden="1" outlineLevel="2" x14ac:dyDescent="0.25">
      <c r="A50" s="27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29"/>
        <v>0</v>
      </c>
      <c r="G50" s="2"/>
      <c r="H50" s="6">
        <v>118.91</v>
      </c>
      <c r="I50" s="2"/>
      <c r="J50" s="7">
        <f t="shared" si="30"/>
        <v>1.1839761066034522E-3</v>
      </c>
      <c r="K50" s="2"/>
      <c r="L50" s="6">
        <f t="shared" si="31"/>
        <v>-118.91</v>
      </c>
      <c r="M50" s="2"/>
      <c r="N50" s="7">
        <f t="shared" si="32"/>
        <v>-1</v>
      </c>
      <c r="O50" s="11"/>
      <c r="P50" s="6">
        <v>951.28</v>
      </c>
      <c r="Q50" s="2"/>
      <c r="R50" s="7">
        <f t="shared" si="33"/>
        <v>1.6070785518939666E-3</v>
      </c>
      <c r="S50" s="2"/>
      <c r="T50" s="6">
        <v>1189.0999999999999</v>
      </c>
      <c r="U50" s="2"/>
      <c r="V50" s="7">
        <f t="shared" si="34"/>
        <v>1.5557808536849924E-3</v>
      </c>
      <c r="W50" s="2"/>
      <c r="X50" s="6">
        <f t="shared" si="35"/>
        <v>-237.81999999999994</v>
      </c>
      <c r="Y50" s="2"/>
      <c r="Z50" s="7">
        <f t="shared" si="36"/>
        <v>-0.19999999999999996</v>
      </c>
    </row>
    <row r="51" spans="1:26" s="25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29"/>
        <v>0</v>
      </c>
      <c r="G51" s="1"/>
      <c r="H51" s="1">
        <f>SUM(OSRRefH22_8x_0)</f>
        <v>1351.83</v>
      </c>
      <c r="I51" s="1"/>
      <c r="J51" s="5">
        <f t="shared" si="30"/>
        <v>1.3460048946175635E-2</v>
      </c>
      <c r="K51" s="1"/>
      <c r="L51" s="1">
        <f t="shared" si="31"/>
        <v>-1351.83</v>
      </c>
      <c r="M51" s="1"/>
      <c r="N51" s="5">
        <f t="shared" si="32"/>
        <v>-1</v>
      </c>
      <c r="O51" s="13"/>
      <c r="P51" s="1">
        <f>SUM(OSRRefP22_8x_0)</f>
        <v>9129.7800000000007</v>
      </c>
      <c r="Q51" s="1"/>
      <c r="R51" s="5">
        <f t="shared" si="33"/>
        <v>1.5423717119576255E-2</v>
      </c>
      <c r="S51" s="1"/>
      <c r="T51" s="1">
        <f>SUM(OSRRefT22_8x_0)</f>
        <v>11924.87</v>
      </c>
      <c r="U51" s="1"/>
      <c r="V51" s="5">
        <f t="shared" si="34"/>
        <v>1.5602122974251583E-2</v>
      </c>
      <c r="W51" s="1"/>
      <c r="X51" s="1">
        <f t="shared" si="35"/>
        <v>-2795.09</v>
      </c>
      <c r="Y51" s="1"/>
      <c r="Z51" s="5">
        <f t="shared" si="36"/>
        <v>-0.23439165374549156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9"/>
        <v>0</v>
      </c>
      <c r="G52" s="2"/>
      <c r="H52" s="6">
        <v>1351.83</v>
      </c>
      <c r="I52" s="2"/>
      <c r="J52" s="7">
        <f t="shared" si="30"/>
        <v>1.3460048946175635E-2</v>
      </c>
      <c r="K52" s="2"/>
      <c r="L52" s="6">
        <f t="shared" si="31"/>
        <v>-1351.83</v>
      </c>
      <c r="M52" s="2"/>
      <c r="N52" s="7">
        <f t="shared" si="32"/>
        <v>-1</v>
      </c>
      <c r="O52" s="11"/>
      <c r="P52" s="6">
        <v>9129.7800000000007</v>
      </c>
      <c r="Q52" s="2"/>
      <c r="R52" s="7">
        <f t="shared" si="33"/>
        <v>1.5423717119576255E-2</v>
      </c>
      <c r="S52" s="2"/>
      <c r="T52" s="6">
        <v>11924.87</v>
      </c>
      <c r="U52" s="2"/>
      <c r="V52" s="7">
        <f t="shared" si="34"/>
        <v>1.5602122974251583E-2</v>
      </c>
      <c r="W52" s="2"/>
      <c r="X52" s="6">
        <f t="shared" si="35"/>
        <v>-2795.09</v>
      </c>
      <c r="Y52" s="2"/>
      <c r="Z52" s="7">
        <f t="shared" si="36"/>
        <v>-0.23439165374549156</v>
      </c>
    </row>
    <row r="53" spans="1:26" s="25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0</v>
      </c>
      <c r="E53" s="1"/>
      <c r="F53" s="5">
        <f t="shared" si="29"/>
        <v>0</v>
      </c>
      <c r="G53" s="1"/>
      <c r="H53" s="1">
        <f>SUM(OSRRefH22_9x_0)</f>
        <v>1284.0899999999999</v>
      </c>
      <c r="I53" s="1"/>
      <c r="J53" s="5">
        <f t="shared" si="30"/>
        <v>1.2785567897808651E-2</v>
      </c>
      <c r="K53" s="1"/>
      <c r="L53" s="1">
        <f t="shared" si="31"/>
        <v>-1284.0899999999999</v>
      </c>
      <c r="M53" s="1"/>
      <c r="N53" s="5">
        <f t="shared" si="32"/>
        <v>-1</v>
      </c>
      <c r="O53" s="13"/>
      <c r="P53" s="1">
        <f>SUM(OSRRefP22_9x_0)</f>
        <v>7394.18</v>
      </c>
      <c r="Q53" s="1"/>
      <c r="R53" s="5">
        <f t="shared" si="33"/>
        <v>1.249161980367855E-2</v>
      </c>
      <c r="S53" s="1"/>
      <c r="T53" s="1">
        <f>SUM(OSRRefT22_9x_0)</f>
        <v>11330.25</v>
      </c>
      <c r="U53" s="1"/>
      <c r="V53" s="5">
        <f t="shared" si="34"/>
        <v>1.4824140961621719E-2</v>
      </c>
      <c r="W53" s="1"/>
      <c r="X53" s="1">
        <f t="shared" si="35"/>
        <v>-3936.0699999999997</v>
      </c>
      <c r="Y53" s="1"/>
      <c r="Z53" s="5">
        <f t="shared" si="36"/>
        <v>-0.34739480593985128</v>
      </c>
    </row>
    <row r="54" spans="1:26" s="24" customFormat="1" hidden="1" outlineLevel="2" x14ac:dyDescent="0.25">
      <c r="A54" s="27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369.97</v>
      </c>
      <c r="Q54" s="2"/>
      <c r="R54" s="7">
        <f t="shared" si="33"/>
        <v>6.2502191977568207E-4</v>
      </c>
      <c r="S54" s="2"/>
      <c r="T54" s="6">
        <v>680.99</v>
      </c>
      <c r="U54" s="2"/>
      <c r="V54" s="7">
        <f t="shared" si="34"/>
        <v>8.9098579055667574E-4</v>
      </c>
      <c r="W54" s="2"/>
      <c r="X54" s="6">
        <f t="shared" si="35"/>
        <v>-311.02</v>
      </c>
      <c r="Y54" s="2"/>
      <c r="Z54" s="7">
        <f t="shared" si="36"/>
        <v>-0.45671742610023641</v>
      </c>
    </row>
    <row r="55" spans="1:26" s="24" customFormat="1" hidden="1" outlineLevel="2" x14ac:dyDescent="0.25">
      <c r="A55" s="27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29"/>
        <v>0</v>
      </c>
      <c r="G55" s="2"/>
      <c r="H55" s="6">
        <v>1284.0899999999999</v>
      </c>
      <c r="I55" s="2"/>
      <c r="J55" s="7">
        <f t="shared" si="30"/>
        <v>1.2785567897808651E-2</v>
      </c>
      <c r="K55" s="2"/>
      <c r="L55" s="6">
        <f t="shared" si="31"/>
        <v>-1284.0899999999999</v>
      </c>
      <c r="M55" s="2"/>
      <c r="N55" s="7">
        <f t="shared" si="32"/>
        <v>-1</v>
      </c>
      <c r="O55" s="11"/>
      <c r="P55" s="6">
        <v>7024.21</v>
      </c>
      <c r="Q55" s="2"/>
      <c r="R55" s="7">
        <f t="shared" si="33"/>
        <v>1.1866597883902867E-2</v>
      </c>
      <c r="S55" s="2"/>
      <c r="T55" s="6">
        <v>10649.26</v>
      </c>
      <c r="U55" s="2"/>
      <c r="V55" s="7">
        <f t="shared" si="34"/>
        <v>1.3933155171065045E-2</v>
      </c>
      <c r="W55" s="2"/>
      <c r="X55" s="6">
        <f t="shared" si="35"/>
        <v>-3625.05</v>
      </c>
      <c r="Y55" s="2"/>
      <c r="Z55" s="7">
        <f t="shared" si="36"/>
        <v>-0.34040393417007381</v>
      </c>
    </row>
    <row r="56" spans="1:26" s="25" customFormat="1" outlineLevel="1" collapsed="1" x14ac:dyDescent="0.25">
      <c r="A56" s="26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0</v>
      </c>
      <c r="E56" s="1"/>
      <c r="F56" s="5">
        <f t="shared" ref="F56:F69" si="37">IF(D$12=0,0,D56/D$12)</f>
        <v>0</v>
      </c>
      <c r="G56" s="1"/>
      <c r="H56" s="1">
        <f>SUM(OSRRefH22_10x_0)</f>
        <v>8034.64</v>
      </c>
      <c r="I56" s="1"/>
      <c r="J56" s="5">
        <f t="shared" ref="J56:J69" si="38">IF(H$12=0,0,H56/H$12)</f>
        <v>8.0000183207134479E-2</v>
      </c>
      <c r="K56" s="1"/>
      <c r="L56" s="1">
        <f t="shared" ref="L56:L69" si="39">+D56-H56</f>
        <v>-8034.64</v>
      </c>
      <c r="M56" s="1"/>
      <c r="N56" s="5">
        <f t="shared" ref="N56:N69" si="40">IF(H56=0,0,L56/H56)</f>
        <v>-1</v>
      </c>
      <c r="O56" s="13"/>
      <c r="P56" s="1">
        <f>SUM(OSRRefP22_10x_0)</f>
        <v>44134.64</v>
      </c>
      <c r="Q56" s="1"/>
      <c r="R56" s="5">
        <f t="shared" ref="R56:R69" si="41">IF(P$12=0,0,P56/P$12)</f>
        <v>7.4560416848416383E-2</v>
      </c>
      <c r="S56" s="1"/>
      <c r="T56" s="1">
        <f>SUM(OSRRefT22_10x_0)</f>
        <v>61070.400000000001</v>
      </c>
      <c r="U56" s="1"/>
      <c r="V56" s="5">
        <f t="shared" ref="V56:V69" si="42">IF(T$12=0,0,T56/T$12)</f>
        <v>7.9902580982998878E-2</v>
      </c>
      <c r="W56" s="1"/>
      <c r="X56" s="1">
        <f t="shared" ref="X56:X69" si="43">+P56-T56</f>
        <v>-16935.760000000002</v>
      </c>
      <c r="Y56" s="1"/>
      <c r="Z56" s="5">
        <f t="shared" ref="Z56:Z69" si="44">IF(T56=0,0,X56/T56)</f>
        <v>-0.27731536063297441</v>
      </c>
    </row>
    <row r="57" spans="1:26" s="24" customFormat="1" hidden="1" outlineLevel="2" x14ac:dyDescent="0.25">
      <c r="A57" s="27"/>
      <c r="B57" s="11" t="str">
        <f>CONCATENATE("          ", "6259", " - ", "ROYALTY &amp; COMMISSIONS")</f>
        <v xml:space="preserve">          6259 - ROYALTY &amp; COMMISSIONS</v>
      </c>
      <c r="C57" s="11"/>
      <c r="D57" s="6"/>
      <c r="E57" s="2"/>
      <c r="F57" s="7">
        <f t="shared" si="37"/>
        <v>0</v>
      </c>
      <c r="G57" s="2"/>
      <c r="H57" s="6">
        <v>8034.64</v>
      </c>
      <c r="I57" s="2"/>
      <c r="J57" s="7">
        <f t="shared" si="38"/>
        <v>8.0000183207134479E-2</v>
      </c>
      <c r="K57" s="2"/>
      <c r="L57" s="6">
        <f t="shared" si="39"/>
        <v>-8034.64</v>
      </c>
      <c r="M57" s="2"/>
      <c r="N57" s="7">
        <f t="shared" si="40"/>
        <v>-1</v>
      </c>
      <c r="O57" s="11"/>
      <c r="P57" s="6">
        <v>44134.64</v>
      </c>
      <c r="Q57" s="2"/>
      <c r="R57" s="7">
        <f t="shared" si="41"/>
        <v>7.4560416848416383E-2</v>
      </c>
      <c r="S57" s="2"/>
      <c r="T57" s="6">
        <v>61070.400000000001</v>
      </c>
      <c r="U57" s="2"/>
      <c r="V57" s="7">
        <f t="shared" si="42"/>
        <v>7.9902580982998878E-2</v>
      </c>
      <c r="W57" s="2"/>
      <c r="X57" s="6">
        <f t="shared" si="43"/>
        <v>-16935.760000000002</v>
      </c>
      <c r="Y57" s="2"/>
      <c r="Z57" s="7">
        <f t="shared" si="44"/>
        <v>-0.27731536063297441</v>
      </c>
    </row>
    <row r="58" spans="1:26" s="25" customFormat="1" outlineLevel="1" collapsed="1" x14ac:dyDescent="0.25">
      <c r="A58" s="26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0</v>
      </c>
      <c r="E58" s="1"/>
      <c r="F58" s="5">
        <f t="shared" si="37"/>
        <v>0</v>
      </c>
      <c r="G58" s="1"/>
      <c r="H58" s="1">
        <f>SUM(OSRRefH22_11x_0)</f>
        <v>0</v>
      </c>
      <c r="I58" s="1"/>
      <c r="J58" s="5">
        <f t="shared" si="38"/>
        <v>0</v>
      </c>
      <c r="K58" s="1"/>
      <c r="L58" s="1">
        <f t="shared" si="39"/>
        <v>0</v>
      </c>
      <c r="M58" s="1"/>
      <c r="N58" s="5">
        <f t="shared" si="40"/>
        <v>0</v>
      </c>
      <c r="O58" s="13"/>
      <c r="P58" s="1">
        <f>SUM(OSRRefP22_11x_0)</f>
        <v>508.6</v>
      </c>
      <c r="Q58" s="1"/>
      <c r="R58" s="5">
        <f t="shared" si="41"/>
        <v>8.5922141902833175E-4</v>
      </c>
      <c r="S58" s="1"/>
      <c r="T58" s="1">
        <f>SUM(OSRRefT22_11x_0)</f>
        <v>514.15</v>
      </c>
      <c r="U58" s="1"/>
      <c r="V58" s="5">
        <f t="shared" si="42"/>
        <v>6.7269760820968703E-4</v>
      </c>
      <c r="W58" s="1"/>
      <c r="X58" s="1">
        <f t="shared" si="43"/>
        <v>-5.5499999999999545</v>
      </c>
      <c r="Y58" s="1"/>
      <c r="Z58" s="5">
        <f t="shared" si="44"/>
        <v>-1.0794515219293893E-2</v>
      </c>
    </row>
    <row r="59" spans="1:26" s="24" customFormat="1" hidden="1" outlineLevel="2" x14ac:dyDescent="0.25">
      <c r="A59" s="27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>
        <v>508.6</v>
      </c>
      <c r="Q59" s="2"/>
      <c r="R59" s="7">
        <f t="shared" si="41"/>
        <v>8.5922141902833175E-4</v>
      </c>
      <c r="S59" s="2"/>
      <c r="T59" s="6">
        <v>514.15</v>
      </c>
      <c r="U59" s="2"/>
      <c r="V59" s="7">
        <f t="shared" si="42"/>
        <v>6.7269760820968703E-4</v>
      </c>
      <c r="W59" s="2"/>
      <c r="X59" s="6">
        <f t="shared" si="43"/>
        <v>-5.5499999999999545</v>
      </c>
      <c r="Y59" s="2"/>
      <c r="Z59" s="7">
        <f t="shared" si="44"/>
        <v>-1.0794515219293893E-2</v>
      </c>
    </row>
    <row r="60" spans="1:26" s="25" customFormat="1" outlineLevel="1" collapsed="1" x14ac:dyDescent="0.25">
      <c r="A60" s="26"/>
      <c r="B60" s="13" t="str">
        <f>CONCATENATE("     ","Subscriptions &amp; Dues                              ")</f>
        <v xml:space="preserve">     Subscriptions &amp; Dues                              </v>
      </c>
      <c r="C60" s="13"/>
      <c r="D60" s="1">
        <f>SUM(OSRRefD22_12x_0)</f>
        <v>0</v>
      </c>
      <c r="E60" s="1"/>
      <c r="F60" s="5">
        <f t="shared" si="37"/>
        <v>0</v>
      </c>
      <c r="G60" s="1"/>
      <c r="H60" s="1">
        <f>SUM(OSRRefH22_12x_0)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3"/>
      <c r="P60" s="1">
        <f>SUM(OSRRefP22_12x_0)</f>
        <v>122.72</v>
      </c>
      <c r="Q60" s="1"/>
      <c r="R60" s="5">
        <f t="shared" si="41"/>
        <v>2.0732137739511771E-4</v>
      </c>
      <c r="S60" s="1"/>
      <c r="T60" s="1">
        <f>SUM(OSRRefT22_12x_0)</f>
        <v>122.72</v>
      </c>
      <c r="U60" s="1"/>
      <c r="V60" s="5">
        <f t="shared" si="42"/>
        <v>1.605629689380391E-4</v>
      </c>
      <c r="W60" s="1"/>
      <c r="X60" s="1">
        <f t="shared" si="43"/>
        <v>0</v>
      </c>
      <c r="Y60" s="1"/>
      <c r="Z60" s="5">
        <f t="shared" si="44"/>
        <v>0</v>
      </c>
    </row>
    <row r="61" spans="1:26" s="24" customFormat="1" hidden="1" outlineLevel="2" x14ac:dyDescent="0.25">
      <c r="A61" s="27"/>
      <c r="B61" s="11" t="str">
        <f>CONCATENATE("          ", "6275", " - ", "SUBSCRIPTIONS")</f>
        <v xml:space="preserve">          6275 - SUBSCRIPTIONS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122.72</v>
      </c>
      <c r="Q61" s="2"/>
      <c r="R61" s="7">
        <f t="shared" si="41"/>
        <v>2.0732137739511771E-4</v>
      </c>
      <c r="S61" s="2"/>
      <c r="T61" s="6">
        <v>122.72</v>
      </c>
      <c r="U61" s="2"/>
      <c r="V61" s="7">
        <f t="shared" si="42"/>
        <v>1.605629689380391E-4</v>
      </c>
      <c r="W61" s="2"/>
      <c r="X61" s="6">
        <f t="shared" si="43"/>
        <v>0</v>
      </c>
      <c r="Y61" s="2"/>
      <c r="Z61" s="7">
        <f t="shared" si="44"/>
        <v>0</v>
      </c>
    </row>
    <row r="62" spans="1:26" s="25" customFormat="1" outlineLevel="1" collapsed="1" x14ac:dyDescent="0.25">
      <c r="A62" s="26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SUM(OSRRefD22_13x_0)</f>
        <v>0</v>
      </c>
      <c r="E62" s="1"/>
      <c r="F62" s="5">
        <f t="shared" si="37"/>
        <v>0</v>
      </c>
      <c r="G62" s="1"/>
      <c r="H62" s="1">
        <f>SUM(OSRRefH22_13x_0)</f>
        <v>1431.63</v>
      </c>
      <c r="I62" s="1"/>
      <c r="J62" s="5">
        <f t="shared" si="38"/>
        <v>1.4254610322905563E-2</v>
      </c>
      <c r="K62" s="1"/>
      <c r="L62" s="1">
        <f t="shared" si="39"/>
        <v>-1431.63</v>
      </c>
      <c r="M62" s="1"/>
      <c r="N62" s="5">
        <f t="shared" si="40"/>
        <v>-1</v>
      </c>
      <c r="O62" s="13"/>
      <c r="P62" s="1">
        <f>SUM(OSRRefP22_13x_0)</f>
        <v>11599.199999999999</v>
      </c>
      <c r="Q62" s="1"/>
      <c r="R62" s="5">
        <f t="shared" si="41"/>
        <v>1.959551923632211E-2</v>
      </c>
      <c r="S62" s="1"/>
      <c r="T62" s="1">
        <f>SUM(OSRRefT22_13x_0)</f>
        <v>10706.249999999998</v>
      </c>
      <c r="U62" s="1"/>
      <c r="V62" s="5">
        <f t="shared" si="42"/>
        <v>1.4007719085665586E-2</v>
      </c>
      <c r="W62" s="1"/>
      <c r="X62" s="1">
        <f t="shared" si="43"/>
        <v>892.95000000000073</v>
      </c>
      <c r="Y62" s="1"/>
      <c r="Z62" s="5">
        <f t="shared" si="44"/>
        <v>8.340455341506138E-2</v>
      </c>
    </row>
    <row r="63" spans="1:26" s="24" customFormat="1" hidden="1" outlineLevel="2" x14ac:dyDescent="0.25">
      <c r="A63" s="27"/>
      <c r="B63" s="11" t="str">
        <f>CONCATENATE("          ", "6237", " - ", "JANITORIAL SUPPLIES")</f>
        <v xml:space="preserve">          6237 - JANITORIAL SUPPLIES</v>
      </c>
      <c r="C63" s="11"/>
      <c r="D63" s="6"/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0</v>
      </c>
      <c r="M63" s="2"/>
      <c r="N63" s="7">
        <f t="shared" si="40"/>
        <v>0</v>
      </c>
      <c r="O63" s="11"/>
      <c r="P63" s="6">
        <v>268.49</v>
      </c>
      <c r="Q63" s="2"/>
      <c r="R63" s="7">
        <f t="shared" si="41"/>
        <v>4.5358308846818088E-4</v>
      </c>
      <c r="S63" s="2"/>
      <c r="T63" s="6">
        <v>182.23</v>
      </c>
      <c r="U63" s="2"/>
      <c r="V63" s="7">
        <f t="shared" si="42"/>
        <v>2.3842397188379125E-4</v>
      </c>
      <c r="W63" s="2"/>
      <c r="X63" s="6">
        <f t="shared" si="43"/>
        <v>86.260000000000019</v>
      </c>
      <c r="Y63" s="2"/>
      <c r="Z63" s="7">
        <f t="shared" si="44"/>
        <v>0.47335784448224782</v>
      </c>
    </row>
    <row r="64" spans="1:26" s="24" customFormat="1" hidden="1" outlineLevel="2" x14ac:dyDescent="0.25">
      <c r="A64" s="27"/>
      <c r="B64" s="11" t="str">
        <f>CONCATENATE("          ", "6239", " - ", "KITCHEN SUPPLIES")</f>
        <v xml:space="preserve">          6239 - KITCHEN SUPPLIES</v>
      </c>
      <c r="C64" s="11"/>
      <c r="D64" s="6"/>
      <c r="E64" s="2"/>
      <c r="F64" s="7">
        <f t="shared" si="37"/>
        <v>0</v>
      </c>
      <c r="G64" s="2"/>
      <c r="H64" s="6">
        <v>338.28</v>
      </c>
      <c r="I64" s="2"/>
      <c r="J64" s="7">
        <f t="shared" si="38"/>
        <v>3.3682233398521218E-3</v>
      </c>
      <c r="K64" s="2"/>
      <c r="L64" s="6">
        <f t="shared" si="39"/>
        <v>-338.28</v>
      </c>
      <c r="M64" s="2"/>
      <c r="N64" s="7">
        <f t="shared" si="40"/>
        <v>-1</v>
      </c>
      <c r="O64" s="11"/>
      <c r="P64" s="6">
        <v>2024.76</v>
      </c>
      <c r="Q64" s="2"/>
      <c r="R64" s="7">
        <f t="shared" si="41"/>
        <v>3.4206000007703597E-3</v>
      </c>
      <c r="S64" s="2"/>
      <c r="T64" s="6">
        <v>2715.8</v>
      </c>
      <c r="U64" s="2"/>
      <c r="V64" s="7">
        <f t="shared" si="42"/>
        <v>3.5532668761565074E-3</v>
      </c>
      <c r="W64" s="2"/>
      <c r="X64" s="6">
        <f t="shared" si="43"/>
        <v>-691.04000000000019</v>
      </c>
      <c r="Y64" s="2"/>
      <c r="Z64" s="7">
        <f t="shared" si="44"/>
        <v>-0.25445172693129103</v>
      </c>
    </row>
    <row r="65" spans="1:26" s="24" customFormat="1" hidden="1" outlineLevel="2" x14ac:dyDescent="0.25">
      <c r="A65" s="27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37"/>
        <v>0</v>
      </c>
      <c r="G65" s="2"/>
      <c r="H65" s="6">
        <v>98.2</v>
      </c>
      <c r="I65" s="2"/>
      <c r="J65" s="7">
        <f t="shared" si="38"/>
        <v>9.7776851121401899E-4</v>
      </c>
      <c r="K65" s="2"/>
      <c r="L65" s="6">
        <f t="shared" si="39"/>
        <v>-98.2</v>
      </c>
      <c r="M65" s="2"/>
      <c r="N65" s="7">
        <f t="shared" si="40"/>
        <v>-1</v>
      </c>
      <c r="O65" s="11"/>
      <c r="P65" s="6">
        <v>1499.6</v>
      </c>
      <c r="Q65" s="2"/>
      <c r="R65" s="7">
        <f t="shared" si="41"/>
        <v>2.5334023593686318E-3</v>
      </c>
      <c r="S65" s="2"/>
      <c r="T65" s="6">
        <v>492.88</v>
      </c>
      <c r="U65" s="2"/>
      <c r="V65" s="7">
        <f t="shared" si="42"/>
        <v>6.4486861253406703E-4</v>
      </c>
      <c r="W65" s="2"/>
      <c r="X65" s="6">
        <f t="shared" si="43"/>
        <v>1006.7199999999999</v>
      </c>
      <c r="Y65" s="2"/>
      <c r="Z65" s="7">
        <f t="shared" si="44"/>
        <v>2.0425255640318127</v>
      </c>
    </row>
    <row r="66" spans="1:26" s="24" customFormat="1" hidden="1" outlineLevel="2" x14ac:dyDescent="0.25">
      <c r="A66" s="27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37"/>
        <v>0</v>
      </c>
      <c r="G66" s="2"/>
      <c r="H66" s="6">
        <v>955.26</v>
      </c>
      <c r="I66" s="2"/>
      <c r="J66" s="7">
        <f t="shared" si="38"/>
        <v>9.5114373525692856E-3</v>
      </c>
      <c r="K66" s="2"/>
      <c r="L66" s="6">
        <f t="shared" si="39"/>
        <v>-955.26</v>
      </c>
      <c r="M66" s="2"/>
      <c r="N66" s="7">
        <f t="shared" si="40"/>
        <v>-1</v>
      </c>
      <c r="O66" s="11"/>
      <c r="P66" s="6">
        <v>3812.89</v>
      </c>
      <c r="Q66" s="2"/>
      <c r="R66" s="7">
        <f t="shared" si="41"/>
        <v>6.4414407322039629E-3</v>
      </c>
      <c r="S66" s="2"/>
      <c r="T66" s="6">
        <v>4364.9799999999996</v>
      </c>
      <c r="U66" s="2"/>
      <c r="V66" s="7">
        <f t="shared" si="42"/>
        <v>5.7110018591522314E-3</v>
      </c>
      <c r="W66" s="2"/>
      <c r="X66" s="6">
        <f t="shared" si="43"/>
        <v>-552.08999999999969</v>
      </c>
      <c r="Y66" s="2"/>
      <c r="Z66" s="7">
        <f t="shared" si="44"/>
        <v>-0.12648167918295153</v>
      </c>
    </row>
    <row r="67" spans="1:26" s="24" customFormat="1" hidden="1" outlineLevel="2" x14ac:dyDescent="0.25">
      <c r="A67" s="27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181.92</v>
      </c>
      <c r="Q67" s="2"/>
      <c r="R67" s="7">
        <f t="shared" si="41"/>
        <v>3.0733299360919016E-4</v>
      </c>
      <c r="S67" s="2"/>
      <c r="T67" s="6"/>
      <c r="U67" s="2"/>
      <c r="V67" s="7">
        <f t="shared" si="42"/>
        <v>0</v>
      </c>
      <c r="W67" s="2"/>
      <c r="X67" s="6">
        <f t="shared" si="43"/>
        <v>181.92</v>
      </c>
      <c r="Y67" s="2"/>
      <c r="Z67" s="7">
        <f t="shared" si="44"/>
        <v>0</v>
      </c>
    </row>
    <row r="68" spans="1:26" s="24" customFormat="1" hidden="1" outlineLevel="2" x14ac:dyDescent="0.25">
      <c r="A68" s="27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37"/>
        <v>0</v>
      </c>
      <c r="G68" s="2"/>
      <c r="H68" s="6">
        <v>39.89</v>
      </c>
      <c r="I68" s="2"/>
      <c r="J68" s="7">
        <f t="shared" si="38"/>
        <v>3.9718111927013465E-4</v>
      </c>
      <c r="K68" s="2"/>
      <c r="L68" s="6">
        <f t="shared" si="39"/>
        <v>-39.89</v>
      </c>
      <c r="M68" s="2"/>
      <c r="N68" s="7">
        <f t="shared" si="40"/>
        <v>-1</v>
      </c>
      <c r="O68" s="11"/>
      <c r="P68" s="6">
        <v>3638.57</v>
      </c>
      <c r="Q68" s="2"/>
      <c r="R68" s="7">
        <f t="shared" si="41"/>
        <v>6.1469470677033367E-3</v>
      </c>
      <c r="S68" s="2"/>
      <c r="T68" s="6">
        <v>2462.98</v>
      </c>
      <c r="U68" s="2"/>
      <c r="V68" s="7">
        <f t="shared" si="42"/>
        <v>3.2224851795551786E-3</v>
      </c>
      <c r="W68" s="2"/>
      <c r="X68" s="6">
        <f t="shared" si="43"/>
        <v>1175.5900000000001</v>
      </c>
      <c r="Y68" s="2"/>
      <c r="Z68" s="7">
        <f t="shared" si="44"/>
        <v>0.47730391639396186</v>
      </c>
    </row>
    <row r="69" spans="1:26" s="24" customFormat="1" hidden="1" outlineLevel="2" x14ac:dyDescent="0.25">
      <c r="A69" s="27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37"/>
        <v>0</v>
      </c>
      <c r="G69" s="2"/>
      <c r="H69" s="6"/>
      <c r="I69" s="2"/>
      <c r="J69" s="7">
        <f t="shared" si="38"/>
        <v>0</v>
      </c>
      <c r="K69" s="2"/>
      <c r="L69" s="6">
        <f t="shared" si="39"/>
        <v>0</v>
      </c>
      <c r="M69" s="2"/>
      <c r="N69" s="7">
        <f t="shared" si="40"/>
        <v>0</v>
      </c>
      <c r="O69" s="11"/>
      <c r="P69" s="6">
        <v>172.97</v>
      </c>
      <c r="Q69" s="2"/>
      <c r="R69" s="7">
        <f t="shared" si="41"/>
        <v>2.9221299419844777E-4</v>
      </c>
      <c r="S69" s="2"/>
      <c r="T69" s="6">
        <v>487.38</v>
      </c>
      <c r="U69" s="2"/>
      <c r="V69" s="7">
        <f t="shared" si="42"/>
        <v>6.3767258638381264E-4</v>
      </c>
      <c r="W69" s="2"/>
      <c r="X69" s="6">
        <f t="shared" si="43"/>
        <v>-314.40999999999997</v>
      </c>
      <c r="Y69" s="2"/>
      <c r="Z69" s="7">
        <f t="shared" si="44"/>
        <v>-0.6451023841766178</v>
      </c>
    </row>
    <row r="70" spans="1:26" s="25" customFormat="1" outlineLevel="1" collapsed="1" x14ac:dyDescent="0.25">
      <c r="A70" s="26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SUM(OSRRefD22_14x_0)</f>
        <v>0</v>
      </c>
      <c r="E70" s="1"/>
      <c r="F70" s="5">
        <f t="shared" ref="F70:F73" si="45">IF(D$12=0,0,D70/D$12)</f>
        <v>0</v>
      </c>
      <c r="G70" s="1"/>
      <c r="H70" s="1">
        <f>SUM(OSRRefH22_14x_0)</f>
        <v>50</v>
      </c>
      <c r="I70" s="1"/>
      <c r="J70" s="5">
        <f t="shared" ref="J70:J73" si="46">IF(H$12=0,0,H70/H$12)</f>
        <v>4.9784547414155752E-4</v>
      </c>
      <c r="K70" s="1"/>
      <c r="L70" s="1">
        <f t="shared" ref="L70:L73" si="47">+D70-H70</f>
        <v>-50</v>
      </c>
      <c r="M70" s="1"/>
      <c r="N70" s="5">
        <f t="shared" ref="N70:N73" si="48">IF(H70=0,0,L70/H70)</f>
        <v>-1</v>
      </c>
      <c r="O70" s="13"/>
      <c r="P70" s="1">
        <f>SUM(OSRRefP22_14x_0)</f>
        <v>-45</v>
      </c>
      <c r="Q70" s="1"/>
      <c r="R70" s="5">
        <f t="shared" ref="R70:R73" si="49">IF(P$12=0,0,P70/P$12)</f>
        <v>-7.6022343405967221E-5</v>
      </c>
      <c r="S70" s="1"/>
      <c r="T70" s="1">
        <f>SUM(OSRRefT22_14x_0)</f>
        <v>500</v>
      </c>
      <c r="U70" s="1"/>
      <c r="V70" s="5">
        <f t="shared" ref="V70:V73" si="50">IF(T$12=0,0,T70/T$12)</f>
        <v>6.5418419547766903E-4</v>
      </c>
      <c r="W70" s="1"/>
      <c r="X70" s="1">
        <f t="shared" ref="X70:X73" si="51">+P70-T70</f>
        <v>-545</v>
      </c>
      <c r="Y70" s="1"/>
      <c r="Z70" s="5">
        <f t="shared" ref="Z70:Z73" si="52">IF(T70=0,0,X70/T70)</f>
        <v>-1.0900000000000001</v>
      </c>
    </row>
    <row r="71" spans="1:26" s="24" customFormat="1" hidden="1" outlineLevel="2" x14ac:dyDescent="0.25">
      <c r="A71" s="27"/>
      <c r="B71" s="11" t="str">
        <f>CONCATENATE("          ", "6309", " - ", "TELEPHONE")</f>
        <v xml:space="preserve">          6309 - TELEPHONE</v>
      </c>
      <c r="C71" s="11"/>
      <c r="D71" s="6"/>
      <c r="E71" s="2"/>
      <c r="F71" s="7">
        <f t="shared" si="45"/>
        <v>0</v>
      </c>
      <c r="G71" s="2"/>
      <c r="H71" s="6">
        <v>50</v>
      </c>
      <c r="I71" s="2"/>
      <c r="J71" s="7">
        <f t="shared" si="46"/>
        <v>4.9784547414155752E-4</v>
      </c>
      <c r="K71" s="2"/>
      <c r="L71" s="6">
        <f t="shared" si="47"/>
        <v>-50</v>
      </c>
      <c r="M71" s="2"/>
      <c r="N71" s="7">
        <f t="shared" si="48"/>
        <v>-1</v>
      </c>
      <c r="O71" s="11"/>
      <c r="P71" s="6">
        <v>-45</v>
      </c>
      <c r="Q71" s="2"/>
      <c r="R71" s="7">
        <f t="shared" si="49"/>
        <v>-7.6022343405967221E-5</v>
      </c>
      <c r="S71" s="2"/>
      <c r="T71" s="6">
        <v>500</v>
      </c>
      <c r="U71" s="2"/>
      <c r="V71" s="7">
        <f t="shared" si="50"/>
        <v>6.5418419547766903E-4</v>
      </c>
      <c r="W71" s="2"/>
      <c r="X71" s="6">
        <f t="shared" si="51"/>
        <v>-545</v>
      </c>
      <c r="Y71" s="2"/>
      <c r="Z71" s="7">
        <f t="shared" si="52"/>
        <v>-1.0900000000000001</v>
      </c>
    </row>
    <row r="72" spans="1:26" s="25" customFormat="1" outlineLevel="1" collapsed="1" x14ac:dyDescent="0.25">
      <c r="A72" s="26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SUM(OSRRefD22_15x_0)</f>
        <v>0</v>
      </c>
      <c r="E72" s="1"/>
      <c r="F72" s="5">
        <f t="shared" si="45"/>
        <v>0</v>
      </c>
      <c r="G72" s="1"/>
      <c r="H72" s="1">
        <f>SUM(OSRRefH22_15x_0)</f>
        <v>0</v>
      </c>
      <c r="I72" s="1"/>
      <c r="J72" s="5">
        <f t="shared" si="46"/>
        <v>0</v>
      </c>
      <c r="K72" s="1"/>
      <c r="L72" s="1">
        <f t="shared" si="47"/>
        <v>0</v>
      </c>
      <c r="M72" s="1"/>
      <c r="N72" s="5">
        <f t="shared" si="48"/>
        <v>0</v>
      </c>
      <c r="O72" s="13"/>
      <c r="P72" s="1">
        <f>SUM(OSRRefP22_15x_0)</f>
        <v>96</v>
      </c>
      <c r="Q72" s="1"/>
      <c r="R72" s="5">
        <f t="shared" si="49"/>
        <v>1.6218099926606342E-4</v>
      </c>
      <c r="S72" s="1"/>
      <c r="T72" s="1">
        <f>SUM(OSRRefT22_15x_0)</f>
        <v>194.51</v>
      </c>
      <c r="U72" s="1"/>
      <c r="V72" s="5">
        <f t="shared" si="50"/>
        <v>2.544907357247228E-4</v>
      </c>
      <c r="W72" s="1"/>
      <c r="X72" s="1">
        <f t="shared" si="51"/>
        <v>-98.509999999999991</v>
      </c>
      <c r="Y72" s="1"/>
      <c r="Z72" s="5">
        <f t="shared" si="52"/>
        <v>-0.50645211043134031</v>
      </c>
    </row>
    <row r="73" spans="1:26" s="24" customFormat="1" hidden="1" outlineLevel="2" x14ac:dyDescent="0.25">
      <c r="A73" s="27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96</v>
      </c>
      <c r="Q73" s="2"/>
      <c r="R73" s="7">
        <f t="shared" si="49"/>
        <v>1.6218099926606342E-4</v>
      </c>
      <c r="S73" s="2"/>
      <c r="T73" s="6">
        <v>194.51</v>
      </c>
      <c r="U73" s="2"/>
      <c r="V73" s="7">
        <f t="shared" si="50"/>
        <v>2.544907357247228E-4</v>
      </c>
      <c r="W73" s="2"/>
      <c r="X73" s="6">
        <f t="shared" si="51"/>
        <v>-98.509999999999991</v>
      </c>
      <c r="Y73" s="2"/>
      <c r="Z73" s="7">
        <f t="shared" si="52"/>
        <v>-0.50645211043134031</v>
      </c>
    </row>
    <row r="74" spans="1:26" s="53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1">
        <f>+D20-D22+D75</f>
        <v>-7385.86</v>
      </c>
      <c r="E77" s="14"/>
      <c r="F77" s="20">
        <f>IF(D$12=0,0,D77/D$12)</f>
        <v>0</v>
      </c>
      <c r="G77" s="14"/>
      <c r="H77" s="21">
        <f>+H20-H22+H75</f>
        <v>20498.890000000007</v>
      </c>
      <c r="I77" s="14"/>
      <c r="J77" s="20">
        <f>IF(H$12=0,0,H77/H$12)</f>
        <v>0.20410559222851271</v>
      </c>
      <c r="K77" s="15"/>
      <c r="L77" s="21">
        <f>+D77-H77</f>
        <v>-27884.750000000007</v>
      </c>
      <c r="M77" s="15"/>
      <c r="N77" s="20">
        <f>IF(H77=0,0,L77/H77)</f>
        <v>-1.3603053628757458</v>
      </c>
      <c r="O77" s="29"/>
      <c r="P77" s="21">
        <f>+P20-P22+P75</f>
        <v>64193.360000000044</v>
      </c>
      <c r="Q77" s="14"/>
      <c r="R77" s="20">
        <f>IF(P$12=0,0,P77/P$12)</f>
        <v>0.10844732574006408</v>
      </c>
      <c r="S77" s="14"/>
      <c r="T77" s="21">
        <f>+T20-T22+T75</f>
        <v>124409.44000000012</v>
      </c>
      <c r="U77" s="14"/>
      <c r="V77" s="20">
        <f>IF(T$12=0,0,T77/T$12)</f>
        <v>0.16277337883245482</v>
      </c>
      <c r="W77" s="15"/>
      <c r="X77" s="21">
        <f>+P77-T77</f>
        <v>-60216.080000000075</v>
      </c>
      <c r="Y77" s="15"/>
      <c r="Z77" s="20">
        <f>IF(T77=0,0,X77/T77)</f>
        <v>-0.48401536089222824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3782.69</v>
      </c>
      <c r="E79" s="4"/>
      <c r="F79" s="12">
        <f>IF(D$12=0,0,D79/D$12)</f>
        <v>0</v>
      </c>
      <c r="G79" s="4"/>
      <c r="H79" s="4">
        <v>11095.51</v>
      </c>
      <c r="I79" s="4"/>
      <c r="J79" s="12">
        <f>IF(H$12=0,0,H79/H$12)</f>
        <v>0.11047698873584787</v>
      </c>
      <c r="K79" s="4"/>
      <c r="L79" s="4">
        <f>+D79-H79</f>
        <v>-7312.82</v>
      </c>
      <c r="M79" s="4"/>
      <c r="N79" s="12">
        <f>IF(H79=0,0,L79/H79)</f>
        <v>-0.65907921312314621</v>
      </c>
      <c r="O79" s="10"/>
      <c r="P79" s="4">
        <v>67209.560000000012</v>
      </c>
      <c r="Q79" s="4"/>
      <c r="R79" s="12">
        <f>IF(P$12=0,0,P79/P$12)</f>
        <v>0.11354285001075465</v>
      </c>
      <c r="S79" s="4"/>
      <c r="T79" s="4">
        <v>79456.639999999999</v>
      </c>
      <c r="U79" s="4"/>
      <c r="V79" s="12">
        <f>IF(T$12=0,0,T79/T$12)</f>
        <v>0.10395855622751755</v>
      </c>
      <c r="W79" s="4"/>
      <c r="X79" s="4">
        <f>+P79-T79</f>
        <v>-12247.079999999987</v>
      </c>
      <c r="Y79" s="4"/>
      <c r="Z79" s="12">
        <f>IF(T79=0,0,X79/T79)</f>
        <v>-0.15413538755225475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0">
        <f>+D77-D79</f>
        <v>-11168.55</v>
      </c>
      <c r="E81" s="14"/>
      <c r="F81" s="36">
        <f>IF(D$12=0,0,D81/D$12)</f>
        <v>0</v>
      </c>
      <c r="G81" s="14"/>
      <c r="H81" s="30">
        <f>+H77-H79</f>
        <v>9403.3800000000065</v>
      </c>
      <c r="I81" s="14"/>
      <c r="J81" s="36">
        <f>IF(H$12=0,0,H81/H$12)</f>
        <v>9.3628603492664858E-2</v>
      </c>
      <c r="K81" s="15"/>
      <c r="L81" s="30">
        <f>D81-H81</f>
        <v>-20571.930000000008</v>
      </c>
      <c r="M81" s="15"/>
      <c r="N81" s="36">
        <f>IF(H81=0,0,L81/H81)</f>
        <v>-2.1877165444765598</v>
      </c>
      <c r="O81" s="29"/>
      <c r="P81" s="30">
        <f>+P77-P79</f>
        <v>-3016.199999999968</v>
      </c>
      <c r="Q81" s="14"/>
      <c r="R81" s="36">
        <f>IF(P$12=0,0,P81/P$12)</f>
        <v>-5.0955242706905756E-3</v>
      </c>
      <c r="S81" s="14"/>
      <c r="T81" s="30">
        <f>+T77-T79</f>
        <v>44952.800000000119</v>
      </c>
      <c r="U81" s="14"/>
      <c r="V81" s="36">
        <f>IF(T$12=0,0,T81/T$12)</f>
        <v>5.8814822604937277E-2</v>
      </c>
      <c r="W81" s="15"/>
      <c r="X81" s="30">
        <f>P81-T81</f>
        <v>-47969.000000000087</v>
      </c>
      <c r="Y81" s="15"/>
      <c r="Z81" s="36">
        <f>IF(T81=0,0,X81/T81)</f>
        <v>-1.0670970440106058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1">
        <f>SUM(D81:D83)</f>
        <v>-11168.55</v>
      </c>
      <c r="E84" s="14"/>
      <c r="F84" s="32">
        <f>IF(D$12=0,0,D84/D$12)</f>
        <v>0</v>
      </c>
      <c r="G84" s="14"/>
      <c r="H84" s="31">
        <f>SUM(H81:H83)</f>
        <v>9403.3800000000065</v>
      </c>
      <c r="I84" s="14"/>
      <c r="J84" s="32">
        <f>IF(H$12=0,0,H84/H$12)</f>
        <v>9.3628603492664858E-2</v>
      </c>
      <c r="K84" s="15"/>
      <c r="L84" s="31">
        <f>+D84-H84</f>
        <v>-20571.930000000008</v>
      </c>
      <c r="M84" s="15"/>
      <c r="N84" s="32">
        <f>IF(H84=0,0,L84/H84)</f>
        <v>-2.1877165444765598</v>
      </c>
      <c r="O84" s="29"/>
      <c r="P84" s="31">
        <f>SUM(P81:P83)</f>
        <v>-3016.199999999968</v>
      </c>
      <c r="Q84" s="14"/>
      <c r="R84" s="32">
        <f>IF(P$12=0,0,P84/P$12)</f>
        <v>-5.0955242706905756E-3</v>
      </c>
      <c r="S84" s="14"/>
      <c r="T84" s="31">
        <f>SUM(T81:T83)</f>
        <v>44952.800000000119</v>
      </c>
      <c r="U84" s="14"/>
      <c r="V84" s="32">
        <f>IF(T$12=0,0,T84/T$12)</f>
        <v>5.8814822604937277E-2</v>
      </c>
      <c r="W84" s="15"/>
      <c r="X84" s="31">
        <f>+P84-T84</f>
        <v>-47969.000000000087</v>
      </c>
      <c r="Y84" s="15"/>
      <c r="Z84" s="32">
        <f>IF(T84=0,0,X84/T84)</f>
        <v>-1.0670970440106058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4">
        <v>43965.471331712964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9" t="s">
        <v>313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1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","415", " - ", "Outpost")</f>
        <v>Department 415 - Outpost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99809.07</v>
      </c>
      <c r="I12" s="4"/>
      <c r="J12" s="12"/>
      <c r="K12" s="4"/>
      <c r="L12" s="4">
        <f t="shared" ref="L12:L14" si="0">+D12-H12</f>
        <v>-99809.07</v>
      </c>
      <c r="M12" s="4"/>
      <c r="N12" s="12">
        <f t="shared" ref="N12:N14" si="1">IF(H12=0,0,L12/H12)</f>
        <v>-1</v>
      </c>
      <c r="O12" s="10"/>
      <c r="P12" s="4">
        <f>SUM(OSRRefP13x_0)</f>
        <v>651784.93999999994</v>
      </c>
      <c r="Q12" s="4"/>
      <c r="R12" s="12"/>
      <c r="S12" s="4"/>
      <c r="T12" s="4">
        <f>SUM(OSRRefT13x_0)</f>
        <v>840342.88</v>
      </c>
      <c r="U12" s="4"/>
      <c r="V12" s="12"/>
      <c r="W12" s="4"/>
      <c r="X12" s="4">
        <f t="shared" ref="X12:X14" si="2">+P12-T12</f>
        <v>-188557.94000000006</v>
      </c>
      <c r="Y12" s="4"/>
      <c r="Z12" s="12">
        <f t="shared" ref="Z12:Z14" si="3">IF(T12=0,0,X12/T12)</f>
        <v>-0.22438214743962615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--30061.47</f>
        <v>30061.47</v>
      </c>
      <c r="I13" s="2"/>
      <c r="J13" s="19"/>
      <c r="K13" s="2"/>
      <c r="L13" s="2">
        <f t="shared" si="0"/>
        <v>-30061.47</v>
      </c>
      <c r="M13" s="2"/>
      <c r="N13" s="19">
        <f t="shared" si="1"/>
        <v>-1</v>
      </c>
      <c r="O13" s="11"/>
      <c r="P13" s="2">
        <f>--203771.51</f>
        <v>203771.51</v>
      </c>
      <c r="Q13" s="2"/>
      <c r="R13" s="19"/>
      <c r="S13" s="2"/>
      <c r="T13" s="2">
        <f>--269969.36</f>
        <v>269969.36</v>
      </c>
      <c r="U13" s="2"/>
      <c r="V13" s="19"/>
      <c r="W13" s="2"/>
      <c r="X13" s="2">
        <f t="shared" si="2"/>
        <v>-66197.849999999977</v>
      </c>
      <c r="Y13" s="2"/>
      <c r="Z13" s="19">
        <f t="shared" si="3"/>
        <v>-0.24520504845438748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--69747.6</f>
        <v>69747.600000000006</v>
      </c>
      <c r="I14" s="2"/>
      <c r="J14" s="19"/>
      <c r="K14" s="2"/>
      <c r="L14" s="2">
        <f t="shared" si="0"/>
        <v>-69747.600000000006</v>
      </c>
      <c r="M14" s="2"/>
      <c r="N14" s="19">
        <f t="shared" si="1"/>
        <v>-1</v>
      </c>
      <c r="O14" s="11"/>
      <c r="P14" s="2">
        <f>--448013.43</f>
        <v>448013.43</v>
      </c>
      <c r="Q14" s="2"/>
      <c r="R14" s="19"/>
      <c r="S14" s="2"/>
      <c r="T14" s="2">
        <f>--570373.52</f>
        <v>570373.52</v>
      </c>
      <c r="U14" s="2"/>
      <c r="V14" s="19"/>
      <c r="W14" s="2"/>
      <c r="X14" s="2">
        <f t="shared" si="2"/>
        <v>-122360.09000000003</v>
      </c>
      <c r="Y14" s="2"/>
      <c r="Z14" s="19">
        <f t="shared" si="3"/>
        <v>-0.21452624588883443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7768.5</v>
      </c>
      <c r="E16" s="4"/>
      <c r="F16" s="12">
        <f t="shared" ref="F16:F18" si="5">IF(D$12=0,0,D16/D$12)</f>
        <v>0</v>
      </c>
      <c r="G16" s="4"/>
      <c r="H16" s="4">
        <f>SUM(OSRRefH16x_0)</f>
        <v>31979.61</v>
      </c>
      <c r="I16" s="4"/>
      <c r="J16" s="12">
        <f t="shared" ref="J16:J18" si="6">IF(H$12=0,0,H16/H$12)</f>
        <v>0.32040785471701116</v>
      </c>
      <c r="K16" s="4"/>
      <c r="L16" s="4">
        <f t="shared" ref="L16:L18" si="7">+D16-H16</f>
        <v>-24211.11</v>
      </c>
      <c r="M16" s="4"/>
      <c r="N16" s="12">
        <f t="shared" ref="N16:N18" si="8">IF(H16=0,0,L16/H16)</f>
        <v>-0.75707958915071194</v>
      </c>
      <c r="O16" s="10"/>
      <c r="P16" s="4">
        <f>SUM(OSRRefP16x_0)</f>
        <v>216517.97999999998</v>
      </c>
      <c r="Q16" s="4"/>
      <c r="R16" s="12">
        <f t="shared" ref="R16:R18" si="9">IF(P$12=0,0,P16/P$12)</f>
        <v>0.33219236394139451</v>
      </c>
      <c r="S16" s="4"/>
      <c r="T16" s="4">
        <f>SUM(OSRRefT16x_0)</f>
        <v>274170.64</v>
      </c>
      <c r="U16" s="4"/>
      <c r="V16" s="12">
        <f t="shared" ref="V16:V18" si="10">IF(T$12=0,0,T16/T$12)</f>
        <v>0.32626044264217485</v>
      </c>
      <c r="W16" s="4"/>
      <c r="X16" s="4">
        <f t="shared" ref="X16:X18" si="11">+P16-T16</f>
        <v>-57652.660000000033</v>
      </c>
      <c r="Y16" s="4"/>
      <c r="Z16" s="12">
        <f t="shared" ref="Z16:Z18" si="12">IF(T16=0,0,X16/T16)</f>
        <v>-0.2102802108934787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246.5</v>
      </c>
      <c r="E17" s="2"/>
      <c r="F17" s="19">
        <f t="shared" si="5"/>
        <v>0</v>
      </c>
      <c r="G17" s="2"/>
      <c r="H17" s="2">
        <v>33178.61</v>
      </c>
      <c r="I17" s="2"/>
      <c r="J17" s="19">
        <f t="shared" si="6"/>
        <v>0.33242079101628735</v>
      </c>
      <c r="K17" s="2"/>
      <c r="L17" s="2">
        <f t="shared" si="7"/>
        <v>-32932.11</v>
      </c>
      <c r="M17" s="2"/>
      <c r="N17" s="19">
        <f t="shared" si="8"/>
        <v>-0.99257051455742118</v>
      </c>
      <c r="O17" s="11"/>
      <c r="P17" s="2">
        <v>214473.97999999998</v>
      </c>
      <c r="Q17" s="2"/>
      <c r="R17" s="19">
        <f t="shared" si="9"/>
        <v>0.32905636021599394</v>
      </c>
      <c r="S17" s="2"/>
      <c r="T17" s="2">
        <v>266602.64</v>
      </c>
      <c r="U17" s="2"/>
      <c r="V17" s="19">
        <f t="shared" si="10"/>
        <v>0.31725459493391556</v>
      </c>
      <c r="W17" s="2"/>
      <c r="X17" s="2">
        <f t="shared" si="11"/>
        <v>-52128.660000000033</v>
      </c>
      <c r="Y17" s="2"/>
      <c r="Z17" s="19">
        <f t="shared" si="12"/>
        <v>-0.19552942161412967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7522</v>
      </c>
      <c r="E18" s="2"/>
      <c r="F18" s="19">
        <f t="shared" si="5"/>
        <v>0</v>
      </c>
      <c r="G18" s="2"/>
      <c r="H18" s="2">
        <v>-1199</v>
      </c>
      <c r="I18" s="2"/>
      <c r="J18" s="19">
        <f t="shared" si="6"/>
        <v>-1.2012936299276208E-2</v>
      </c>
      <c r="K18" s="2"/>
      <c r="L18" s="2">
        <f t="shared" si="7"/>
        <v>8721</v>
      </c>
      <c r="M18" s="2"/>
      <c r="N18" s="19">
        <f t="shared" si="8"/>
        <v>-7.2735613010842366</v>
      </c>
      <c r="O18" s="11"/>
      <c r="P18" s="2">
        <v>2044</v>
      </c>
      <c r="Q18" s="2"/>
      <c r="R18" s="19">
        <f t="shared" si="9"/>
        <v>3.1360037254005903E-3</v>
      </c>
      <c r="S18" s="2"/>
      <c r="T18" s="2">
        <v>7568</v>
      </c>
      <c r="U18" s="2"/>
      <c r="V18" s="19">
        <f t="shared" si="10"/>
        <v>9.0058477082592767E-3</v>
      </c>
      <c r="W18" s="2"/>
      <c r="X18" s="2">
        <f t="shared" si="11"/>
        <v>-5524</v>
      </c>
      <c r="Y18" s="2"/>
      <c r="Z18" s="19">
        <f t="shared" si="12"/>
        <v>-0.72991543340380549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-7768.5</v>
      </c>
      <c r="E20" s="14"/>
      <c r="F20" s="20">
        <f>IF(D$12=0,0,D20/D$12)</f>
        <v>0</v>
      </c>
      <c r="G20" s="14"/>
      <c r="H20" s="21">
        <f>H12-H16</f>
        <v>67829.460000000006</v>
      </c>
      <c r="I20" s="14"/>
      <c r="J20" s="20">
        <f>IF(H$12=0,0,H20/H$12)</f>
        <v>0.67959214528298884</v>
      </c>
      <c r="K20" s="15"/>
      <c r="L20" s="21">
        <f>+D20-H20</f>
        <v>-75597.960000000006</v>
      </c>
      <c r="M20" s="15"/>
      <c r="N20" s="20">
        <f>IF(H20=0,0,L20/H20)</f>
        <v>-1.1145298812639817</v>
      </c>
      <c r="O20" s="29"/>
      <c r="P20" s="21">
        <f>P12-P16</f>
        <v>435266.95999999996</v>
      </c>
      <c r="Q20" s="14"/>
      <c r="R20" s="20">
        <f>IF(P$12=0,0,P20/P$12)</f>
        <v>0.66780763605860549</v>
      </c>
      <c r="S20" s="14"/>
      <c r="T20" s="21">
        <f>T12-T16</f>
        <v>566172.24</v>
      </c>
      <c r="U20" s="14"/>
      <c r="V20" s="20">
        <f>IF(T$12=0,0,T20/T$12)</f>
        <v>0.6737395573578252</v>
      </c>
      <c r="W20" s="15"/>
      <c r="X20" s="21">
        <f>+P20-T20</f>
        <v>-130905.28000000003</v>
      </c>
      <c r="Y20" s="15"/>
      <c r="Z20" s="20">
        <f>IF(T20=0,0,X20/T20)</f>
        <v>-0.23121105337132042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34653.729999999996</v>
      </c>
      <c r="E22" s="22"/>
      <c r="F22" s="35">
        <f t="shared" ref="F22:F31" si="13">IF(D$12=0,0,D22/D$12)</f>
        <v>0</v>
      </c>
      <c r="G22" s="22"/>
      <c r="H22" s="22">
        <f>SUM(OSRRefH22x_0)</f>
        <v>67842.040000000008</v>
      </c>
      <c r="I22" s="22"/>
      <c r="J22" s="35">
        <f t="shared" ref="J22:J31" si="14">IF(H$12=0,0,H22/H$12)</f>
        <v>0.67971818593240074</v>
      </c>
      <c r="K22" s="4"/>
      <c r="L22" s="22">
        <f t="shared" ref="L22:L31" si="15">+D22-H22</f>
        <v>-33188.310000000012</v>
      </c>
      <c r="M22" s="4"/>
      <c r="N22" s="35">
        <f t="shared" ref="N22:N31" si="16">IF(H22=0,0,L22/H22)</f>
        <v>-0.48919976462971937</v>
      </c>
      <c r="O22" s="10"/>
      <c r="P22" s="22">
        <f>SUM(OSRRefP22x_0)</f>
        <v>675967.67</v>
      </c>
      <c r="Q22" s="22"/>
      <c r="R22" s="35">
        <f t="shared" ref="R22:R31" si="17">IF(P$12=0,0,P22/P$12)</f>
        <v>1.0371023147604486</v>
      </c>
      <c r="S22" s="22"/>
      <c r="T22" s="22">
        <f>SUM(OSRRefT22x_0)</f>
        <v>676856.19999999984</v>
      </c>
      <c r="U22" s="22"/>
      <c r="V22" s="35">
        <f t="shared" ref="V22:V31" si="18">IF(T$12=0,0,T22/T$12)</f>
        <v>0.80545241247239441</v>
      </c>
      <c r="W22" s="4"/>
      <c r="X22" s="22">
        <f t="shared" ref="X22:X31" si="19">+P22-T22</f>
        <v>-888.52999999979511</v>
      </c>
      <c r="Y22" s="4"/>
      <c r="Z22" s="35">
        <f t="shared" ref="Z22:Z31" si="20">IF(T22=0,0,X22/T22)</f>
        <v>-1.3127308282022021E-3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5815.6399999999994</v>
      </c>
      <c r="E23" s="1"/>
      <c r="F23" s="5">
        <f t="shared" si="13"/>
        <v>0</v>
      </c>
      <c r="G23" s="1"/>
      <c r="H23" s="1">
        <f>SUM(OSRRefH22_0x_0)</f>
        <v>7210.68</v>
      </c>
      <c r="I23" s="1"/>
      <c r="J23" s="5">
        <f t="shared" si="14"/>
        <v>7.2244736876117571E-2</v>
      </c>
      <c r="K23" s="1"/>
      <c r="L23" s="1">
        <f t="shared" si="15"/>
        <v>-1395.0400000000009</v>
      </c>
      <c r="M23" s="1"/>
      <c r="N23" s="5">
        <f t="shared" si="16"/>
        <v>-0.19346857716609264</v>
      </c>
      <c r="O23" s="13"/>
      <c r="P23" s="1">
        <f>SUM(OSRRefP22_0x_0)</f>
        <v>79750.210000000006</v>
      </c>
      <c r="Q23" s="1"/>
      <c r="R23" s="5">
        <f t="shared" si="17"/>
        <v>0.12235663192831675</v>
      </c>
      <c r="S23" s="1"/>
      <c r="T23" s="1">
        <f>SUM(OSRRefT22_0x_0)</f>
        <v>75406.919999999984</v>
      </c>
      <c r="U23" s="1"/>
      <c r="V23" s="5">
        <f t="shared" si="18"/>
        <v>8.9733514491132454E-2</v>
      </c>
      <c r="W23" s="1"/>
      <c r="X23" s="1">
        <f t="shared" si="19"/>
        <v>4343.2900000000227</v>
      </c>
      <c r="Y23" s="1"/>
      <c r="Z23" s="5">
        <f t="shared" si="20"/>
        <v>5.7598029464670138E-2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>
        <v>715.41</v>
      </c>
      <c r="E24" s="2"/>
      <c r="F24" s="7">
        <f t="shared" si="13"/>
        <v>0</v>
      </c>
      <c r="G24" s="2"/>
      <c r="H24" s="6">
        <v>1234.03</v>
      </c>
      <c r="I24" s="2"/>
      <c r="J24" s="7">
        <f t="shared" si="14"/>
        <v>1.2363906406501934E-2</v>
      </c>
      <c r="K24" s="2"/>
      <c r="L24" s="6">
        <f t="shared" si="15"/>
        <v>-518.62</v>
      </c>
      <c r="M24" s="2"/>
      <c r="N24" s="7">
        <f t="shared" si="16"/>
        <v>-0.42026530959539071</v>
      </c>
      <c r="O24" s="11"/>
      <c r="P24" s="6">
        <v>13310.98</v>
      </c>
      <c r="Q24" s="2"/>
      <c r="R24" s="7">
        <f t="shared" si="17"/>
        <v>2.0422349740084514E-2</v>
      </c>
      <c r="S24" s="2"/>
      <c r="T24" s="6">
        <v>12970</v>
      </c>
      <c r="U24" s="2"/>
      <c r="V24" s="7">
        <f t="shared" si="18"/>
        <v>1.5434176106781555E-2</v>
      </c>
      <c r="W24" s="2"/>
      <c r="X24" s="6">
        <f t="shared" si="19"/>
        <v>340.97999999999956</v>
      </c>
      <c r="Y24" s="2"/>
      <c r="Z24" s="7">
        <f t="shared" si="20"/>
        <v>2.6289899768696959E-2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266.48</v>
      </c>
      <c r="E25" s="2"/>
      <c r="F25" s="7">
        <f t="shared" si="13"/>
        <v>0</v>
      </c>
      <c r="G25" s="2"/>
      <c r="H25" s="6">
        <v>800.51</v>
      </c>
      <c r="I25" s="2"/>
      <c r="J25" s="7">
        <f t="shared" si="14"/>
        <v>8.0204133752573778E-3</v>
      </c>
      <c r="K25" s="2"/>
      <c r="L25" s="6">
        <f t="shared" si="15"/>
        <v>-534.03</v>
      </c>
      <c r="M25" s="2"/>
      <c r="N25" s="7">
        <f t="shared" si="16"/>
        <v>-0.66711221596232395</v>
      </c>
      <c r="O25" s="11"/>
      <c r="P25" s="6">
        <v>7565.75</v>
      </c>
      <c r="Q25" s="2"/>
      <c r="R25" s="7">
        <f t="shared" si="17"/>
        <v>1.1607739816756123E-2</v>
      </c>
      <c r="S25" s="2"/>
      <c r="T25" s="6">
        <v>7583.58</v>
      </c>
      <c r="U25" s="2"/>
      <c r="V25" s="7">
        <f t="shared" si="18"/>
        <v>9.0243877594345778E-3</v>
      </c>
      <c r="W25" s="2"/>
      <c r="X25" s="6">
        <f t="shared" si="19"/>
        <v>-17.829999999999927</v>
      </c>
      <c r="Y25" s="2"/>
      <c r="Z25" s="7">
        <f t="shared" si="20"/>
        <v>-2.3511323148170029E-3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>
        <v>3371.81</v>
      </c>
      <c r="E26" s="2"/>
      <c r="F26" s="7">
        <f t="shared" si="13"/>
        <v>0</v>
      </c>
      <c r="G26" s="2"/>
      <c r="H26" s="6">
        <v>3220.51</v>
      </c>
      <c r="I26" s="2"/>
      <c r="J26" s="7">
        <f t="shared" si="14"/>
        <v>3.22667068233378E-2</v>
      </c>
      <c r="K26" s="2"/>
      <c r="L26" s="6">
        <f t="shared" si="15"/>
        <v>151.29999999999973</v>
      </c>
      <c r="M26" s="2"/>
      <c r="N26" s="7">
        <f t="shared" si="16"/>
        <v>4.6980136686425353E-2</v>
      </c>
      <c r="O26" s="11"/>
      <c r="P26" s="6">
        <v>31765.100000000002</v>
      </c>
      <c r="Q26" s="2"/>
      <c r="R26" s="7">
        <f t="shared" si="17"/>
        <v>4.8735553785578423E-2</v>
      </c>
      <c r="S26" s="2"/>
      <c r="T26" s="6">
        <v>31148.31</v>
      </c>
      <c r="U26" s="2"/>
      <c r="V26" s="7">
        <f t="shared" si="18"/>
        <v>3.7066191362268699E-2</v>
      </c>
      <c r="W26" s="2"/>
      <c r="X26" s="6">
        <f t="shared" si="19"/>
        <v>616.79000000000087</v>
      </c>
      <c r="Y26" s="2"/>
      <c r="Z26" s="7">
        <f t="shared" si="20"/>
        <v>1.9801716369202721E-2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17.86</v>
      </c>
      <c r="E27" s="2"/>
      <c r="F27" s="7">
        <f t="shared" si="13"/>
        <v>0</v>
      </c>
      <c r="G27" s="2"/>
      <c r="H27" s="6">
        <v>59.47</v>
      </c>
      <c r="I27" s="2"/>
      <c r="J27" s="7">
        <f t="shared" si="14"/>
        <v>5.9583763279229024E-4</v>
      </c>
      <c r="K27" s="2"/>
      <c r="L27" s="6">
        <f t="shared" si="15"/>
        <v>-41.61</v>
      </c>
      <c r="M27" s="2"/>
      <c r="N27" s="7">
        <f t="shared" si="16"/>
        <v>-0.69968051118210861</v>
      </c>
      <c r="O27" s="11"/>
      <c r="P27" s="6">
        <v>612.33000000000004</v>
      </c>
      <c r="Q27" s="2"/>
      <c r="R27" s="7">
        <f t="shared" si="17"/>
        <v>9.3946632151396456E-4</v>
      </c>
      <c r="S27" s="2"/>
      <c r="T27" s="6">
        <v>644.27</v>
      </c>
      <c r="U27" s="2"/>
      <c r="V27" s="7">
        <f t="shared" si="18"/>
        <v>7.666751457452701E-4</v>
      </c>
      <c r="W27" s="2"/>
      <c r="X27" s="6">
        <f t="shared" si="19"/>
        <v>-31.939999999999941</v>
      </c>
      <c r="Y27" s="2"/>
      <c r="Z27" s="7">
        <f t="shared" si="20"/>
        <v>-4.957548853741435E-2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>
        <v>352.64</v>
      </c>
      <c r="E28" s="2"/>
      <c r="F28" s="7">
        <f t="shared" si="13"/>
        <v>0</v>
      </c>
      <c r="G28" s="2"/>
      <c r="H28" s="6">
        <v>492.16</v>
      </c>
      <c r="I28" s="2"/>
      <c r="J28" s="7">
        <f t="shared" si="14"/>
        <v>4.9310147865319256E-3</v>
      </c>
      <c r="K28" s="2"/>
      <c r="L28" s="6">
        <f t="shared" si="15"/>
        <v>-139.52000000000004</v>
      </c>
      <c r="M28" s="2"/>
      <c r="N28" s="7">
        <f t="shared" si="16"/>
        <v>-0.28348504551365417</v>
      </c>
      <c r="O28" s="11"/>
      <c r="P28" s="6">
        <v>5977.68</v>
      </c>
      <c r="Q28" s="2"/>
      <c r="R28" s="7">
        <f t="shared" si="17"/>
        <v>9.1712459634308227E-3</v>
      </c>
      <c r="S28" s="2"/>
      <c r="T28" s="6">
        <v>5690.88</v>
      </c>
      <c r="U28" s="2"/>
      <c r="V28" s="7">
        <f t="shared" si="18"/>
        <v>6.7720928390563621E-3</v>
      </c>
      <c r="W28" s="2"/>
      <c r="X28" s="6">
        <f t="shared" si="19"/>
        <v>286.80000000000018</v>
      </c>
      <c r="Y28" s="2"/>
      <c r="Z28" s="7">
        <f t="shared" si="20"/>
        <v>5.0396423751686938E-2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>
        <v>579.54</v>
      </c>
      <c r="E29" s="2"/>
      <c r="F29" s="7">
        <f t="shared" si="13"/>
        <v>0</v>
      </c>
      <c r="G29" s="2"/>
      <c r="H29" s="6">
        <v>714.08</v>
      </c>
      <c r="I29" s="2"/>
      <c r="J29" s="7">
        <f t="shared" si="14"/>
        <v>7.1544600104980439E-3</v>
      </c>
      <c r="K29" s="2"/>
      <c r="L29" s="6">
        <f t="shared" si="15"/>
        <v>-134.54000000000008</v>
      </c>
      <c r="M29" s="2"/>
      <c r="N29" s="7">
        <f t="shared" si="16"/>
        <v>-0.18841026215550088</v>
      </c>
      <c r="O29" s="11"/>
      <c r="P29" s="6">
        <v>8863.19</v>
      </c>
      <c r="Q29" s="2"/>
      <c r="R29" s="7">
        <f t="shared" si="17"/>
        <v>1.3598335058186526E-2</v>
      </c>
      <c r="S29" s="2"/>
      <c r="T29" s="6">
        <v>7874.07</v>
      </c>
      <c r="U29" s="2"/>
      <c r="V29" s="7">
        <f t="shared" si="18"/>
        <v>9.3700680845894713E-3</v>
      </c>
      <c r="W29" s="2"/>
      <c r="X29" s="6">
        <f t="shared" si="19"/>
        <v>989.1200000000008</v>
      </c>
      <c r="Y29" s="2"/>
      <c r="Z29" s="7">
        <f t="shared" si="20"/>
        <v>0.12561737449628982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423.9</v>
      </c>
      <c r="E30" s="2"/>
      <c r="F30" s="7">
        <f t="shared" si="13"/>
        <v>0</v>
      </c>
      <c r="G30" s="2"/>
      <c r="H30" s="6">
        <v>393.28</v>
      </c>
      <c r="I30" s="2"/>
      <c r="J30" s="7">
        <f t="shared" si="14"/>
        <v>3.9403232591987873E-3</v>
      </c>
      <c r="K30" s="2"/>
      <c r="L30" s="6">
        <f t="shared" si="15"/>
        <v>30.620000000000005</v>
      </c>
      <c r="M30" s="2"/>
      <c r="N30" s="7">
        <f t="shared" si="16"/>
        <v>7.7858014646053714E-2</v>
      </c>
      <c r="O30" s="11"/>
      <c r="P30" s="6">
        <v>8660.91</v>
      </c>
      <c r="Q30" s="2"/>
      <c r="R30" s="7">
        <f t="shared" si="17"/>
        <v>1.3287987292250111E-2</v>
      </c>
      <c r="S30" s="2"/>
      <c r="T30" s="6">
        <v>6717.43</v>
      </c>
      <c r="U30" s="2"/>
      <c r="V30" s="7">
        <f t="shared" si="18"/>
        <v>7.9936775331517062E-3</v>
      </c>
      <c r="W30" s="2"/>
      <c r="X30" s="6">
        <f t="shared" si="19"/>
        <v>1943.4799999999996</v>
      </c>
      <c r="Y30" s="2"/>
      <c r="Z30" s="7">
        <f t="shared" si="20"/>
        <v>0.2893189806220533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88</v>
      </c>
      <c r="E31" s="2"/>
      <c r="F31" s="7">
        <f t="shared" si="13"/>
        <v>0</v>
      </c>
      <c r="G31" s="2"/>
      <c r="H31" s="6">
        <v>296.64</v>
      </c>
      <c r="I31" s="2"/>
      <c r="J31" s="7">
        <f t="shared" si="14"/>
        <v>2.9720745819994112E-3</v>
      </c>
      <c r="K31" s="2"/>
      <c r="L31" s="6">
        <f t="shared" si="15"/>
        <v>-208.64</v>
      </c>
      <c r="M31" s="2"/>
      <c r="N31" s="7">
        <f t="shared" si="16"/>
        <v>-0.70334412081984898</v>
      </c>
      <c r="O31" s="11"/>
      <c r="P31" s="6">
        <v>2994.27</v>
      </c>
      <c r="Q31" s="2"/>
      <c r="R31" s="7">
        <f t="shared" si="17"/>
        <v>4.5939539505162547E-3</v>
      </c>
      <c r="S31" s="2"/>
      <c r="T31" s="6">
        <v>2778.38</v>
      </c>
      <c r="U31" s="2"/>
      <c r="V31" s="7">
        <f t="shared" si="18"/>
        <v>3.3062456601048373E-3</v>
      </c>
      <c r="W31" s="2"/>
      <c r="X31" s="6">
        <f t="shared" si="19"/>
        <v>215.88999999999987</v>
      </c>
      <c r="Y31" s="2"/>
      <c r="Z31" s="7">
        <f t="shared" si="20"/>
        <v>7.7703553869521033E-2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4016.99</v>
      </c>
      <c r="E32" s="1"/>
      <c r="F32" s="5">
        <f t="shared" ref="F32:F38" si="21">IF(D$12=0,0,D32/D$12)</f>
        <v>0</v>
      </c>
      <c r="G32" s="1"/>
      <c r="H32" s="1">
        <f>SUM(OSRRefH22_1x_0)</f>
        <v>22164.77</v>
      </c>
      <c r="I32" s="1"/>
      <c r="J32" s="5">
        <f t="shared" ref="J32:J38" si="22">IF(H$12=0,0,H32/H$12)</f>
        <v>0.22207170149967331</v>
      </c>
      <c r="K32" s="1"/>
      <c r="L32" s="1">
        <f t="shared" ref="L32:L38" si="23">+D32-H32</f>
        <v>-18147.78</v>
      </c>
      <c r="M32" s="1"/>
      <c r="N32" s="5">
        <f t="shared" ref="N32:N38" si="24">IF(H32=0,0,L32/H32)</f>
        <v>-0.81876689900233557</v>
      </c>
      <c r="O32" s="13"/>
      <c r="P32" s="1">
        <f>SUM(OSRRefP22_1x_0)</f>
        <v>227207.34999999998</v>
      </c>
      <c r="Q32" s="1"/>
      <c r="R32" s="5">
        <f t="shared" ref="R32:R38" si="25">IF(P$12=0,0,P32/P$12)</f>
        <v>0.34859251273894115</v>
      </c>
      <c r="S32" s="1"/>
      <c r="T32" s="1">
        <f>SUM(OSRRefT22_1x_0)</f>
        <v>234596</v>
      </c>
      <c r="U32" s="1"/>
      <c r="V32" s="5">
        <f t="shared" ref="V32:V38" si="26">IF(T$12=0,0,T32/T$12)</f>
        <v>0.27916699907066506</v>
      </c>
      <c r="W32" s="1"/>
      <c r="X32" s="1">
        <f t="shared" ref="X32:X38" si="27">+P32-T32</f>
        <v>-7388.6500000000233</v>
      </c>
      <c r="Y32" s="1"/>
      <c r="Z32" s="5">
        <f t="shared" ref="Z32:Z38" si="28">IF(T32=0,0,X32/T32)</f>
        <v>-3.1495208784463602E-2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3281.72</v>
      </c>
      <c r="E33" s="2"/>
      <c r="F33" s="7">
        <f t="shared" si="21"/>
        <v>0</v>
      </c>
      <c r="G33" s="2"/>
      <c r="H33" s="6">
        <v>4969.22</v>
      </c>
      <c r="I33" s="2"/>
      <c r="J33" s="7">
        <f t="shared" si="22"/>
        <v>4.978725881325214E-2</v>
      </c>
      <c r="K33" s="2"/>
      <c r="L33" s="6">
        <f t="shared" si="23"/>
        <v>-1687.5000000000005</v>
      </c>
      <c r="M33" s="2"/>
      <c r="N33" s="7">
        <f t="shared" si="24"/>
        <v>-0.33959051923641947</v>
      </c>
      <c r="O33" s="11"/>
      <c r="P33" s="6">
        <v>49008.62</v>
      </c>
      <c r="Q33" s="2"/>
      <c r="R33" s="7">
        <f t="shared" si="25"/>
        <v>7.5191396720519513E-2</v>
      </c>
      <c r="S33" s="2"/>
      <c r="T33" s="6">
        <v>51597.539999999994</v>
      </c>
      <c r="U33" s="2"/>
      <c r="V33" s="7">
        <f t="shared" si="26"/>
        <v>6.140057972526642E-2</v>
      </c>
      <c r="W33" s="2"/>
      <c r="X33" s="6">
        <f t="shared" si="27"/>
        <v>-2588.919999999991</v>
      </c>
      <c r="Y33" s="2"/>
      <c r="Z33" s="7">
        <f t="shared" si="28"/>
        <v>-5.0175260293416922E-2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1624.27</v>
      </c>
      <c r="E34" s="2"/>
      <c r="F34" s="7">
        <f t="shared" si="21"/>
        <v>0</v>
      </c>
      <c r="G34" s="2"/>
      <c r="H34" s="6">
        <v>2605.91</v>
      </c>
      <c r="I34" s="2"/>
      <c r="J34" s="7">
        <f t="shared" si="22"/>
        <v>2.6108949817887288E-2</v>
      </c>
      <c r="K34" s="2"/>
      <c r="L34" s="6">
        <f t="shared" si="23"/>
        <v>-981.63999999999987</v>
      </c>
      <c r="M34" s="2"/>
      <c r="N34" s="7">
        <f t="shared" si="24"/>
        <v>-0.3766975835696551</v>
      </c>
      <c r="O34" s="11"/>
      <c r="P34" s="6">
        <v>30886.32</v>
      </c>
      <c r="Q34" s="2"/>
      <c r="R34" s="7">
        <f t="shared" si="25"/>
        <v>4.7387286978431878E-2</v>
      </c>
      <c r="S34" s="2"/>
      <c r="T34" s="6">
        <v>30361.859999999997</v>
      </c>
      <c r="U34" s="2"/>
      <c r="V34" s="7">
        <f t="shared" si="26"/>
        <v>3.6130323374668205E-2</v>
      </c>
      <c r="W34" s="2"/>
      <c r="X34" s="6">
        <f t="shared" si="27"/>
        <v>524.46000000000276</v>
      </c>
      <c r="Y34" s="2"/>
      <c r="Z34" s="7">
        <f t="shared" si="28"/>
        <v>1.7273645290506009E-2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7855.45</v>
      </c>
      <c r="I35" s="2"/>
      <c r="J35" s="7">
        <f t="shared" si="22"/>
        <v>7.870477101930716E-2</v>
      </c>
      <c r="K35" s="2"/>
      <c r="L35" s="6">
        <f t="shared" si="23"/>
        <v>-7855.45</v>
      </c>
      <c r="M35" s="2"/>
      <c r="N35" s="7">
        <f t="shared" si="24"/>
        <v>-1</v>
      </c>
      <c r="O35" s="11"/>
      <c r="P35" s="6">
        <v>71622.42</v>
      </c>
      <c r="Q35" s="2"/>
      <c r="R35" s="7">
        <f t="shared" si="25"/>
        <v>0.10988658314197933</v>
      </c>
      <c r="S35" s="2"/>
      <c r="T35" s="6">
        <v>67788.5</v>
      </c>
      <c r="U35" s="2"/>
      <c r="V35" s="7">
        <f t="shared" si="26"/>
        <v>8.0667667464499729E-2</v>
      </c>
      <c r="W35" s="2"/>
      <c r="X35" s="6">
        <f t="shared" si="27"/>
        <v>3833.9199999999983</v>
      </c>
      <c r="Y35" s="2"/>
      <c r="Z35" s="7">
        <f t="shared" si="28"/>
        <v>5.6557085641369825E-2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>
        <v>90</v>
      </c>
      <c r="I36" s="2"/>
      <c r="J36" s="7">
        <f t="shared" si="22"/>
        <v>9.0172165716001561E-4</v>
      </c>
      <c r="K36" s="2"/>
      <c r="L36" s="6">
        <f t="shared" si="23"/>
        <v>-90</v>
      </c>
      <c r="M36" s="2"/>
      <c r="N36" s="7">
        <f t="shared" si="24"/>
        <v>-1</v>
      </c>
      <c r="O36" s="11"/>
      <c r="P36" s="6">
        <v>200.5</v>
      </c>
      <c r="Q36" s="2"/>
      <c r="R36" s="7">
        <f t="shared" si="25"/>
        <v>3.0761680378807161E-4</v>
      </c>
      <c r="S36" s="2"/>
      <c r="T36" s="6">
        <v>574.69000000000005</v>
      </c>
      <c r="U36" s="2"/>
      <c r="V36" s="7">
        <f t="shared" si="26"/>
        <v>6.8387561039370034E-4</v>
      </c>
      <c r="W36" s="2"/>
      <c r="X36" s="6">
        <f t="shared" si="27"/>
        <v>-374.19000000000005</v>
      </c>
      <c r="Y36" s="2"/>
      <c r="Z36" s="7">
        <f t="shared" si="28"/>
        <v>-0.65111625398040684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-889</v>
      </c>
      <c r="E37" s="2"/>
      <c r="F37" s="7">
        <f t="shared" si="21"/>
        <v>0</v>
      </c>
      <c r="G37" s="2"/>
      <c r="H37" s="6">
        <v>6644.19</v>
      </c>
      <c r="I37" s="2"/>
      <c r="J37" s="7">
        <f t="shared" si="22"/>
        <v>6.6569000192066699E-2</v>
      </c>
      <c r="K37" s="2"/>
      <c r="L37" s="6">
        <f t="shared" si="23"/>
        <v>-7533.19</v>
      </c>
      <c r="M37" s="2"/>
      <c r="N37" s="7">
        <f t="shared" si="24"/>
        <v>-1.1338011104438614</v>
      </c>
      <c r="O37" s="11"/>
      <c r="P37" s="6">
        <v>73786.490000000005</v>
      </c>
      <c r="Q37" s="2"/>
      <c r="R37" s="7">
        <f t="shared" si="25"/>
        <v>0.11320680407252123</v>
      </c>
      <c r="S37" s="2"/>
      <c r="T37" s="6">
        <v>80672.210000000006</v>
      </c>
      <c r="U37" s="2"/>
      <c r="V37" s="7">
        <f t="shared" si="26"/>
        <v>9.5999159295548517E-2</v>
      </c>
      <c r="W37" s="2"/>
      <c r="X37" s="6">
        <f t="shared" si="27"/>
        <v>-6885.7200000000012</v>
      </c>
      <c r="Y37" s="2"/>
      <c r="Z37" s="7">
        <f t="shared" si="28"/>
        <v>-8.5354299826421023E-2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>
        <v>1703</v>
      </c>
      <c r="Q38" s="2"/>
      <c r="R38" s="7">
        <f t="shared" si="25"/>
        <v>2.6128250217011765E-3</v>
      </c>
      <c r="S38" s="2"/>
      <c r="T38" s="6">
        <v>3601.2</v>
      </c>
      <c r="U38" s="2"/>
      <c r="V38" s="7">
        <f t="shared" si="26"/>
        <v>4.2853936002884918E-3</v>
      </c>
      <c r="W38" s="2"/>
      <c r="X38" s="6">
        <f t="shared" si="27"/>
        <v>-1898.1999999999998</v>
      </c>
      <c r="Y38" s="2"/>
      <c r="Z38" s="7">
        <f t="shared" si="28"/>
        <v>-0.5271020770854159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194.71</v>
      </c>
      <c r="E39" s="1"/>
      <c r="F39" s="5">
        <f t="shared" ref="F39:F47" si="29">IF(D$12=0,0,D39/D$12)</f>
        <v>0</v>
      </c>
      <c r="G39" s="1"/>
      <c r="H39" s="1">
        <f>SUM(OSRRefH22_2x_0)</f>
        <v>877.29</v>
      </c>
      <c r="I39" s="1"/>
      <c r="J39" s="5">
        <f t="shared" ref="J39:J47" si="30">IF(H$12=0,0,H39/H$12)</f>
        <v>8.7896821401101111E-3</v>
      </c>
      <c r="K39" s="1"/>
      <c r="L39" s="1">
        <f t="shared" ref="L39:L47" si="31">+D39-H39</f>
        <v>-682.57999999999993</v>
      </c>
      <c r="M39" s="1"/>
      <c r="N39" s="5">
        <f t="shared" ref="N39:N47" si="32">IF(H39=0,0,L39/H39)</f>
        <v>-0.77805514710073065</v>
      </c>
      <c r="O39" s="13"/>
      <c r="P39" s="1">
        <f>SUM(OSRRefP22_2x_0)</f>
        <v>6370.56</v>
      </c>
      <c r="Q39" s="1"/>
      <c r="R39" s="5">
        <f t="shared" ref="R39:R47" si="33">IF(P$12=0,0,P39/P$12)</f>
        <v>9.7740214740156487E-3</v>
      </c>
      <c r="S39" s="1"/>
      <c r="T39" s="1">
        <f>SUM(OSRRefT22_2x_0)</f>
        <v>5984.1</v>
      </c>
      <c r="U39" s="1"/>
      <c r="V39" s="5">
        <f t="shared" ref="V39:V47" si="34">IF(T$12=0,0,T39/T$12)</f>
        <v>7.1210218381335009E-3</v>
      </c>
      <c r="W39" s="1"/>
      <c r="X39" s="1">
        <f t="shared" ref="X39:X47" si="35">+P39-T39</f>
        <v>386.46000000000004</v>
      </c>
      <c r="Y39" s="1"/>
      <c r="Z39" s="5">
        <f t="shared" ref="Z39:Z47" si="36">IF(T39=0,0,X39/T39)</f>
        <v>6.4581140021055805E-2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6">
        <v>194.71</v>
      </c>
      <c r="E40" s="2"/>
      <c r="F40" s="7">
        <f t="shared" si="29"/>
        <v>0</v>
      </c>
      <c r="G40" s="2"/>
      <c r="H40" s="6">
        <v>877.29</v>
      </c>
      <c r="I40" s="2"/>
      <c r="J40" s="7">
        <f t="shared" si="30"/>
        <v>8.7896821401101111E-3</v>
      </c>
      <c r="K40" s="2"/>
      <c r="L40" s="6">
        <f t="shared" si="31"/>
        <v>-682.57999999999993</v>
      </c>
      <c r="M40" s="2"/>
      <c r="N40" s="7">
        <f t="shared" si="32"/>
        <v>-0.77805514710073065</v>
      </c>
      <c r="O40" s="11"/>
      <c r="P40" s="6">
        <v>6370.56</v>
      </c>
      <c r="Q40" s="2"/>
      <c r="R40" s="7">
        <f t="shared" si="33"/>
        <v>9.7740214740156487E-3</v>
      </c>
      <c r="S40" s="2"/>
      <c r="T40" s="6">
        <v>5984.1</v>
      </c>
      <c r="U40" s="2"/>
      <c r="V40" s="7">
        <f t="shared" si="34"/>
        <v>7.1210218381335009E-3</v>
      </c>
      <c r="W40" s="2"/>
      <c r="X40" s="6">
        <f t="shared" si="35"/>
        <v>386.46000000000004</v>
      </c>
      <c r="Y40" s="2"/>
      <c r="Z40" s="7">
        <f t="shared" si="36"/>
        <v>6.4581140021055805E-2</v>
      </c>
    </row>
    <row r="41" spans="1:26" s="25" customFormat="1" outlineLevel="1" collapsed="1" x14ac:dyDescent="0.25">
      <c r="A41" s="26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-46.77</v>
      </c>
      <c r="I41" s="1"/>
      <c r="J41" s="5">
        <f t="shared" si="30"/>
        <v>-4.685946878374881E-4</v>
      </c>
      <c r="K41" s="1"/>
      <c r="L41" s="1">
        <f t="shared" si="31"/>
        <v>46.77</v>
      </c>
      <c r="M41" s="1"/>
      <c r="N41" s="5">
        <f t="shared" si="32"/>
        <v>-1</v>
      </c>
      <c r="O41" s="13"/>
      <c r="P41" s="1">
        <f>SUM(OSRRefP22_3x_0)</f>
        <v>-37.450000000000003</v>
      </c>
      <c r="Q41" s="1"/>
      <c r="R41" s="5">
        <f t="shared" si="33"/>
        <v>-5.7457602503058765E-5</v>
      </c>
      <c r="S41" s="1"/>
      <c r="T41" s="1">
        <f>SUM(OSRRefT22_3x_0)</f>
        <v>14.69</v>
      </c>
      <c r="U41" s="1"/>
      <c r="V41" s="5">
        <f t="shared" si="34"/>
        <v>1.7480959676840483E-5</v>
      </c>
      <c r="W41" s="1"/>
      <c r="X41" s="1">
        <f t="shared" si="35"/>
        <v>-52.14</v>
      </c>
      <c r="Y41" s="1"/>
      <c r="Z41" s="5">
        <f t="shared" si="36"/>
        <v>-3.5493533015656911</v>
      </c>
    </row>
    <row r="42" spans="1:26" s="24" customFormat="1" hidden="1" outlineLevel="2" x14ac:dyDescent="0.25">
      <c r="A42" s="27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-46.77</v>
      </c>
      <c r="I42" s="2"/>
      <c r="J42" s="7">
        <f t="shared" si="30"/>
        <v>-4.685946878374881E-4</v>
      </c>
      <c r="K42" s="2"/>
      <c r="L42" s="6">
        <f t="shared" si="31"/>
        <v>46.77</v>
      </c>
      <c r="M42" s="2"/>
      <c r="N42" s="7">
        <f t="shared" si="32"/>
        <v>-1</v>
      </c>
      <c r="O42" s="11"/>
      <c r="P42" s="6">
        <v>-37.450000000000003</v>
      </c>
      <c r="Q42" s="2"/>
      <c r="R42" s="7">
        <f t="shared" si="33"/>
        <v>-5.7457602503058765E-5</v>
      </c>
      <c r="S42" s="2"/>
      <c r="T42" s="6">
        <v>14.69</v>
      </c>
      <c r="U42" s="2"/>
      <c r="V42" s="7">
        <f t="shared" si="34"/>
        <v>1.7480959676840483E-5</v>
      </c>
      <c r="W42" s="2"/>
      <c r="X42" s="6">
        <f t="shared" si="35"/>
        <v>-52.14</v>
      </c>
      <c r="Y42" s="2"/>
      <c r="Z42" s="7">
        <f t="shared" si="36"/>
        <v>-3.5493533015656911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611.33000000000004</v>
      </c>
      <c r="E43" s="1"/>
      <c r="F43" s="5">
        <f t="shared" si="29"/>
        <v>0</v>
      </c>
      <c r="G43" s="1"/>
      <c r="H43" s="1">
        <f>SUM(OSRRefH22_4x_0)</f>
        <v>3538.52</v>
      </c>
      <c r="I43" s="1"/>
      <c r="J43" s="5">
        <f t="shared" si="30"/>
        <v>3.5452890203265093E-2</v>
      </c>
      <c r="K43" s="1"/>
      <c r="L43" s="1">
        <f t="shared" si="31"/>
        <v>-2927.19</v>
      </c>
      <c r="M43" s="1"/>
      <c r="N43" s="5">
        <f t="shared" si="32"/>
        <v>-0.82723568045397511</v>
      </c>
      <c r="O43" s="13"/>
      <c r="P43" s="1">
        <f>SUM(OSRRefP22_4x_0)</f>
        <v>27203.670000000002</v>
      </c>
      <c r="Q43" s="1"/>
      <c r="R43" s="5">
        <f t="shared" si="33"/>
        <v>4.1737187115737907E-2</v>
      </c>
      <c r="S43" s="1"/>
      <c r="T43" s="1">
        <f>SUM(OSRRefT22_4x_0)</f>
        <v>34092.839999999997</v>
      </c>
      <c r="U43" s="1"/>
      <c r="V43" s="5">
        <f t="shared" si="34"/>
        <v>4.0570153935260325E-2</v>
      </c>
      <c r="W43" s="1"/>
      <c r="X43" s="1">
        <f t="shared" si="35"/>
        <v>-6889.1699999999946</v>
      </c>
      <c r="Y43" s="1"/>
      <c r="Z43" s="5">
        <f t="shared" si="36"/>
        <v>-0.20207087470565654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611.33000000000004</v>
      </c>
      <c r="E44" s="2"/>
      <c r="F44" s="7">
        <f t="shared" si="29"/>
        <v>0</v>
      </c>
      <c r="G44" s="2"/>
      <c r="H44" s="6">
        <v>3538.52</v>
      </c>
      <c r="I44" s="2"/>
      <c r="J44" s="7">
        <f t="shared" si="30"/>
        <v>3.5452890203265093E-2</v>
      </c>
      <c r="K44" s="2"/>
      <c r="L44" s="6">
        <f t="shared" si="31"/>
        <v>-2927.19</v>
      </c>
      <c r="M44" s="2"/>
      <c r="N44" s="7">
        <f t="shared" si="32"/>
        <v>-0.82723568045397511</v>
      </c>
      <c r="O44" s="11"/>
      <c r="P44" s="6">
        <v>27203.670000000002</v>
      </c>
      <c r="Q44" s="2"/>
      <c r="R44" s="7">
        <f t="shared" si="33"/>
        <v>4.1737187115737907E-2</v>
      </c>
      <c r="S44" s="2"/>
      <c r="T44" s="6">
        <v>34092.839999999997</v>
      </c>
      <c r="U44" s="2"/>
      <c r="V44" s="7">
        <f t="shared" si="34"/>
        <v>4.0570153935260325E-2</v>
      </c>
      <c r="W44" s="2"/>
      <c r="X44" s="6">
        <f t="shared" si="35"/>
        <v>-6889.1699999999946</v>
      </c>
      <c r="Y44" s="2"/>
      <c r="Z44" s="7">
        <f t="shared" si="36"/>
        <v>-0.20207087470565654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13702.16</v>
      </c>
      <c r="E45" s="1"/>
      <c r="F45" s="5">
        <f t="shared" si="29"/>
        <v>0</v>
      </c>
      <c r="G45" s="1"/>
      <c r="H45" s="1">
        <f>SUM(OSRRefH22_5x_0)</f>
        <v>13266.9</v>
      </c>
      <c r="I45" s="1"/>
      <c r="J45" s="5">
        <f t="shared" si="30"/>
        <v>0.13292278948195788</v>
      </c>
      <c r="K45" s="1"/>
      <c r="L45" s="1">
        <f t="shared" si="31"/>
        <v>435.26000000000022</v>
      </c>
      <c r="M45" s="1"/>
      <c r="N45" s="5">
        <f t="shared" si="32"/>
        <v>3.280796568904569E-2</v>
      </c>
      <c r="O45" s="13"/>
      <c r="P45" s="1">
        <f>SUM(OSRRefP22_5x_0)</f>
        <v>134572.46000000002</v>
      </c>
      <c r="Q45" s="1"/>
      <c r="R45" s="5">
        <f t="shared" si="33"/>
        <v>0.20646758116258412</v>
      </c>
      <c r="S45" s="1"/>
      <c r="T45" s="1">
        <f>SUM(OSRRefT22_5x_0)</f>
        <v>132669</v>
      </c>
      <c r="U45" s="1"/>
      <c r="V45" s="5">
        <f t="shared" si="34"/>
        <v>0.15787484270706262</v>
      </c>
      <c r="W45" s="1"/>
      <c r="X45" s="1">
        <f t="shared" si="35"/>
        <v>1903.460000000021</v>
      </c>
      <c r="Y45" s="1"/>
      <c r="Z45" s="5">
        <f t="shared" si="36"/>
        <v>1.4347436100370252E-2</v>
      </c>
    </row>
    <row r="46" spans="1:26" s="24" customFormat="1" hidden="1" outlineLevel="2" x14ac:dyDescent="0.25">
      <c r="A46" s="27"/>
      <c r="B46" s="11" t="str">
        <f>CONCATENATE("          ", "6321", " - ", "BUILDING DEPRECIATION")</f>
        <v xml:space="preserve">          6321 - BUILDING DEPRECIATION</v>
      </c>
      <c r="C46" s="11"/>
      <c r="D46" s="6">
        <v>10612.46</v>
      </c>
      <c r="E46" s="2"/>
      <c r="F46" s="7">
        <f t="shared" si="29"/>
        <v>0</v>
      </c>
      <c r="G46" s="2"/>
      <c r="H46" s="6">
        <v>10612.46</v>
      </c>
      <c r="I46" s="2"/>
      <c r="J46" s="7">
        <f t="shared" si="30"/>
        <v>0.10632761130827087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106124.6</v>
      </c>
      <c r="Q46" s="2"/>
      <c r="R46" s="7">
        <f t="shared" si="33"/>
        <v>0.16282149753260641</v>
      </c>
      <c r="S46" s="2"/>
      <c r="T46" s="6">
        <v>106124.6</v>
      </c>
      <c r="U46" s="2"/>
      <c r="V46" s="7">
        <f t="shared" si="34"/>
        <v>0.1262872602669044</v>
      </c>
      <c r="W46" s="2"/>
      <c r="X46" s="6">
        <f t="shared" si="35"/>
        <v>0</v>
      </c>
      <c r="Y46" s="2"/>
      <c r="Z46" s="7">
        <f t="shared" si="36"/>
        <v>0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3089.7</v>
      </c>
      <c r="E47" s="2"/>
      <c r="F47" s="7">
        <f t="shared" si="29"/>
        <v>0</v>
      </c>
      <c r="G47" s="2"/>
      <c r="H47" s="6">
        <v>2654.44</v>
      </c>
      <c r="I47" s="2"/>
      <c r="J47" s="7">
        <f t="shared" si="30"/>
        <v>2.659517817368702E-2</v>
      </c>
      <c r="K47" s="2"/>
      <c r="L47" s="6">
        <f t="shared" si="31"/>
        <v>435.25999999999976</v>
      </c>
      <c r="M47" s="2"/>
      <c r="N47" s="7">
        <f t="shared" si="32"/>
        <v>0.16397432226759684</v>
      </c>
      <c r="O47" s="11"/>
      <c r="P47" s="6">
        <v>28447.86</v>
      </c>
      <c r="Q47" s="2"/>
      <c r="R47" s="7">
        <f t="shared" si="33"/>
        <v>4.3646083629977711E-2</v>
      </c>
      <c r="S47" s="2"/>
      <c r="T47" s="6">
        <v>26544.400000000001</v>
      </c>
      <c r="U47" s="2"/>
      <c r="V47" s="7">
        <f t="shared" si="34"/>
        <v>3.1587582440158239E-2</v>
      </c>
      <c r="W47" s="2"/>
      <c r="X47" s="6">
        <f t="shared" si="35"/>
        <v>1903.4599999999991</v>
      </c>
      <c r="Y47" s="2"/>
      <c r="Z47" s="7">
        <f t="shared" si="36"/>
        <v>7.1708533626678284E-2</v>
      </c>
    </row>
    <row r="48" spans="1:26" s="25" customFormat="1" outlineLevel="1" collapsed="1" x14ac:dyDescent="0.25">
      <c r="A48" s="26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62" si="37">IF(D$12=0,0,D48/D$12)</f>
        <v>0</v>
      </c>
      <c r="G48" s="1"/>
      <c r="H48" s="1">
        <f>SUM(OSRRefH22_6x_0)</f>
        <v>147.34</v>
      </c>
      <c r="I48" s="1"/>
      <c r="J48" s="5">
        <f t="shared" ref="J48:J62" si="38">IF(H$12=0,0,H48/H$12)</f>
        <v>1.4762185440661854E-3</v>
      </c>
      <c r="K48" s="1"/>
      <c r="L48" s="1">
        <f t="shared" ref="L48:L62" si="39">+D48-H48</f>
        <v>-147.34</v>
      </c>
      <c r="M48" s="1"/>
      <c r="N48" s="5">
        <f t="shared" ref="N48:N62" si="40">IF(H48=0,0,L48/H48)</f>
        <v>-1</v>
      </c>
      <c r="O48" s="13"/>
      <c r="P48" s="1">
        <f>SUM(OSRRefP22_6x_0)</f>
        <v>146.37</v>
      </c>
      <c r="Q48" s="1"/>
      <c r="R48" s="5">
        <f t="shared" ref="R48:R62" si="41">IF(P$12=0,0,P48/P$12)</f>
        <v>2.2456793800728199E-4</v>
      </c>
      <c r="S48" s="1"/>
      <c r="T48" s="1">
        <f>SUM(OSRRefT22_6x_0)</f>
        <v>299.17</v>
      </c>
      <c r="U48" s="1"/>
      <c r="V48" s="5">
        <f t="shared" ref="V48:V62" si="42">IF(T$12=0,0,T48/T$12)</f>
        <v>3.5600944224100528E-4</v>
      </c>
      <c r="W48" s="1"/>
      <c r="X48" s="1">
        <f t="shared" ref="X48:X62" si="43">+P48-T48</f>
        <v>-152.80000000000001</v>
      </c>
      <c r="Y48" s="1"/>
      <c r="Z48" s="5">
        <f t="shared" ref="Z48:Z62" si="44">IF(T48=0,0,X48/T48)</f>
        <v>-0.51074639836882041</v>
      </c>
    </row>
    <row r="49" spans="1:26" s="24" customFormat="1" hidden="1" outlineLevel="2" x14ac:dyDescent="0.25">
      <c r="A49" s="27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7"/>
        <v>0</v>
      </c>
      <c r="G49" s="2"/>
      <c r="H49" s="6">
        <v>147.34</v>
      </c>
      <c r="I49" s="2"/>
      <c r="J49" s="7">
        <f t="shared" si="38"/>
        <v>1.4762185440661854E-3</v>
      </c>
      <c r="K49" s="2"/>
      <c r="L49" s="6">
        <f t="shared" si="39"/>
        <v>-147.34</v>
      </c>
      <c r="M49" s="2"/>
      <c r="N49" s="7">
        <f t="shared" si="40"/>
        <v>-1</v>
      </c>
      <c r="O49" s="11"/>
      <c r="P49" s="6">
        <v>146.37</v>
      </c>
      <c r="Q49" s="2"/>
      <c r="R49" s="7">
        <f t="shared" si="41"/>
        <v>2.2456793800728199E-4</v>
      </c>
      <c r="S49" s="2"/>
      <c r="T49" s="6">
        <v>299.17</v>
      </c>
      <c r="U49" s="2"/>
      <c r="V49" s="7">
        <f t="shared" si="42"/>
        <v>3.5600944224100528E-4</v>
      </c>
      <c r="W49" s="2"/>
      <c r="X49" s="6">
        <f t="shared" si="43"/>
        <v>-152.80000000000001</v>
      </c>
      <c r="Y49" s="2"/>
      <c r="Z49" s="7">
        <f t="shared" si="44"/>
        <v>-0.51074639836882041</v>
      </c>
    </row>
    <row r="50" spans="1:26" s="25" customFormat="1" outlineLevel="1" collapsed="1" x14ac:dyDescent="0.25">
      <c r="A50" s="26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36.270000000000003</v>
      </c>
      <c r="E50" s="1"/>
      <c r="F50" s="5">
        <f t="shared" si="37"/>
        <v>0</v>
      </c>
      <c r="G50" s="1"/>
      <c r="H50" s="1">
        <f>SUM(OSRRefH22_7x_0)</f>
        <v>186.75</v>
      </c>
      <c r="I50" s="1"/>
      <c r="J50" s="5">
        <f t="shared" si="38"/>
        <v>1.8710724386070323E-3</v>
      </c>
      <c r="K50" s="1"/>
      <c r="L50" s="1">
        <f t="shared" si="39"/>
        <v>-150.47999999999999</v>
      </c>
      <c r="M50" s="1"/>
      <c r="N50" s="5">
        <f t="shared" si="40"/>
        <v>-0.80578313253012046</v>
      </c>
      <c r="O50" s="13"/>
      <c r="P50" s="1">
        <f>SUM(OSRRefP22_7x_0)</f>
        <v>1010.36</v>
      </c>
      <c r="Q50" s="1"/>
      <c r="R50" s="5">
        <f t="shared" si="41"/>
        <v>1.5501432113482097E-3</v>
      </c>
      <c r="S50" s="1"/>
      <c r="T50" s="1">
        <f>SUM(OSRRefT22_7x_0)</f>
        <v>1266.83</v>
      </c>
      <c r="U50" s="1"/>
      <c r="V50" s="5">
        <f t="shared" si="42"/>
        <v>1.5075155988707846E-3</v>
      </c>
      <c r="W50" s="1"/>
      <c r="X50" s="1">
        <f t="shared" si="43"/>
        <v>-256.46999999999991</v>
      </c>
      <c r="Y50" s="1"/>
      <c r="Z50" s="5">
        <f t="shared" si="44"/>
        <v>-0.20245021036761043</v>
      </c>
    </row>
    <row r="51" spans="1:26" s="24" customFormat="1" hidden="1" outlineLevel="2" x14ac:dyDescent="0.25">
      <c r="A51" s="27"/>
      <c r="B51" s="11" t="str">
        <f>CONCATENATE("          ", "6351", " - ", "EQUIPMENT RENTAL")</f>
        <v xml:space="preserve">          6351 - EQUIPMENT RENTAL</v>
      </c>
      <c r="C51" s="11"/>
      <c r="D51" s="6">
        <v>36.270000000000003</v>
      </c>
      <c r="E51" s="2"/>
      <c r="F51" s="7">
        <f t="shared" si="37"/>
        <v>0</v>
      </c>
      <c r="G51" s="2"/>
      <c r="H51" s="6">
        <v>186.75</v>
      </c>
      <c r="I51" s="2"/>
      <c r="J51" s="7">
        <f t="shared" si="38"/>
        <v>1.8710724386070323E-3</v>
      </c>
      <c r="K51" s="2"/>
      <c r="L51" s="6">
        <f t="shared" si="39"/>
        <v>-150.47999999999999</v>
      </c>
      <c r="M51" s="2"/>
      <c r="N51" s="7">
        <f t="shared" si="40"/>
        <v>-0.80578313253012046</v>
      </c>
      <c r="O51" s="11"/>
      <c r="P51" s="6">
        <v>1010.36</v>
      </c>
      <c r="Q51" s="2"/>
      <c r="R51" s="7">
        <f t="shared" si="41"/>
        <v>1.5501432113482097E-3</v>
      </c>
      <c r="S51" s="2"/>
      <c r="T51" s="6">
        <v>1266.83</v>
      </c>
      <c r="U51" s="2"/>
      <c r="V51" s="7">
        <f t="shared" si="42"/>
        <v>1.5075155988707846E-3</v>
      </c>
      <c r="W51" s="2"/>
      <c r="X51" s="6">
        <f t="shared" si="43"/>
        <v>-256.46999999999991</v>
      </c>
      <c r="Y51" s="2"/>
      <c r="Z51" s="7">
        <f t="shared" si="44"/>
        <v>-0.20245021036761043</v>
      </c>
    </row>
    <row r="52" spans="1:26" s="25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0</v>
      </c>
      <c r="I52" s="1"/>
      <c r="J52" s="5">
        <f t="shared" si="38"/>
        <v>0</v>
      </c>
      <c r="K52" s="1"/>
      <c r="L52" s="1">
        <f t="shared" si="39"/>
        <v>0</v>
      </c>
      <c r="M52" s="1"/>
      <c r="N52" s="5">
        <f t="shared" si="40"/>
        <v>0</v>
      </c>
      <c r="O52" s="13"/>
      <c r="P52" s="1">
        <f>SUM(OSRRefP22_8x_0)</f>
        <v>1937.01</v>
      </c>
      <c r="Q52" s="1"/>
      <c r="R52" s="5">
        <f t="shared" si="41"/>
        <v>2.9718544893044016E-3</v>
      </c>
      <c r="S52" s="1"/>
      <c r="T52" s="1">
        <f>SUM(OSRRefT22_8x_0)</f>
        <v>2037.97</v>
      </c>
      <c r="U52" s="1"/>
      <c r="V52" s="5">
        <f t="shared" si="42"/>
        <v>2.4251648327168547E-3</v>
      </c>
      <c r="W52" s="1"/>
      <c r="X52" s="1">
        <f t="shared" si="43"/>
        <v>-100.96000000000004</v>
      </c>
      <c r="Y52" s="1"/>
      <c r="Z52" s="5">
        <f t="shared" si="44"/>
        <v>-4.953949273051126E-2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7"/>
        <v>0</v>
      </c>
      <c r="G53" s="2"/>
      <c r="H53" s="6"/>
      <c r="I53" s="2"/>
      <c r="J53" s="7">
        <f t="shared" si="38"/>
        <v>0</v>
      </c>
      <c r="K53" s="2"/>
      <c r="L53" s="6">
        <f t="shared" si="39"/>
        <v>0</v>
      </c>
      <c r="M53" s="2"/>
      <c r="N53" s="7">
        <f t="shared" si="40"/>
        <v>0</v>
      </c>
      <c r="O53" s="11"/>
      <c r="P53" s="6">
        <v>1937.01</v>
      </c>
      <c r="Q53" s="2"/>
      <c r="R53" s="7">
        <f t="shared" si="41"/>
        <v>2.9718544893044016E-3</v>
      </c>
      <c r="S53" s="2"/>
      <c r="T53" s="6">
        <v>2037.97</v>
      </c>
      <c r="U53" s="2"/>
      <c r="V53" s="7">
        <f t="shared" si="42"/>
        <v>2.4251648327168547E-3</v>
      </c>
      <c r="W53" s="2"/>
      <c r="X53" s="6">
        <f t="shared" si="43"/>
        <v>-100.96000000000004</v>
      </c>
      <c r="Y53" s="2"/>
      <c r="Z53" s="7">
        <f t="shared" si="44"/>
        <v>-4.953949273051126E-2</v>
      </c>
    </row>
    <row r="54" spans="1:26" s="25" customFormat="1" outlineLevel="1" collapsed="1" x14ac:dyDescent="0.25">
      <c r="A54" s="26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641.28</v>
      </c>
      <c r="E54" s="1"/>
      <c r="F54" s="5">
        <f t="shared" si="37"/>
        <v>0</v>
      </c>
      <c r="G54" s="1"/>
      <c r="H54" s="1">
        <f>SUM(OSRRefH22_9x_0)</f>
        <v>604.16</v>
      </c>
      <c r="I54" s="1"/>
      <c r="J54" s="5">
        <f t="shared" si="38"/>
        <v>6.053157293219944E-3</v>
      </c>
      <c r="K54" s="1"/>
      <c r="L54" s="1">
        <f t="shared" si="39"/>
        <v>37.120000000000005</v>
      </c>
      <c r="M54" s="1"/>
      <c r="N54" s="5">
        <f t="shared" si="40"/>
        <v>6.1440677966101705E-2</v>
      </c>
      <c r="O54" s="13"/>
      <c r="P54" s="1">
        <f>SUM(OSRRefP22_9x_0)</f>
        <v>6412.8</v>
      </c>
      <c r="Q54" s="1"/>
      <c r="R54" s="5">
        <f t="shared" si="41"/>
        <v>9.838828126344866E-3</v>
      </c>
      <c r="S54" s="1"/>
      <c r="T54" s="1">
        <f>SUM(OSRRefT22_9x_0)</f>
        <v>4963.63</v>
      </c>
      <c r="U54" s="1"/>
      <c r="V54" s="5">
        <f t="shared" si="42"/>
        <v>5.9066722859602259E-3</v>
      </c>
      <c r="W54" s="1"/>
      <c r="X54" s="1">
        <f t="shared" si="43"/>
        <v>1449.17</v>
      </c>
      <c r="Y54" s="1"/>
      <c r="Z54" s="5">
        <f t="shared" si="44"/>
        <v>0.29195770031207002</v>
      </c>
    </row>
    <row r="55" spans="1:26" s="24" customFormat="1" hidden="1" outlineLevel="2" x14ac:dyDescent="0.25">
      <c r="A55" s="27"/>
      <c r="B55" s="11" t="str">
        <f>CONCATENATE("          ", "6314", " - ", "LIABILITY INSURANCE")</f>
        <v xml:space="preserve">          6314 - LIABILITY INSURANCE</v>
      </c>
      <c r="C55" s="11"/>
      <c r="D55" s="6">
        <v>641.28</v>
      </c>
      <c r="E55" s="2"/>
      <c r="F55" s="7">
        <f t="shared" si="37"/>
        <v>0</v>
      </c>
      <c r="G55" s="2"/>
      <c r="H55" s="6">
        <v>604.16</v>
      </c>
      <c r="I55" s="2"/>
      <c r="J55" s="7">
        <f t="shared" si="38"/>
        <v>6.053157293219944E-3</v>
      </c>
      <c r="K55" s="2"/>
      <c r="L55" s="6">
        <f t="shared" si="39"/>
        <v>37.120000000000005</v>
      </c>
      <c r="M55" s="2"/>
      <c r="N55" s="7">
        <f t="shared" si="40"/>
        <v>6.1440677966101705E-2</v>
      </c>
      <c r="O55" s="11"/>
      <c r="P55" s="6">
        <v>6412.8</v>
      </c>
      <c r="Q55" s="2"/>
      <c r="R55" s="7">
        <f t="shared" si="41"/>
        <v>9.838828126344866E-3</v>
      </c>
      <c r="S55" s="2"/>
      <c r="T55" s="6">
        <v>4963.63</v>
      </c>
      <c r="U55" s="2"/>
      <c r="V55" s="7">
        <f t="shared" si="42"/>
        <v>5.9066722859602259E-3</v>
      </c>
      <c r="W55" s="2"/>
      <c r="X55" s="6">
        <f t="shared" si="43"/>
        <v>1449.17</v>
      </c>
      <c r="Y55" s="2"/>
      <c r="Z55" s="7">
        <f t="shared" si="44"/>
        <v>0.29195770031207002</v>
      </c>
    </row>
    <row r="56" spans="1:26" s="25" customFormat="1" outlineLevel="1" collapsed="1" x14ac:dyDescent="0.25">
      <c r="A56" s="26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5803.23</v>
      </c>
      <c r="E56" s="1"/>
      <c r="F56" s="5">
        <f t="shared" si="37"/>
        <v>0</v>
      </c>
      <c r="G56" s="1"/>
      <c r="H56" s="1">
        <f>SUM(OSRRefH22_10x_0)</f>
        <v>6779.5</v>
      </c>
      <c r="I56" s="1"/>
      <c r="J56" s="5">
        <f t="shared" si="38"/>
        <v>6.7924688607959166E-2</v>
      </c>
      <c r="K56" s="1"/>
      <c r="L56" s="1">
        <f t="shared" si="39"/>
        <v>-976.27000000000044</v>
      </c>
      <c r="M56" s="1"/>
      <c r="N56" s="5">
        <f t="shared" si="40"/>
        <v>-0.14400324507707066</v>
      </c>
      <c r="O56" s="13"/>
      <c r="P56" s="1">
        <f>SUM(OSRRefP22_10x_0)</f>
        <v>75196.280000000013</v>
      </c>
      <c r="Q56" s="1"/>
      <c r="R56" s="5">
        <f t="shared" si="41"/>
        <v>0.11536977212146084</v>
      </c>
      <c r="S56" s="1"/>
      <c r="T56" s="1">
        <f>SUM(OSRRefT22_10x_0)</f>
        <v>77920.600000000006</v>
      </c>
      <c r="U56" s="1"/>
      <c r="V56" s="5">
        <f t="shared" si="42"/>
        <v>9.2724769679728827E-2</v>
      </c>
      <c r="W56" s="1"/>
      <c r="X56" s="1">
        <f t="shared" si="43"/>
        <v>-2724.3199999999924</v>
      </c>
      <c r="Y56" s="1"/>
      <c r="Z56" s="5">
        <f t="shared" si="44"/>
        <v>-3.4962769793866991E-2</v>
      </c>
    </row>
    <row r="57" spans="1:26" s="24" customFormat="1" hidden="1" outlineLevel="2" x14ac:dyDescent="0.25">
      <c r="A57" s="27"/>
      <c r="B57" s="11" t="str">
        <f>CONCATENATE("          ", "6401", " - ", "INTEREST EXPENSE")</f>
        <v xml:space="preserve">          6401 - INTEREST EXPENSE</v>
      </c>
      <c r="C57" s="11"/>
      <c r="D57" s="6">
        <v>5803.23</v>
      </c>
      <c r="E57" s="2"/>
      <c r="F57" s="7">
        <f t="shared" si="37"/>
        <v>0</v>
      </c>
      <c r="G57" s="2"/>
      <c r="H57" s="6">
        <v>6779.5</v>
      </c>
      <c r="I57" s="2"/>
      <c r="J57" s="7">
        <f t="shared" si="38"/>
        <v>6.7924688607959166E-2</v>
      </c>
      <c r="K57" s="2"/>
      <c r="L57" s="6">
        <f t="shared" si="39"/>
        <v>-976.27000000000044</v>
      </c>
      <c r="M57" s="2"/>
      <c r="N57" s="7">
        <f t="shared" si="40"/>
        <v>-0.14400324507707066</v>
      </c>
      <c r="O57" s="11"/>
      <c r="P57" s="6">
        <v>75196.280000000013</v>
      </c>
      <c r="Q57" s="2"/>
      <c r="R57" s="7">
        <f t="shared" si="41"/>
        <v>0.11536977212146084</v>
      </c>
      <c r="S57" s="2"/>
      <c r="T57" s="6">
        <v>77920.600000000006</v>
      </c>
      <c r="U57" s="2"/>
      <c r="V57" s="7">
        <f t="shared" si="42"/>
        <v>9.2724769679728827E-2</v>
      </c>
      <c r="W57" s="2"/>
      <c r="X57" s="6">
        <f t="shared" si="43"/>
        <v>-2724.3199999999924</v>
      </c>
      <c r="Y57" s="2"/>
      <c r="Z57" s="7">
        <f t="shared" si="44"/>
        <v>-3.4962769793866991E-2</v>
      </c>
    </row>
    <row r="58" spans="1:26" s="25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502.77</v>
      </c>
      <c r="E58" s="1"/>
      <c r="F58" s="5">
        <f t="shared" si="37"/>
        <v>0</v>
      </c>
      <c r="G58" s="1"/>
      <c r="H58" s="1">
        <f>SUM(OSRRefH22_11x_0)</f>
        <v>4289.93</v>
      </c>
      <c r="I58" s="1"/>
      <c r="J58" s="5">
        <f t="shared" si="38"/>
        <v>4.2981364318894065E-2</v>
      </c>
      <c r="K58" s="1"/>
      <c r="L58" s="1">
        <f t="shared" si="39"/>
        <v>-3787.1600000000003</v>
      </c>
      <c r="M58" s="1"/>
      <c r="N58" s="5">
        <f t="shared" si="40"/>
        <v>-0.88280228348714318</v>
      </c>
      <c r="O58" s="13"/>
      <c r="P58" s="1">
        <f>SUM(OSRRefP22_11x_0)</f>
        <v>24513.960000000003</v>
      </c>
      <c r="Q58" s="1"/>
      <c r="R58" s="5">
        <f t="shared" si="41"/>
        <v>3.7610503857299929E-2</v>
      </c>
      <c r="S58" s="1"/>
      <c r="T58" s="1">
        <f>SUM(OSRRefT22_11x_0)</f>
        <v>19090.16</v>
      </c>
      <c r="U58" s="1"/>
      <c r="V58" s="5">
        <f t="shared" si="42"/>
        <v>2.2717108045230298E-2</v>
      </c>
      <c r="W58" s="1"/>
      <c r="X58" s="1">
        <f t="shared" si="43"/>
        <v>5423.8000000000029</v>
      </c>
      <c r="Y58" s="1"/>
      <c r="Z58" s="5">
        <f t="shared" si="44"/>
        <v>0.28411495765357664</v>
      </c>
    </row>
    <row r="59" spans="1:26" s="24" customFormat="1" hidden="1" outlineLevel="2" x14ac:dyDescent="0.2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>
        <v>2623.84</v>
      </c>
      <c r="Q59" s="2"/>
      <c r="R59" s="7">
        <f t="shared" si="41"/>
        <v>4.0256223164653058E-3</v>
      </c>
      <c r="S59" s="2"/>
      <c r="T59" s="6">
        <v>171.43</v>
      </c>
      <c r="U59" s="2"/>
      <c r="V59" s="7">
        <f t="shared" si="42"/>
        <v>2.0400006245069869E-4</v>
      </c>
      <c r="W59" s="2"/>
      <c r="X59" s="6">
        <f t="shared" si="43"/>
        <v>2452.4100000000003</v>
      </c>
      <c r="Y59" s="2"/>
      <c r="Z59" s="7">
        <f t="shared" si="44"/>
        <v>14.305605786618447</v>
      </c>
    </row>
    <row r="60" spans="1:26" s="24" customFormat="1" hidden="1" outlineLevel="2" x14ac:dyDescent="0.25">
      <c r="A60" s="27"/>
      <c r="B60" s="11" t="str">
        <f>CONCATENATE("          ", "6372", " - ", "COMPUTER HARDWARE MAINTENANCE")</f>
        <v xml:space="preserve">          6372 - COMPUTER HARDWARE MAINTENANCE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-0.01</v>
      </c>
      <c r="Q60" s="2"/>
      <c r="R60" s="7">
        <f t="shared" si="41"/>
        <v>-1.5342483979454943E-8</v>
      </c>
      <c r="S60" s="2"/>
      <c r="T60" s="6">
        <v>880.96</v>
      </c>
      <c r="U60" s="2"/>
      <c r="V60" s="7">
        <f t="shared" si="42"/>
        <v>1.0483339848134372E-3</v>
      </c>
      <c r="W60" s="2"/>
      <c r="X60" s="6">
        <f t="shared" si="43"/>
        <v>-880.97</v>
      </c>
      <c r="Y60" s="2"/>
      <c r="Z60" s="7">
        <f t="shared" si="44"/>
        <v>-1.0000113512531783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37"/>
        <v>0</v>
      </c>
      <c r="G61" s="2"/>
      <c r="H61" s="6">
        <v>508</v>
      </c>
      <c r="I61" s="2"/>
      <c r="J61" s="7">
        <f t="shared" si="38"/>
        <v>5.0897177981920876E-3</v>
      </c>
      <c r="K61" s="2"/>
      <c r="L61" s="6">
        <f t="shared" si="39"/>
        <v>-508</v>
      </c>
      <c r="M61" s="2"/>
      <c r="N61" s="7">
        <f t="shared" si="40"/>
        <v>-1</v>
      </c>
      <c r="O61" s="11"/>
      <c r="P61" s="6">
        <v>3877.26</v>
      </c>
      <c r="Q61" s="2"/>
      <c r="R61" s="7">
        <f t="shared" si="41"/>
        <v>5.9486799434181475E-3</v>
      </c>
      <c r="S61" s="2"/>
      <c r="T61" s="6">
        <v>811.6</v>
      </c>
      <c r="U61" s="2"/>
      <c r="V61" s="7">
        <f t="shared" si="42"/>
        <v>9.657962473603632E-4</v>
      </c>
      <c r="W61" s="2"/>
      <c r="X61" s="6">
        <f t="shared" si="43"/>
        <v>3065.6600000000003</v>
      </c>
      <c r="Y61" s="2"/>
      <c r="Z61" s="7">
        <f t="shared" si="44"/>
        <v>3.777304090685067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502.77</v>
      </c>
      <c r="E62" s="2"/>
      <c r="F62" s="7">
        <f t="shared" si="37"/>
        <v>0</v>
      </c>
      <c r="G62" s="2"/>
      <c r="H62" s="6">
        <v>3781.93</v>
      </c>
      <c r="I62" s="2"/>
      <c r="J62" s="7">
        <f t="shared" si="38"/>
        <v>3.7891646520701969E-2</v>
      </c>
      <c r="K62" s="2"/>
      <c r="L62" s="6">
        <f t="shared" si="39"/>
        <v>-3279.16</v>
      </c>
      <c r="M62" s="2"/>
      <c r="N62" s="7">
        <f t="shared" si="40"/>
        <v>-0.86705994029503453</v>
      </c>
      <c r="O62" s="11"/>
      <c r="P62" s="6">
        <v>18012.870000000003</v>
      </c>
      <c r="Q62" s="2"/>
      <c r="R62" s="7">
        <f t="shared" si="41"/>
        <v>2.7636216939900458E-2</v>
      </c>
      <c r="S62" s="2"/>
      <c r="T62" s="6">
        <v>17226.169999999998</v>
      </c>
      <c r="U62" s="2"/>
      <c r="V62" s="7">
        <f t="shared" si="42"/>
        <v>2.0498977750605798E-2</v>
      </c>
      <c r="W62" s="2"/>
      <c r="X62" s="6">
        <f t="shared" si="43"/>
        <v>786.70000000000437</v>
      </c>
      <c r="Y62" s="2"/>
      <c r="Z62" s="7">
        <f t="shared" si="44"/>
        <v>4.5668886351406285E-2</v>
      </c>
    </row>
    <row r="63" spans="1:26" s="25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884.1</v>
      </c>
      <c r="E63" s="1"/>
      <c r="F63" s="5">
        <f t="shared" ref="F63:F68" si="45">IF(D$12=0,0,D63/D$12)</f>
        <v>0</v>
      </c>
      <c r="G63" s="1"/>
      <c r="H63" s="1">
        <f>SUM(OSRRefH22_12x_0)</f>
        <v>3664.45</v>
      </c>
      <c r="I63" s="1"/>
      <c r="J63" s="5">
        <f t="shared" ref="J63:J68" si="46">IF(H$12=0,0,H63/H$12)</f>
        <v>3.671459918422243E-2</v>
      </c>
      <c r="K63" s="1"/>
      <c r="L63" s="1">
        <f t="shared" ref="L63:L68" si="47">+D63-H63</f>
        <v>-2780.35</v>
      </c>
      <c r="M63" s="1"/>
      <c r="N63" s="5">
        <f t="shared" ref="N63:N68" si="48">IF(H63=0,0,L63/H63)</f>
        <v>-0.75873596310496805</v>
      </c>
      <c r="O63" s="13"/>
      <c r="P63" s="1">
        <f>SUM(OSRRefP22_12x_0)</f>
        <v>43170.07</v>
      </c>
      <c r="Q63" s="1"/>
      <c r="R63" s="5">
        <f t="shared" ref="R63:R68" si="49">IF(P$12=0,0,P63/P$12)</f>
        <v>6.6233610736694842E-2</v>
      </c>
      <c r="S63" s="1"/>
      <c r="T63" s="1">
        <f>SUM(OSRRefT22_12x_0)</f>
        <v>41135.72</v>
      </c>
      <c r="U63" s="1"/>
      <c r="V63" s="5">
        <f t="shared" ref="V63:V68" si="50">IF(T$12=0,0,T63/T$12)</f>
        <v>4.8951113859618825E-2</v>
      </c>
      <c r="W63" s="1"/>
      <c r="X63" s="1">
        <f t="shared" ref="X63:X68" si="51">+P63-T63</f>
        <v>2034.3499999999985</v>
      </c>
      <c r="Y63" s="1"/>
      <c r="Z63" s="5">
        <f t="shared" ref="Z63:Z68" si="52">IF(T63=0,0,X63/T63)</f>
        <v>4.9454585941366737E-2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45"/>
        <v>0</v>
      </c>
      <c r="G64" s="2"/>
      <c r="H64" s="6">
        <v>328.54</v>
      </c>
      <c r="I64" s="2"/>
      <c r="J64" s="7">
        <f t="shared" si="46"/>
        <v>3.2916848138150171E-3</v>
      </c>
      <c r="K64" s="2"/>
      <c r="L64" s="6">
        <f t="shared" si="47"/>
        <v>-328.54</v>
      </c>
      <c r="M64" s="2"/>
      <c r="N64" s="7">
        <f t="shared" si="48"/>
        <v>-1</v>
      </c>
      <c r="O64" s="11"/>
      <c r="P64" s="6">
        <v>3285.4</v>
      </c>
      <c r="Q64" s="2"/>
      <c r="R64" s="7">
        <f t="shared" si="49"/>
        <v>5.0406196866101269E-3</v>
      </c>
      <c r="S64" s="2"/>
      <c r="T64" s="6">
        <v>3106.86</v>
      </c>
      <c r="U64" s="2"/>
      <c r="V64" s="7">
        <f t="shared" si="50"/>
        <v>3.6971337223681839E-3</v>
      </c>
      <c r="W64" s="2"/>
      <c r="X64" s="6">
        <f t="shared" si="51"/>
        <v>178.53999999999996</v>
      </c>
      <c r="Y64" s="2"/>
      <c r="Z64" s="7">
        <f t="shared" si="52"/>
        <v>5.746638084754381E-2</v>
      </c>
    </row>
    <row r="65" spans="1:26" s="24" customFormat="1" hidden="1" outlineLevel="2" x14ac:dyDescent="0.25">
      <c r="A65" s="27"/>
      <c r="B65" s="11" t="str">
        <f>CONCATENATE("          ", "6283", " - ", "PLANT SERVICE")</f>
        <v xml:space="preserve">          6283 - PLANT SERVICE</v>
      </c>
      <c r="C65" s="11"/>
      <c r="D65" s="6">
        <v>123.1</v>
      </c>
      <c r="E65" s="2"/>
      <c r="F65" s="7">
        <f t="shared" si="45"/>
        <v>0</v>
      </c>
      <c r="G65" s="2"/>
      <c r="H65" s="6">
        <v>56</v>
      </c>
      <c r="I65" s="2"/>
      <c r="J65" s="7">
        <f t="shared" si="46"/>
        <v>5.6107125334400963E-4</v>
      </c>
      <c r="K65" s="2"/>
      <c r="L65" s="6">
        <f t="shared" si="47"/>
        <v>67.099999999999994</v>
      </c>
      <c r="M65" s="2"/>
      <c r="N65" s="7">
        <f t="shared" si="48"/>
        <v>1.1982142857142857</v>
      </c>
      <c r="O65" s="11"/>
      <c r="P65" s="6">
        <v>553.95000000000005</v>
      </c>
      <c r="Q65" s="2"/>
      <c r="R65" s="7">
        <f t="shared" si="49"/>
        <v>8.4989690004190661E-4</v>
      </c>
      <c r="S65" s="2"/>
      <c r="T65" s="6">
        <v>560</v>
      </c>
      <c r="U65" s="2"/>
      <c r="V65" s="7">
        <f t="shared" si="50"/>
        <v>6.6639465071685979E-4</v>
      </c>
      <c r="W65" s="2"/>
      <c r="X65" s="6">
        <f t="shared" si="51"/>
        <v>-6.0499999999999545</v>
      </c>
      <c r="Y65" s="2"/>
      <c r="Z65" s="7">
        <f t="shared" si="52"/>
        <v>-1.0803571428571348E-2</v>
      </c>
    </row>
    <row r="66" spans="1:26" s="24" customFormat="1" hidden="1" outlineLevel="2" x14ac:dyDescent="0.25">
      <c r="A66" s="27"/>
      <c r="B66" s="11" t="str">
        <f>CONCATENATE("          ", "6284", " - ", "TRASH REMOVAL EXPENSE")</f>
        <v xml:space="preserve">          6284 - TRASH REMOVAL EXPENSE</v>
      </c>
      <c r="C66" s="11"/>
      <c r="D66" s="6">
        <v>761</v>
      </c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761</v>
      </c>
      <c r="M66" s="2"/>
      <c r="N66" s="7">
        <f t="shared" si="48"/>
        <v>0</v>
      </c>
      <c r="O66" s="11"/>
      <c r="P66" s="6">
        <v>7602</v>
      </c>
      <c r="Q66" s="2"/>
      <c r="R66" s="7">
        <f t="shared" si="49"/>
        <v>1.1663356321181647E-2</v>
      </c>
      <c r="S66" s="2"/>
      <c r="T66" s="6">
        <v>6486.82</v>
      </c>
      <c r="U66" s="2"/>
      <c r="V66" s="7">
        <f t="shared" si="50"/>
        <v>7.7192538360056073E-3</v>
      </c>
      <c r="W66" s="2"/>
      <c r="X66" s="6">
        <f t="shared" si="51"/>
        <v>1115.1800000000003</v>
      </c>
      <c r="Y66" s="2"/>
      <c r="Z66" s="7">
        <f t="shared" si="52"/>
        <v>0.17191474405024346</v>
      </c>
    </row>
    <row r="67" spans="1:26" s="24" customFormat="1" hidden="1" outlineLevel="2" x14ac:dyDescent="0.25">
      <c r="A67" s="27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45"/>
        <v>0</v>
      </c>
      <c r="G67" s="2"/>
      <c r="H67" s="6">
        <v>3040.95</v>
      </c>
      <c r="I67" s="2"/>
      <c r="J67" s="7">
        <f t="shared" si="46"/>
        <v>3.0467671926008324E-2</v>
      </c>
      <c r="K67" s="2"/>
      <c r="L67" s="6">
        <f t="shared" si="47"/>
        <v>-3040.95</v>
      </c>
      <c r="M67" s="2"/>
      <c r="N67" s="7">
        <f t="shared" si="48"/>
        <v>-1</v>
      </c>
      <c r="O67" s="11"/>
      <c r="P67" s="6">
        <v>29782.300000000003</v>
      </c>
      <c r="Q67" s="2"/>
      <c r="R67" s="7">
        <f t="shared" si="49"/>
        <v>4.5693446062132097E-2</v>
      </c>
      <c r="S67" s="2"/>
      <c r="T67" s="6">
        <v>29474.11</v>
      </c>
      <c r="U67" s="2"/>
      <c r="V67" s="7">
        <f t="shared" si="50"/>
        <v>3.5073909354714827E-2</v>
      </c>
      <c r="W67" s="2"/>
      <c r="X67" s="6">
        <f t="shared" si="51"/>
        <v>308.19000000000233</v>
      </c>
      <c r="Y67" s="2"/>
      <c r="Z67" s="7">
        <f t="shared" si="52"/>
        <v>1.0456295372447287E-2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45"/>
        <v>0</v>
      </c>
      <c r="G68" s="2"/>
      <c r="H68" s="6">
        <v>238.96</v>
      </c>
      <c r="I68" s="2"/>
      <c r="J68" s="7">
        <f t="shared" si="46"/>
        <v>2.3941711910550815E-3</v>
      </c>
      <c r="K68" s="2"/>
      <c r="L68" s="6">
        <f t="shared" si="47"/>
        <v>-238.96</v>
      </c>
      <c r="M68" s="2"/>
      <c r="N68" s="7">
        <f t="shared" si="48"/>
        <v>-1</v>
      </c>
      <c r="O68" s="11"/>
      <c r="P68" s="6">
        <v>1946.42</v>
      </c>
      <c r="Q68" s="2"/>
      <c r="R68" s="7">
        <f t="shared" si="49"/>
        <v>2.986291766729069E-3</v>
      </c>
      <c r="S68" s="2"/>
      <c r="T68" s="6">
        <v>1507.93</v>
      </c>
      <c r="U68" s="2"/>
      <c r="V68" s="7">
        <f t="shared" si="50"/>
        <v>1.7944222958133471E-3</v>
      </c>
      <c r="W68" s="2"/>
      <c r="X68" s="6">
        <f t="shared" si="51"/>
        <v>438.49</v>
      </c>
      <c r="Y68" s="2"/>
      <c r="Z68" s="7">
        <f t="shared" si="52"/>
        <v>0.29078936024881791</v>
      </c>
    </row>
    <row r="69" spans="1:26" s="25" customFormat="1" outlineLevel="1" collapsed="1" x14ac:dyDescent="0.25">
      <c r="A69" s="26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SUM(OSRRefD22_13x_0)</f>
        <v>0</v>
      </c>
      <c r="E69" s="1"/>
      <c r="F69" s="5">
        <f t="shared" ref="F69:F71" si="53">IF(D$12=0,0,D69/D$12)</f>
        <v>0</v>
      </c>
      <c r="G69" s="1"/>
      <c r="H69" s="1">
        <f>SUM(OSRRefH22_13x_0)</f>
        <v>196.71</v>
      </c>
      <c r="I69" s="1"/>
      <c r="J69" s="5">
        <f t="shared" ref="J69:J71" si="54">IF(H$12=0,0,H69/H$12)</f>
        <v>1.9708629686660739E-3</v>
      </c>
      <c r="K69" s="1"/>
      <c r="L69" s="1">
        <f t="shared" ref="L69:L71" si="55">+D69-H69</f>
        <v>-196.71</v>
      </c>
      <c r="M69" s="1"/>
      <c r="N69" s="5">
        <f t="shared" ref="N69:N71" si="56">IF(H69=0,0,L69/H69)</f>
        <v>-1</v>
      </c>
      <c r="O69" s="13"/>
      <c r="P69" s="1">
        <f>SUM(OSRRefP22_13x_0)</f>
        <v>2638.42</v>
      </c>
      <c r="Q69" s="1"/>
      <c r="R69" s="5">
        <f t="shared" ref="R69:R71" si="57">IF(P$12=0,0,P69/P$12)</f>
        <v>4.0479916581073506E-3</v>
      </c>
      <c r="S69" s="1"/>
      <c r="T69" s="1">
        <f>SUM(OSRRefT22_13x_0)</f>
        <v>1819.41</v>
      </c>
      <c r="U69" s="1"/>
      <c r="V69" s="5">
        <f t="shared" ref="V69:V71" si="58">IF(T$12=0,0,T69/T$12)</f>
        <v>2.1650805204656461E-3</v>
      </c>
      <c r="W69" s="1"/>
      <c r="X69" s="1">
        <f t="shared" ref="X69:X71" si="59">+P69-T69</f>
        <v>819.01</v>
      </c>
      <c r="Y69" s="1"/>
      <c r="Z69" s="5">
        <f t="shared" ref="Z69:Z71" si="60">IF(T69=0,0,X69/T69)</f>
        <v>0.45015142271395669</v>
      </c>
    </row>
    <row r="70" spans="1:26" s="24" customFormat="1" hidden="1" outlineLevel="2" x14ac:dyDescent="0.25">
      <c r="A70" s="27"/>
      <c r="B70" s="11" t="str">
        <f>CONCATENATE("          ", "6258", " - ", "MEMBERSHIP DUES")</f>
        <v xml:space="preserve">          6258 - MEMBERSHIP DUES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978</v>
      </c>
      <c r="Q70" s="2"/>
      <c r="R70" s="7">
        <f t="shared" si="57"/>
        <v>1.5004949331906933E-3</v>
      </c>
      <c r="S70" s="2"/>
      <c r="T70" s="6"/>
      <c r="U70" s="2"/>
      <c r="V70" s="7">
        <f t="shared" si="58"/>
        <v>0</v>
      </c>
      <c r="W70" s="2"/>
      <c r="X70" s="6">
        <f t="shared" si="59"/>
        <v>978</v>
      </c>
      <c r="Y70" s="2"/>
      <c r="Z70" s="7">
        <f t="shared" si="60"/>
        <v>0</v>
      </c>
    </row>
    <row r="71" spans="1:26" s="24" customFormat="1" hidden="1" outlineLevel="2" x14ac:dyDescent="0.25">
      <c r="A71" s="27"/>
      <c r="B71" s="11" t="str">
        <f>CONCATENATE("          ", "6275", " - ", "SUBSCRIPTIONS")</f>
        <v xml:space="preserve">          6275 - SUBSCRIPTIONS</v>
      </c>
      <c r="C71" s="11"/>
      <c r="D71" s="6"/>
      <c r="E71" s="2"/>
      <c r="F71" s="7">
        <f t="shared" si="53"/>
        <v>0</v>
      </c>
      <c r="G71" s="2"/>
      <c r="H71" s="6">
        <v>196.71</v>
      </c>
      <c r="I71" s="2"/>
      <c r="J71" s="7">
        <f t="shared" si="54"/>
        <v>1.9708629686660739E-3</v>
      </c>
      <c r="K71" s="2"/>
      <c r="L71" s="6">
        <f t="shared" si="55"/>
        <v>-196.71</v>
      </c>
      <c r="M71" s="2"/>
      <c r="N71" s="7">
        <f t="shared" si="56"/>
        <v>-1</v>
      </c>
      <c r="O71" s="11"/>
      <c r="P71" s="6">
        <v>1660.42</v>
      </c>
      <c r="Q71" s="2"/>
      <c r="R71" s="7">
        <f t="shared" si="57"/>
        <v>2.5474967249166577E-3</v>
      </c>
      <c r="S71" s="2"/>
      <c r="T71" s="6">
        <v>1819.41</v>
      </c>
      <c r="U71" s="2"/>
      <c r="V71" s="7">
        <f t="shared" si="58"/>
        <v>2.1650805204656461E-3</v>
      </c>
      <c r="W71" s="2"/>
      <c r="X71" s="6">
        <f t="shared" si="59"/>
        <v>-158.99</v>
      </c>
      <c r="Y71" s="2"/>
      <c r="Z71" s="7">
        <f t="shared" si="60"/>
        <v>-8.7385471114262314E-2</v>
      </c>
    </row>
    <row r="72" spans="1:26" s="25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SUM(OSRRefD22_14x_0)</f>
        <v>0</v>
      </c>
      <c r="E72" s="1"/>
      <c r="F72" s="5">
        <f t="shared" ref="F72:F80" si="61">IF(D$12=0,0,D72/D$12)</f>
        <v>0</v>
      </c>
      <c r="G72" s="1"/>
      <c r="H72" s="1">
        <f>SUM(OSRRefH22_14x_0)</f>
        <v>2152.37</v>
      </c>
      <c r="I72" s="1"/>
      <c r="J72" s="5">
        <f t="shared" ref="J72:J80" si="62">IF(H$12=0,0,H72/H$12)</f>
        <v>2.156487381357225E-2</v>
      </c>
      <c r="K72" s="1"/>
      <c r="L72" s="1">
        <f t="shared" ref="L72:L80" si="63">+D72-H72</f>
        <v>-2152.37</v>
      </c>
      <c r="M72" s="1"/>
      <c r="N72" s="5">
        <f t="shared" ref="N72:N80" si="64">IF(H72=0,0,L72/H72)</f>
        <v>-1</v>
      </c>
      <c r="O72" s="13"/>
      <c r="P72" s="1">
        <f>SUM(OSRRefP22_14x_0)</f>
        <v>21774.560000000001</v>
      </c>
      <c r="Q72" s="1"/>
      <c r="R72" s="5">
        <f t="shared" ref="R72:R80" si="65">IF(P$12=0,0,P72/P$12)</f>
        <v>3.3407583795968046E-2</v>
      </c>
      <c r="S72" s="1"/>
      <c r="T72" s="1">
        <f>SUM(OSRRefT22_14x_0)</f>
        <v>25966.09</v>
      </c>
      <c r="U72" s="1"/>
      <c r="V72" s="5">
        <f t="shared" ref="V72:V80" si="66">IF(T$12=0,0,T72/T$12)</f>
        <v>3.089939906434383E-2</v>
      </c>
      <c r="W72" s="1"/>
      <c r="X72" s="1">
        <f t="shared" ref="X72:X80" si="67">+P72-T72</f>
        <v>-4191.5299999999988</v>
      </c>
      <c r="Y72" s="1"/>
      <c r="Z72" s="5">
        <f t="shared" ref="Z72:Z80" si="68">IF(T72=0,0,X72/T72)</f>
        <v>-0.16142322544518634</v>
      </c>
    </row>
    <row r="73" spans="1:26" s="24" customFormat="1" hidden="1" outlineLevel="2" x14ac:dyDescent="0.2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61"/>
        <v>0</v>
      </c>
      <c r="G73" s="2"/>
      <c r="H73" s="6"/>
      <c r="I73" s="2"/>
      <c r="J73" s="7">
        <f t="shared" si="62"/>
        <v>0</v>
      </c>
      <c r="K73" s="2"/>
      <c r="L73" s="6">
        <f t="shared" si="63"/>
        <v>0</v>
      </c>
      <c r="M73" s="2"/>
      <c r="N73" s="7">
        <f t="shared" si="64"/>
        <v>0</v>
      </c>
      <c r="O73" s="11"/>
      <c r="P73" s="6">
        <v>1090.83</v>
      </c>
      <c r="Q73" s="2"/>
      <c r="R73" s="7">
        <f t="shared" si="65"/>
        <v>1.6736041799308833E-3</v>
      </c>
      <c r="S73" s="2"/>
      <c r="T73" s="6">
        <v>1127.94</v>
      </c>
      <c r="U73" s="2"/>
      <c r="V73" s="7">
        <f t="shared" si="66"/>
        <v>1.3422378255885264E-3</v>
      </c>
      <c r="W73" s="2"/>
      <c r="X73" s="6">
        <f t="shared" si="67"/>
        <v>-37.110000000000127</v>
      </c>
      <c r="Y73" s="2"/>
      <c r="Z73" s="7">
        <f t="shared" si="68"/>
        <v>-3.2900686206713235E-2</v>
      </c>
    </row>
    <row r="74" spans="1:26" s="24" customFormat="1" hidden="1" outlineLevel="2" x14ac:dyDescent="0.25">
      <c r="A74" s="27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61"/>
        <v>0</v>
      </c>
      <c r="G74" s="2"/>
      <c r="H74" s="6">
        <v>1254.4100000000001</v>
      </c>
      <c r="I74" s="2"/>
      <c r="J74" s="7">
        <f t="shared" si="62"/>
        <v>1.2568096266201057E-2</v>
      </c>
      <c r="K74" s="2"/>
      <c r="L74" s="6">
        <f t="shared" si="63"/>
        <v>-1254.4100000000001</v>
      </c>
      <c r="M74" s="2"/>
      <c r="N74" s="7">
        <f t="shared" si="64"/>
        <v>-1</v>
      </c>
      <c r="O74" s="11"/>
      <c r="P74" s="6">
        <v>8948.91</v>
      </c>
      <c r="Q74" s="2"/>
      <c r="R74" s="7">
        <f t="shared" si="65"/>
        <v>1.3729850830858413E-2</v>
      </c>
      <c r="S74" s="2"/>
      <c r="T74" s="6">
        <v>11234.51</v>
      </c>
      <c r="U74" s="2"/>
      <c r="V74" s="7">
        <f t="shared" si="66"/>
        <v>1.3368959584687623E-2</v>
      </c>
      <c r="W74" s="2"/>
      <c r="X74" s="6">
        <f t="shared" si="67"/>
        <v>-2285.6000000000004</v>
      </c>
      <c r="Y74" s="2"/>
      <c r="Z74" s="7">
        <f t="shared" si="68"/>
        <v>-0.2034445650055054</v>
      </c>
    </row>
    <row r="75" spans="1:26" s="24" customFormat="1" hidden="1" outlineLevel="2" x14ac:dyDescent="0.25">
      <c r="A75" s="27"/>
      <c r="B75" s="11" t="str">
        <f>CONCATENATE("          ", "6239", " - ", "KITCHEN SUPPLIES")</f>
        <v xml:space="preserve">          6239 - KITCHEN SUPPLIES</v>
      </c>
      <c r="C75" s="11"/>
      <c r="D75" s="6"/>
      <c r="E75" s="2"/>
      <c r="F75" s="7">
        <f t="shared" si="61"/>
        <v>0</v>
      </c>
      <c r="G75" s="2"/>
      <c r="H75" s="6">
        <v>67.239999999999995</v>
      </c>
      <c r="I75" s="2"/>
      <c r="J75" s="7">
        <f t="shared" si="62"/>
        <v>6.736862691937716E-4</v>
      </c>
      <c r="K75" s="2"/>
      <c r="L75" s="6">
        <f t="shared" si="63"/>
        <v>-67.239999999999995</v>
      </c>
      <c r="M75" s="2"/>
      <c r="N75" s="7">
        <f t="shared" si="64"/>
        <v>-1</v>
      </c>
      <c r="O75" s="11"/>
      <c r="P75" s="6">
        <v>425.78</v>
      </c>
      <c r="Q75" s="2"/>
      <c r="R75" s="7">
        <f t="shared" si="65"/>
        <v>6.5325228287723249E-4</v>
      </c>
      <c r="S75" s="2"/>
      <c r="T75" s="6">
        <v>1555.6</v>
      </c>
      <c r="U75" s="2"/>
      <c r="V75" s="7">
        <f t="shared" si="66"/>
        <v>1.8511491404556196E-3</v>
      </c>
      <c r="W75" s="2"/>
      <c r="X75" s="6">
        <f t="shared" si="67"/>
        <v>-1129.82</v>
      </c>
      <c r="Y75" s="2"/>
      <c r="Z75" s="7">
        <f t="shared" si="68"/>
        <v>-0.72629210593983029</v>
      </c>
    </row>
    <row r="76" spans="1:26" s="24" customFormat="1" hidden="1" outlineLevel="2" x14ac:dyDescent="0.25">
      <c r="A76" s="27"/>
      <c r="B76" s="11" t="str">
        <f>CONCATENATE("          ", "6241", " - ", "OFFICE EXPENSE")</f>
        <v xml:space="preserve">          6241 - OFFICE EXPENSE</v>
      </c>
      <c r="C76" s="11"/>
      <c r="D76" s="6"/>
      <c r="E76" s="2"/>
      <c r="F76" s="7">
        <f t="shared" si="61"/>
        <v>0</v>
      </c>
      <c r="G76" s="2"/>
      <c r="H76" s="6">
        <v>102.74</v>
      </c>
      <c r="I76" s="2"/>
      <c r="J76" s="7">
        <f t="shared" si="62"/>
        <v>1.0293653672957777E-3</v>
      </c>
      <c r="K76" s="2"/>
      <c r="L76" s="6">
        <f t="shared" si="63"/>
        <v>-102.74</v>
      </c>
      <c r="M76" s="2"/>
      <c r="N76" s="7">
        <f t="shared" si="64"/>
        <v>-1</v>
      </c>
      <c r="O76" s="11"/>
      <c r="P76" s="6">
        <v>5703.34</v>
      </c>
      <c r="Q76" s="2"/>
      <c r="R76" s="7">
        <f t="shared" si="65"/>
        <v>8.7503402579384559E-3</v>
      </c>
      <c r="S76" s="2"/>
      <c r="T76" s="6">
        <v>2567.81</v>
      </c>
      <c r="U76" s="2"/>
      <c r="V76" s="7">
        <f t="shared" si="66"/>
        <v>3.0556693715308209E-3</v>
      </c>
      <c r="W76" s="2"/>
      <c r="X76" s="6">
        <f t="shared" si="67"/>
        <v>3135.53</v>
      </c>
      <c r="Y76" s="2"/>
      <c r="Z76" s="7">
        <f t="shared" si="68"/>
        <v>1.221091124343312</v>
      </c>
    </row>
    <row r="77" spans="1:26" s="24" customFormat="1" hidden="1" outlineLevel="2" x14ac:dyDescent="0.25">
      <c r="A77" s="27"/>
      <c r="B77" s="11" t="str">
        <f>CONCATENATE("          ", "6243", " - ", "PAPER SUPPLIES")</f>
        <v xml:space="preserve">          6243 - PAPER SUPPLIES</v>
      </c>
      <c r="C77" s="11"/>
      <c r="D77" s="6"/>
      <c r="E77" s="2"/>
      <c r="F77" s="7">
        <f t="shared" si="61"/>
        <v>0</v>
      </c>
      <c r="G77" s="2"/>
      <c r="H77" s="6">
        <v>727.98</v>
      </c>
      <c r="I77" s="2"/>
      <c r="J77" s="7">
        <f t="shared" si="62"/>
        <v>7.2937259108816462E-3</v>
      </c>
      <c r="K77" s="2"/>
      <c r="L77" s="6">
        <f t="shared" si="63"/>
        <v>-727.98</v>
      </c>
      <c r="M77" s="2"/>
      <c r="N77" s="7">
        <f t="shared" si="64"/>
        <v>-1</v>
      </c>
      <c r="O77" s="11"/>
      <c r="P77" s="6">
        <v>5123.8</v>
      </c>
      <c r="Q77" s="2"/>
      <c r="R77" s="7">
        <f t="shared" si="65"/>
        <v>7.8611819413931232E-3</v>
      </c>
      <c r="S77" s="2"/>
      <c r="T77" s="6">
        <v>6858.27</v>
      </c>
      <c r="U77" s="2"/>
      <c r="V77" s="7">
        <f t="shared" si="66"/>
        <v>8.1612757878069958E-3</v>
      </c>
      <c r="W77" s="2"/>
      <c r="X77" s="6">
        <f t="shared" si="67"/>
        <v>-1734.4700000000003</v>
      </c>
      <c r="Y77" s="2"/>
      <c r="Z77" s="7">
        <f t="shared" si="68"/>
        <v>-0.25290197090519917</v>
      </c>
    </row>
    <row r="78" spans="1:26" s="24" customFormat="1" hidden="1" outlineLevel="2" x14ac:dyDescent="0.25">
      <c r="A78" s="27"/>
      <c r="B78" s="11" t="str">
        <f>CONCATENATE("          ", "6246", " - ", "REPLACEMENTS")</f>
        <v xml:space="preserve">          6246 - REPLACEMENTS</v>
      </c>
      <c r="C78" s="11"/>
      <c r="D78" s="6"/>
      <c r="E78" s="2"/>
      <c r="F78" s="7">
        <f t="shared" si="61"/>
        <v>0</v>
      </c>
      <c r="G78" s="2"/>
      <c r="H78" s="6"/>
      <c r="I78" s="2"/>
      <c r="J78" s="7">
        <f t="shared" si="62"/>
        <v>0</v>
      </c>
      <c r="K78" s="2"/>
      <c r="L78" s="6">
        <f t="shared" si="63"/>
        <v>0</v>
      </c>
      <c r="M78" s="2"/>
      <c r="N78" s="7">
        <f t="shared" si="64"/>
        <v>0</v>
      </c>
      <c r="O78" s="11"/>
      <c r="P78" s="6">
        <v>25.87</v>
      </c>
      <c r="Q78" s="2"/>
      <c r="R78" s="7">
        <f t="shared" si="65"/>
        <v>3.9691006054849937E-5</v>
      </c>
      <c r="S78" s="2"/>
      <c r="T78" s="6"/>
      <c r="U78" s="2"/>
      <c r="V78" s="7">
        <f t="shared" si="66"/>
        <v>0</v>
      </c>
      <c r="W78" s="2"/>
      <c r="X78" s="6">
        <f t="shared" si="67"/>
        <v>25.87</v>
      </c>
      <c r="Y78" s="2"/>
      <c r="Z78" s="7">
        <f t="shared" si="68"/>
        <v>0</v>
      </c>
    </row>
    <row r="79" spans="1:26" s="24" customFormat="1" hidden="1" outlineLevel="2" x14ac:dyDescent="0.25">
      <c r="A79" s="27"/>
      <c r="B79" s="11" t="str">
        <f>CONCATENATE("          ", "6247", " - ", "STORE SUPPLIES")</f>
        <v xml:space="preserve">          6247 - STORE SUPPLIES</v>
      </c>
      <c r="C79" s="11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1"/>
      <c r="P79" s="6">
        <v>440.56</v>
      </c>
      <c r="Q79" s="2"/>
      <c r="R79" s="7">
        <f t="shared" si="65"/>
        <v>6.7592847419886692E-4</v>
      </c>
      <c r="S79" s="2"/>
      <c r="T79" s="6">
        <v>1164.01</v>
      </c>
      <c r="U79" s="2"/>
      <c r="V79" s="7">
        <f t="shared" si="66"/>
        <v>1.3851607810373785E-3</v>
      </c>
      <c r="W79" s="2"/>
      <c r="X79" s="6">
        <f t="shared" si="67"/>
        <v>-723.45</v>
      </c>
      <c r="Y79" s="2"/>
      <c r="Z79" s="7">
        <f t="shared" si="68"/>
        <v>-0.62151527907835846</v>
      </c>
    </row>
    <row r="80" spans="1:26" s="24" customFormat="1" hidden="1" outlineLevel="2" x14ac:dyDescent="0.25">
      <c r="A80" s="27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0</v>
      </c>
      <c r="M80" s="2"/>
      <c r="N80" s="7">
        <f t="shared" si="64"/>
        <v>0</v>
      </c>
      <c r="O80" s="11"/>
      <c r="P80" s="6">
        <v>15.47</v>
      </c>
      <c r="Q80" s="2"/>
      <c r="R80" s="7">
        <f t="shared" si="65"/>
        <v>2.3734822716216798E-5</v>
      </c>
      <c r="S80" s="2"/>
      <c r="T80" s="6">
        <v>1457.95</v>
      </c>
      <c r="U80" s="2"/>
      <c r="V80" s="7">
        <f t="shared" si="66"/>
        <v>1.7349465732368673E-3</v>
      </c>
      <c r="W80" s="2"/>
      <c r="X80" s="6">
        <f t="shared" si="67"/>
        <v>-1442.48</v>
      </c>
      <c r="Y80" s="2"/>
      <c r="Z80" s="7">
        <f t="shared" si="68"/>
        <v>-0.98938921087828802</v>
      </c>
    </row>
    <row r="81" spans="1:26" s="25" customFormat="1" outlineLevel="1" collapsed="1" x14ac:dyDescent="0.25">
      <c r="A81" s="26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SUM(OSRRefD22_15x_0)</f>
        <v>133.25</v>
      </c>
      <c r="E81" s="1"/>
      <c r="F81" s="5">
        <f t="shared" ref="F81:F88" si="69">IF(D$12=0,0,D81/D$12)</f>
        <v>0</v>
      </c>
      <c r="G81" s="1"/>
      <c r="H81" s="1">
        <f>SUM(OSRRefH22_15x_0)</f>
        <v>148.65</v>
      </c>
      <c r="I81" s="1"/>
      <c r="J81" s="5">
        <f t="shared" ref="J81:J88" si="70">IF(H$12=0,0,H81/H$12)</f>
        <v>1.4893436037426257E-3</v>
      </c>
      <c r="K81" s="1"/>
      <c r="L81" s="1">
        <f t="shared" ref="L81:L88" si="71">+D81-H81</f>
        <v>-15.400000000000006</v>
      </c>
      <c r="M81" s="1"/>
      <c r="N81" s="5">
        <f t="shared" ref="N81:N88" si="72">IF(H81=0,0,L81/H81)</f>
        <v>-0.10359905819038012</v>
      </c>
      <c r="O81" s="13"/>
      <c r="P81" s="1">
        <f>SUM(OSRRefP22_15x_0)</f>
        <v>1456.04</v>
      </c>
      <c r="Q81" s="1"/>
      <c r="R81" s="5">
        <f t="shared" ref="R81:R88" si="73">IF(P$12=0,0,P81/P$12)</f>
        <v>2.2339270373445573E-3</v>
      </c>
      <c r="S81" s="1"/>
      <c r="T81" s="1">
        <f>SUM(OSRRefT22_15x_0)</f>
        <v>1555.45</v>
      </c>
      <c r="U81" s="1"/>
      <c r="V81" s="5">
        <f t="shared" ref="V81:V88" si="74">IF(T$12=0,0,T81/T$12)</f>
        <v>1.8509706418884636E-3</v>
      </c>
      <c r="W81" s="1"/>
      <c r="X81" s="1">
        <f t="shared" ref="X81:X88" si="75">+P81-T81</f>
        <v>-99.410000000000082</v>
      </c>
      <c r="Y81" s="1"/>
      <c r="Z81" s="5">
        <f t="shared" ref="Z81:Z88" si="76">IF(T81=0,0,X81/T81)</f>
        <v>-6.3910765373364667E-2</v>
      </c>
    </row>
    <row r="82" spans="1:26" s="24" customFormat="1" hidden="1" outlineLevel="2" x14ac:dyDescent="0.25">
      <c r="A82" s="27"/>
      <c r="B82" s="11" t="str">
        <f>CONCATENATE("          ", "6309", " - ", "TELEPHONE")</f>
        <v xml:space="preserve">          6309 - TELEPHONE</v>
      </c>
      <c r="C82" s="11"/>
      <c r="D82" s="6">
        <v>133.25</v>
      </c>
      <c r="E82" s="2"/>
      <c r="F82" s="7">
        <f t="shared" si="69"/>
        <v>0</v>
      </c>
      <c r="G82" s="2"/>
      <c r="H82" s="6">
        <v>148.65</v>
      </c>
      <c r="I82" s="2"/>
      <c r="J82" s="7">
        <f t="shared" si="70"/>
        <v>1.4893436037426257E-3</v>
      </c>
      <c r="K82" s="2"/>
      <c r="L82" s="6">
        <f t="shared" si="71"/>
        <v>-15.400000000000006</v>
      </c>
      <c r="M82" s="2"/>
      <c r="N82" s="7">
        <f t="shared" si="72"/>
        <v>-0.10359905819038012</v>
      </c>
      <c r="O82" s="11"/>
      <c r="P82" s="6">
        <v>1456.04</v>
      </c>
      <c r="Q82" s="2"/>
      <c r="R82" s="7">
        <f t="shared" si="73"/>
        <v>2.2339270373445573E-3</v>
      </c>
      <c r="S82" s="2"/>
      <c r="T82" s="6">
        <v>1555.45</v>
      </c>
      <c r="U82" s="2"/>
      <c r="V82" s="7">
        <f t="shared" si="74"/>
        <v>1.8509706418884636E-3</v>
      </c>
      <c r="W82" s="2"/>
      <c r="X82" s="6">
        <f t="shared" si="75"/>
        <v>-99.410000000000082</v>
      </c>
      <c r="Y82" s="2"/>
      <c r="Z82" s="7">
        <f t="shared" si="76"/>
        <v>-6.3910765373364667E-2</v>
      </c>
    </row>
    <row r="83" spans="1:26" s="25" customFormat="1" outlineLevel="1" collapsed="1" x14ac:dyDescent="0.25">
      <c r="A83" s="26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SUM(OSRRefD22_16x_0)</f>
        <v>0</v>
      </c>
      <c r="E83" s="1"/>
      <c r="F83" s="5">
        <f t="shared" si="69"/>
        <v>0</v>
      </c>
      <c r="G83" s="1"/>
      <c r="H83" s="1">
        <f>SUM(OSRRefH22_16x_0)</f>
        <v>0</v>
      </c>
      <c r="I83" s="1"/>
      <c r="J83" s="5">
        <f t="shared" si="70"/>
        <v>0</v>
      </c>
      <c r="K83" s="1"/>
      <c r="L83" s="1">
        <f t="shared" si="71"/>
        <v>0</v>
      </c>
      <c r="M83" s="1"/>
      <c r="N83" s="5">
        <f t="shared" si="72"/>
        <v>0</v>
      </c>
      <c r="O83" s="13"/>
      <c r="P83" s="1">
        <f>SUM(OSRRefP22_16x_0)</f>
        <v>185</v>
      </c>
      <c r="Q83" s="1"/>
      <c r="R83" s="5">
        <f t="shared" si="73"/>
        <v>2.8383595361991645E-4</v>
      </c>
      <c r="S83" s="1"/>
      <c r="T83" s="1">
        <f>SUM(OSRRefT22_16x_0)</f>
        <v>98.83</v>
      </c>
      <c r="U83" s="1"/>
      <c r="V83" s="5">
        <f t="shared" si="74"/>
        <v>1.1760675594704866E-4</v>
      </c>
      <c r="W83" s="1"/>
      <c r="X83" s="1">
        <f t="shared" si="75"/>
        <v>86.17</v>
      </c>
      <c r="Y83" s="1"/>
      <c r="Z83" s="5">
        <f t="shared" si="76"/>
        <v>0.87190124456136808</v>
      </c>
    </row>
    <row r="84" spans="1:26" s="24" customFormat="1" hidden="1" outlineLevel="2" x14ac:dyDescent="0.25">
      <c r="A84" s="27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9"/>
        <v>0</v>
      </c>
      <c r="G84" s="2"/>
      <c r="H84" s="6"/>
      <c r="I84" s="2"/>
      <c r="J84" s="7">
        <f t="shared" si="70"/>
        <v>0</v>
      </c>
      <c r="K84" s="2"/>
      <c r="L84" s="6">
        <f t="shared" si="71"/>
        <v>0</v>
      </c>
      <c r="M84" s="2"/>
      <c r="N84" s="7">
        <f t="shared" si="72"/>
        <v>0</v>
      </c>
      <c r="O84" s="11"/>
      <c r="P84" s="6">
        <v>185</v>
      </c>
      <c r="Q84" s="2"/>
      <c r="R84" s="7">
        <f t="shared" si="73"/>
        <v>2.8383595361991645E-4</v>
      </c>
      <c r="S84" s="2"/>
      <c r="T84" s="6">
        <v>98.83</v>
      </c>
      <c r="U84" s="2"/>
      <c r="V84" s="7">
        <f t="shared" si="74"/>
        <v>1.1760675594704866E-4</v>
      </c>
      <c r="W84" s="2"/>
      <c r="X84" s="6">
        <f t="shared" si="75"/>
        <v>86.17</v>
      </c>
      <c r="Y84" s="2"/>
      <c r="Z84" s="7">
        <f t="shared" si="76"/>
        <v>0.87190124456136808</v>
      </c>
    </row>
    <row r="85" spans="1:26" s="25" customFormat="1" outlineLevel="1" collapsed="1" x14ac:dyDescent="0.25">
      <c r="A85" s="26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SUM(OSRRefD22_17x_0)</f>
        <v>0</v>
      </c>
      <c r="E85" s="1"/>
      <c r="F85" s="5">
        <f t="shared" si="69"/>
        <v>0</v>
      </c>
      <c r="G85" s="1"/>
      <c r="H85" s="1">
        <f>SUM(OSRRefH22_17x_0)</f>
        <v>6.79</v>
      </c>
      <c r="I85" s="1"/>
      <c r="J85" s="5">
        <f t="shared" si="70"/>
        <v>6.8029889467961181E-5</v>
      </c>
      <c r="K85" s="1"/>
      <c r="L85" s="1">
        <f t="shared" si="71"/>
        <v>-6.79</v>
      </c>
      <c r="M85" s="1"/>
      <c r="N85" s="5">
        <f t="shared" si="72"/>
        <v>-1</v>
      </c>
      <c r="O85" s="13"/>
      <c r="P85" s="1">
        <f>SUM(OSRRefP22_17x_0)</f>
        <v>0</v>
      </c>
      <c r="Q85" s="1"/>
      <c r="R85" s="5">
        <f t="shared" si="73"/>
        <v>0</v>
      </c>
      <c r="S85" s="1"/>
      <c r="T85" s="1">
        <f>SUM(OSRRefT22_17x_0)</f>
        <v>6.79</v>
      </c>
      <c r="U85" s="1"/>
      <c r="V85" s="5">
        <f t="shared" si="74"/>
        <v>8.0800351399419246E-6</v>
      </c>
      <c r="W85" s="1"/>
      <c r="X85" s="1">
        <f t="shared" si="75"/>
        <v>-6.79</v>
      </c>
      <c r="Y85" s="1"/>
      <c r="Z85" s="5">
        <f t="shared" si="76"/>
        <v>-1</v>
      </c>
    </row>
    <row r="86" spans="1:26" s="24" customFormat="1" hidden="1" outlineLevel="2" x14ac:dyDescent="0.25">
      <c r="A86" s="27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69"/>
        <v>0</v>
      </c>
      <c r="G86" s="2"/>
      <c r="H86" s="6">
        <v>6.79</v>
      </c>
      <c r="I86" s="2"/>
      <c r="J86" s="7">
        <f t="shared" si="70"/>
        <v>6.8029889467961181E-5</v>
      </c>
      <c r="K86" s="2"/>
      <c r="L86" s="6">
        <f t="shared" si="71"/>
        <v>-6.79</v>
      </c>
      <c r="M86" s="2"/>
      <c r="N86" s="7">
        <f t="shared" si="72"/>
        <v>-1</v>
      </c>
      <c r="O86" s="11"/>
      <c r="P86" s="6"/>
      <c r="Q86" s="2"/>
      <c r="R86" s="7">
        <f t="shared" si="73"/>
        <v>0</v>
      </c>
      <c r="S86" s="2"/>
      <c r="T86" s="6">
        <v>6.79</v>
      </c>
      <c r="U86" s="2"/>
      <c r="V86" s="7">
        <f t="shared" si="74"/>
        <v>8.0800351399419246E-6</v>
      </c>
      <c r="W86" s="2"/>
      <c r="X86" s="6">
        <f t="shared" si="75"/>
        <v>-6.79</v>
      </c>
      <c r="Y86" s="2"/>
      <c r="Z86" s="7">
        <f t="shared" si="76"/>
        <v>-1</v>
      </c>
    </row>
    <row r="87" spans="1:26" s="25" customFormat="1" outlineLevel="1" collapsed="1" x14ac:dyDescent="0.25">
      <c r="A87" s="26"/>
      <c r="B87" s="13" t="str">
        <f>CONCATENATE("     ","Utilities                                         ")</f>
        <v xml:space="preserve">     Utilities                                         </v>
      </c>
      <c r="C87" s="13"/>
      <c r="D87" s="1">
        <f>SUM(OSRRefD22_18x_0)</f>
        <v>2312</v>
      </c>
      <c r="E87" s="1"/>
      <c r="F87" s="5">
        <f t="shared" si="69"/>
        <v>0</v>
      </c>
      <c r="G87" s="1"/>
      <c r="H87" s="1">
        <f>SUM(OSRRefH22_18x_0)</f>
        <v>2654</v>
      </c>
      <c r="I87" s="1"/>
      <c r="J87" s="5">
        <f t="shared" si="70"/>
        <v>2.6590769756696459E-2</v>
      </c>
      <c r="K87" s="1"/>
      <c r="L87" s="1">
        <f t="shared" si="71"/>
        <v>-342</v>
      </c>
      <c r="M87" s="1"/>
      <c r="N87" s="5">
        <f t="shared" si="72"/>
        <v>-0.12886209495101733</v>
      </c>
      <c r="O87" s="13"/>
      <c r="P87" s="1">
        <f>SUM(OSRRefP22_18x_0)</f>
        <v>22460</v>
      </c>
      <c r="Q87" s="1"/>
      <c r="R87" s="5">
        <f t="shared" si="73"/>
        <v>3.4459219017855799E-2</v>
      </c>
      <c r="S87" s="1"/>
      <c r="T87" s="1">
        <f>SUM(OSRRefT22_18x_0)</f>
        <v>17932</v>
      </c>
      <c r="U87" s="1"/>
      <c r="V87" s="5">
        <f t="shared" si="74"/>
        <v>2.1338908708312017E-2</v>
      </c>
      <c r="W87" s="1"/>
      <c r="X87" s="1">
        <f t="shared" si="75"/>
        <v>4528</v>
      </c>
      <c r="Y87" s="1"/>
      <c r="Z87" s="5">
        <f t="shared" si="76"/>
        <v>0.2525094802587553</v>
      </c>
    </row>
    <row r="88" spans="1:26" s="24" customFormat="1" hidden="1" outlineLevel="2" x14ac:dyDescent="0.25">
      <c r="A88" s="27"/>
      <c r="B88" s="11" t="str">
        <f>CONCATENATE("          ", "6274", " - ", "UTILITIES")</f>
        <v xml:space="preserve">          6274 - UTILITIES</v>
      </c>
      <c r="C88" s="11"/>
      <c r="D88" s="6">
        <v>2312</v>
      </c>
      <c r="E88" s="2"/>
      <c r="F88" s="7">
        <f t="shared" si="69"/>
        <v>0</v>
      </c>
      <c r="G88" s="2"/>
      <c r="H88" s="6">
        <v>2654</v>
      </c>
      <c r="I88" s="2"/>
      <c r="J88" s="7">
        <f t="shared" si="70"/>
        <v>2.6590769756696459E-2</v>
      </c>
      <c r="K88" s="2"/>
      <c r="L88" s="6">
        <f t="shared" si="71"/>
        <v>-342</v>
      </c>
      <c r="M88" s="2"/>
      <c r="N88" s="7">
        <f t="shared" si="72"/>
        <v>-0.12886209495101733</v>
      </c>
      <c r="O88" s="11"/>
      <c r="P88" s="6">
        <v>22460</v>
      </c>
      <c r="Q88" s="2"/>
      <c r="R88" s="7">
        <f t="shared" si="73"/>
        <v>3.4459219017855799E-2</v>
      </c>
      <c r="S88" s="2"/>
      <c r="T88" s="6">
        <v>17932</v>
      </c>
      <c r="U88" s="2"/>
      <c r="V88" s="7">
        <f t="shared" si="74"/>
        <v>2.1338908708312017E-2</v>
      </c>
      <c r="W88" s="2"/>
      <c r="X88" s="6">
        <f t="shared" si="75"/>
        <v>4528</v>
      </c>
      <c r="Y88" s="2"/>
      <c r="Z88" s="7">
        <f t="shared" si="76"/>
        <v>0.2525094802587553</v>
      </c>
    </row>
    <row r="89" spans="1:26" s="53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9" t="s">
        <v>0</v>
      </c>
      <c r="C90" s="10"/>
      <c r="D90" s="4">
        <f>SUM(OSRRefD25x_0)</f>
        <v>0</v>
      </c>
      <c r="E90" s="4"/>
      <c r="F90" s="12">
        <f t="shared" ref="F90:F91" si="77">IF(D$12=0,0,D90/D$12)</f>
        <v>0</v>
      </c>
      <c r="G90" s="4"/>
      <c r="H90" s="4">
        <f>SUM(OSRRefH25x_0)</f>
        <v>0</v>
      </c>
      <c r="I90" s="4"/>
      <c r="J90" s="12">
        <f t="shared" ref="J90:J91" si="78">IF(H$12=0,0,H90/H$12)</f>
        <v>0</v>
      </c>
      <c r="K90" s="4"/>
      <c r="L90" s="4">
        <f t="shared" ref="L90:L91" si="79">+D90-H90</f>
        <v>0</v>
      </c>
      <c r="M90" s="4"/>
      <c r="N90" s="12">
        <f t="shared" ref="N90:N91" si="80">IF(H90=0,0,L90/H90)</f>
        <v>0</v>
      </c>
      <c r="O90" s="10"/>
      <c r="P90" s="4">
        <f>SUM(OSRRefP25x_0)</f>
        <v>68.760000000000005</v>
      </c>
      <c r="Q90" s="4"/>
      <c r="R90" s="12">
        <f t="shared" ref="R90:R91" si="81">IF(P$12=0,0,P90/P$12)</f>
        <v>1.0549491984273219E-4</v>
      </c>
      <c r="S90" s="4"/>
      <c r="T90" s="4">
        <f>SUM(OSRRefT25x_0)</f>
        <v>0</v>
      </c>
      <c r="U90" s="4"/>
      <c r="V90" s="12">
        <f t="shared" ref="V90:V91" si="82">IF(T$12=0,0,T90/T$12)</f>
        <v>0</v>
      </c>
      <c r="W90" s="4"/>
      <c r="X90" s="4">
        <f t="shared" ref="X90:X91" si="83">+P90-T90</f>
        <v>68.760000000000005</v>
      </c>
      <c r="Y90" s="4"/>
      <c r="Z90" s="12">
        <f t="shared" ref="Z90:Z91" si="84">IF(T90=0,0,X90/T90)</f>
        <v>0</v>
      </c>
    </row>
    <row r="91" spans="1:26" s="24" customFormat="1" hidden="1" outlineLevel="1" x14ac:dyDescent="0.25">
      <c r="A91" s="44"/>
      <c r="B91" s="11" t="str">
        <f>CONCATENATE("          ", "9150", " - ", "MISC. INCOME")</f>
        <v xml:space="preserve">          9150 - MISC. INCOME</v>
      </c>
      <c r="C91" s="11"/>
      <c r="D91" s="2">
        <f>0</f>
        <v>0</v>
      </c>
      <c r="E91" s="2"/>
      <c r="F91" s="19">
        <f t="shared" si="77"/>
        <v>0</v>
      </c>
      <c r="G91" s="2"/>
      <c r="H91" s="2">
        <f>0</f>
        <v>0</v>
      </c>
      <c r="I91" s="2"/>
      <c r="J91" s="19">
        <f t="shared" si="78"/>
        <v>0</v>
      </c>
      <c r="K91" s="2"/>
      <c r="L91" s="2">
        <f t="shared" si="79"/>
        <v>0</v>
      </c>
      <c r="M91" s="2"/>
      <c r="N91" s="19">
        <f t="shared" si="80"/>
        <v>0</v>
      </c>
      <c r="O91" s="11"/>
      <c r="P91" s="2">
        <f>--68.76</f>
        <v>68.760000000000005</v>
      </c>
      <c r="Q91" s="2"/>
      <c r="R91" s="19">
        <f t="shared" si="81"/>
        <v>1.0549491984273219E-4</v>
      </c>
      <c r="S91" s="2"/>
      <c r="T91" s="2">
        <f>0</f>
        <v>0</v>
      </c>
      <c r="U91" s="2"/>
      <c r="V91" s="19">
        <f t="shared" si="82"/>
        <v>0</v>
      </c>
      <c r="W91" s="2"/>
      <c r="X91" s="2">
        <f t="shared" si="83"/>
        <v>68.760000000000005</v>
      </c>
      <c r="Y91" s="2"/>
      <c r="Z91" s="19">
        <f t="shared" si="84"/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1">
        <f>+D20-D22+D90</f>
        <v>-42422.229999999996</v>
      </c>
      <c r="E93" s="14"/>
      <c r="F93" s="20">
        <f>IF(D$12=0,0,D93/D$12)</f>
        <v>0</v>
      </c>
      <c r="G93" s="14"/>
      <c r="H93" s="21">
        <f>+H20-H22+H90</f>
        <v>-12.580000000001746</v>
      </c>
      <c r="I93" s="14"/>
      <c r="J93" s="20">
        <f>IF(H$12=0,0,H93/H$12)</f>
        <v>-1.2604064941193968E-4</v>
      </c>
      <c r="K93" s="15"/>
      <c r="L93" s="21">
        <f>+D93-H93</f>
        <v>-42409.649999999994</v>
      </c>
      <c r="M93" s="15"/>
      <c r="N93" s="20">
        <f>IF(H93=0,0,L93/H93)</f>
        <v>3371.1963434017575</v>
      </c>
      <c r="O93" s="29"/>
      <c r="P93" s="21">
        <f>+P20-P22+P90</f>
        <v>-240631.95000000007</v>
      </c>
      <c r="Q93" s="14"/>
      <c r="R93" s="20">
        <f>IF(P$12=0,0,P93/P$12)</f>
        <v>-0.36918918378200039</v>
      </c>
      <c r="S93" s="14"/>
      <c r="T93" s="21">
        <f>+T20-T22+T90</f>
        <v>-110683.95999999985</v>
      </c>
      <c r="U93" s="14"/>
      <c r="V93" s="20">
        <f>IF(T$12=0,0,T93/T$12)</f>
        <v>-0.13171285511456923</v>
      </c>
      <c r="W93" s="15"/>
      <c r="X93" s="21">
        <f>+P93-T93</f>
        <v>-129947.99000000022</v>
      </c>
      <c r="Y93" s="15"/>
      <c r="Z93" s="20">
        <f>IF(T93=0,0,X93/T93)</f>
        <v>1.1740453630318286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>
        <v>4165.17</v>
      </c>
      <c r="E95" s="4"/>
      <c r="F95" s="12">
        <f>IF(D$12=0,0,D95/D$12)</f>
        <v>0</v>
      </c>
      <c r="G95" s="4"/>
      <c r="H95" s="4">
        <v>11106.26</v>
      </c>
      <c r="I95" s="4"/>
      <c r="J95" s="12">
        <f>IF(H$12=0,0,H95/H$12)</f>
        <v>0.11127505746722216</v>
      </c>
      <c r="K95" s="4"/>
      <c r="L95" s="4">
        <f>+D95-H95</f>
        <v>-6941.09</v>
      </c>
      <c r="M95" s="4"/>
      <c r="N95" s="12">
        <f>IF(H95=0,0,L95/H95)</f>
        <v>-0.62497096232214988</v>
      </c>
      <c r="O95" s="10"/>
      <c r="P95" s="4">
        <v>74005.509999999995</v>
      </c>
      <c r="Q95" s="4"/>
      <c r="R95" s="12">
        <f>IF(P$12=0,0,P95/P$12)</f>
        <v>0.11354283515663925</v>
      </c>
      <c r="S95" s="4"/>
      <c r="T95" s="4">
        <v>87360.83</v>
      </c>
      <c r="U95" s="4"/>
      <c r="V95" s="12">
        <f>IF(T$12=0,0,T95/T$12)</f>
        <v>0.10395855320390172</v>
      </c>
      <c r="W95" s="4"/>
      <c r="X95" s="4">
        <f>+P95-T95</f>
        <v>-13355.320000000007</v>
      </c>
      <c r="Y95" s="4"/>
      <c r="Z95" s="12">
        <f>IF(T95=0,0,X95/T95)</f>
        <v>-0.15287537904573487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0">
        <f>+D93-D95</f>
        <v>-46587.399999999994</v>
      </c>
      <c r="E97" s="14"/>
      <c r="F97" s="36">
        <f>IF(D$12=0,0,D97/D$12)</f>
        <v>0</v>
      </c>
      <c r="G97" s="14"/>
      <c r="H97" s="30">
        <f>+H93-H95</f>
        <v>-11118.840000000002</v>
      </c>
      <c r="I97" s="14"/>
      <c r="J97" s="36">
        <f>IF(H$12=0,0,H97/H$12)</f>
        <v>-0.1114010981166341</v>
      </c>
      <c r="K97" s="15"/>
      <c r="L97" s="30">
        <f>D97-H97</f>
        <v>-35468.55999999999</v>
      </c>
      <c r="M97" s="15"/>
      <c r="N97" s="36">
        <f>IF(H97=0,0,L97/H97)</f>
        <v>3.1899514697576352</v>
      </c>
      <c r="O97" s="29"/>
      <c r="P97" s="30">
        <f>+P93-P95</f>
        <v>-314637.46000000008</v>
      </c>
      <c r="Q97" s="14"/>
      <c r="R97" s="36">
        <f>IF(P$12=0,0,P97/P$12)</f>
        <v>-0.48273201893863965</v>
      </c>
      <c r="S97" s="14"/>
      <c r="T97" s="30">
        <f>+T93-T95</f>
        <v>-198044.78999999986</v>
      </c>
      <c r="U97" s="14"/>
      <c r="V97" s="36">
        <f>IF(T$12=0,0,T97/T$12)</f>
        <v>-0.23567140831847097</v>
      </c>
      <c r="W97" s="15"/>
      <c r="X97" s="30">
        <f>P97-T97</f>
        <v>-116592.67000000022</v>
      </c>
      <c r="Y97" s="15"/>
      <c r="Z97" s="36">
        <f>IF(T97=0,0,X97/T97)</f>
        <v>0.58871869338244287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1">
        <f>SUM(D97:D99)</f>
        <v>-46587.399999999994</v>
      </c>
      <c r="E100" s="14"/>
      <c r="F100" s="32">
        <f>IF(D$12=0,0,D100/D$12)</f>
        <v>0</v>
      </c>
      <c r="G100" s="14"/>
      <c r="H100" s="31">
        <f>SUM(H97:H99)</f>
        <v>-11118.840000000002</v>
      </c>
      <c r="I100" s="14"/>
      <c r="J100" s="32">
        <f>IF(H$12=0,0,H100/H$12)</f>
        <v>-0.1114010981166341</v>
      </c>
      <c r="K100" s="15"/>
      <c r="L100" s="31">
        <f>+D100-H100</f>
        <v>-35468.55999999999</v>
      </c>
      <c r="M100" s="15"/>
      <c r="N100" s="32">
        <f>IF(H100=0,0,L100/H100)</f>
        <v>3.1899514697576352</v>
      </c>
      <c r="O100" s="29"/>
      <c r="P100" s="31">
        <f>SUM(P97:P99)</f>
        <v>-314637.46000000008</v>
      </c>
      <c r="Q100" s="14"/>
      <c r="R100" s="32">
        <f>IF(P$12=0,0,P100/P$12)</f>
        <v>-0.48273201893863965</v>
      </c>
      <c r="S100" s="14"/>
      <c r="T100" s="31">
        <f>SUM(T97:T99)</f>
        <v>-198044.78999999986</v>
      </c>
      <c r="U100" s="14"/>
      <c r="V100" s="32">
        <f>IF(T$12=0,0,T100/T$12)</f>
        <v>-0.23567140831847097</v>
      </c>
      <c r="W100" s="15"/>
      <c r="X100" s="31">
        <f>+P100-T100</f>
        <v>-116592.67000000022</v>
      </c>
      <c r="Y100" s="15"/>
      <c r="Z100" s="32">
        <f>IF(T100=0,0,X100/T100)</f>
        <v>0.58871869338244287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4">
        <v>43965.471347800929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9" t="s">
        <v>313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1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","418", " - ", "Nugget")</f>
        <v>Department 418 - Nugget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189875.07</v>
      </c>
      <c r="I12" s="4"/>
      <c r="J12" s="12"/>
      <c r="K12" s="4"/>
      <c r="L12" s="4">
        <f t="shared" ref="L12:L14" si="0">+D12-H12</f>
        <v>-189875.07</v>
      </c>
      <c r="M12" s="4"/>
      <c r="N12" s="12">
        <f t="shared" ref="N12:N14" si="1">IF(H12=0,0,L12/H12)</f>
        <v>-1</v>
      </c>
      <c r="O12" s="10"/>
      <c r="P12" s="4">
        <f>SUM(OSRRefP13x_0)</f>
        <v>1068795.77</v>
      </c>
      <c r="Q12" s="4"/>
      <c r="R12" s="12"/>
      <c r="S12" s="4"/>
      <c r="T12" s="4">
        <f>SUM(OSRRefT13x_0)</f>
        <v>1391610.75</v>
      </c>
      <c r="U12" s="4"/>
      <c r="V12" s="12"/>
      <c r="W12" s="4"/>
      <c r="X12" s="4">
        <f t="shared" ref="X12:X14" si="2">+P12-T12</f>
        <v>-322814.98</v>
      </c>
      <c r="Y12" s="4"/>
      <c r="Z12" s="12">
        <f t="shared" ref="Z12:Z14" si="3">IF(T12=0,0,X12/T12)</f>
        <v>-0.23197218043910625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--77745.55</f>
        <v>77745.55</v>
      </c>
      <c r="I13" s="2"/>
      <c r="J13" s="19"/>
      <c r="K13" s="2"/>
      <c r="L13" s="2">
        <f t="shared" si="0"/>
        <v>-77745.55</v>
      </c>
      <c r="M13" s="2"/>
      <c r="N13" s="19">
        <f t="shared" si="1"/>
        <v>-1</v>
      </c>
      <c r="O13" s="11"/>
      <c r="P13" s="2">
        <f>--381406.04</f>
        <v>381406.04</v>
      </c>
      <c r="Q13" s="2"/>
      <c r="R13" s="19"/>
      <c r="S13" s="2"/>
      <c r="T13" s="2">
        <f>--565234.97</f>
        <v>565234.97</v>
      </c>
      <c r="U13" s="2"/>
      <c r="V13" s="19"/>
      <c r="W13" s="2"/>
      <c r="X13" s="2">
        <f t="shared" si="2"/>
        <v>-183828.93</v>
      </c>
      <c r="Y13" s="2"/>
      <c r="Z13" s="19">
        <f t="shared" si="3"/>
        <v>-0.32522568446180888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--112129.52</f>
        <v>112129.52</v>
      </c>
      <c r="I14" s="2"/>
      <c r="J14" s="19"/>
      <c r="K14" s="2"/>
      <c r="L14" s="2">
        <f t="shared" si="0"/>
        <v>-112129.52</v>
      </c>
      <c r="M14" s="2"/>
      <c r="N14" s="19">
        <f t="shared" si="1"/>
        <v>-1</v>
      </c>
      <c r="O14" s="11"/>
      <c r="P14" s="2">
        <f>--687389.73</f>
        <v>687389.73</v>
      </c>
      <c r="Q14" s="2"/>
      <c r="R14" s="19"/>
      <c r="S14" s="2"/>
      <c r="T14" s="2">
        <f>--826375.78</f>
        <v>826375.78</v>
      </c>
      <c r="U14" s="2"/>
      <c r="V14" s="19"/>
      <c r="W14" s="2"/>
      <c r="X14" s="2">
        <f t="shared" si="2"/>
        <v>-138986.05000000005</v>
      </c>
      <c r="Y14" s="2"/>
      <c r="Z14" s="19">
        <f t="shared" si="3"/>
        <v>-0.16818746793377709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8304</v>
      </c>
      <c r="E16" s="4"/>
      <c r="F16" s="12">
        <f t="shared" ref="F16:F18" si="5">IF(D$12=0,0,D16/D$12)</f>
        <v>0</v>
      </c>
      <c r="G16" s="4"/>
      <c r="H16" s="4">
        <f>SUM(OSRRefH16x_0)</f>
        <v>59035.46</v>
      </c>
      <c r="I16" s="4"/>
      <c r="J16" s="12">
        <f t="shared" ref="J16:J18" si="6">IF(H$12=0,0,H16/H$12)</f>
        <v>0.31091738373026012</v>
      </c>
      <c r="K16" s="4"/>
      <c r="L16" s="4">
        <f t="shared" ref="L16:L18" si="7">+D16-H16</f>
        <v>-50731.46</v>
      </c>
      <c r="M16" s="4"/>
      <c r="N16" s="12">
        <f t="shared" ref="N16:N18" si="8">IF(H16=0,0,L16/H16)</f>
        <v>-0.85933877706720674</v>
      </c>
      <c r="O16" s="10"/>
      <c r="P16" s="4">
        <f>SUM(OSRRefP16x_0)</f>
        <v>362175.06999999995</v>
      </c>
      <c r="Q16" s="4"/>
      <c r="R16" s="12">
        <f t="shared" ref="R16:R18" si="9">IF(P$12=0,0,P16/P$12)</f>
        <v>0.33886274643470937</v>
      </c>
      <c r="S16" s="4"/>
      <c r="T16" s="4">
        <f>SUM(OSRRefT16x_0)</f>
        <v>439364.8</v>
      </c>
      <c r="U16" s="4"/>
      <c r="V16" s="12">
        <f t="shared" ref="V16:V18" si="10">IF(T$12=0,0,T16/T$12)</f>
        <v>0.31572391920657411</v>
      </c>
      <c r="W16" s="4"/>
      <c r="X16" s="4">
        <f t="shared" ref="X16:X18" si="11">+P16-T16</f>
        <v>-77189.73000000004</v>
      </c>
      <c r="Y16" s="4"/>
      <c r="Z16" s="12">
        <f t="shared" ref="Z16:Z18" si="12">IF(T16=0,0,X16/T16)</f>
        <v>-0.17568482955393797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61197.46</v>
      </c>
      <c r="I17" s="2"/>
      <c r="J17" s="19">
        <f t="shared" si="6"/>
        <v>0.32230381797884261</v>
      </c>
      <c r="K17" s="2"/>
      <c r="L17" s="2">
        <f t="shared" si="7"/>
        <v>-61197.46</v>
      </c>
      <c r="M17" s="2"/>
      <c r="N17" s="19">
        <f t="shared" si="8"/>
        <v>-1</v>
      </c>
      <c r="O17" s="11"/>
      <c r="P17" s="2">
        <v>360936.39999999997</v>
      </c>
      <c r="Q17" s="2"/>
      <c r="R17" s="19">
        <f t="shared" si="9"/>
        <v>0.33770380659347105</v>
      </c>
      <c r="S17" s="2"/>
      <c r="T17" s="2">
        <v>432437.8</v>
      </c>
      <c r="U17" s="2"/>
      <c r="V17" s="19">
        <f t="shared" si="10"/>
        <v>0.31074623417503783</v>
      </c>
      <c r="W17" s="2"/>
      <c r="X17" s="2">
        <f t="shared" si="11"/>
        <v>-71501.400000000023</v>
      </c>
      <c r="Y17" s="2"/>
      <c r="Z17" s="19">
        <f t="shared" si="12"/>
        <v>-0.16534493515599244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8304</v>
      </c>
      <c r="E18" s="2"/>
      <c r="F18" s="19">
        <f t="shared" si="5"/>
        <v>0</v>
      </c>
      <c r="G18" s="2"/>
      <c r="H18" s="2">
        <v>-2162</v>
      </c>
      <c r="I18" s="2"/>
      <c r="J18" s="19">
        <f t="shared" si="6"/>
        <v>-1.1386434248582501E-2</v>
      </c>
      <c r="K18" s="2"/>
      <c r="L18" s="2">
        <f t="shared" si="7"/>
        <v>10466</v>
      </c>
      <c r="M18" s="2"/>
      <c r="N18" s="19">
        <f t="shared" si="8"/>
        <v>-4.8408880666049949</v>
      </c>
      <c r="O18" s="11"/>
      <c r="P18" s="2">
        <v>1238.67</v>
      </c>
      <c r="Q18" s="2"/>
      <c r="R18" s="19">
        <f t="shared" si="9"/>
        <v>1.1589398412383313E-3</v>
      </c>
      <c r="S18" s="2"/>
      <c r="T18" s="2">
        <v>6927</v>
      </c>
      <c r="U18" s="2"/>
      <c r="V18" s="19">
        <f t="shared" si="10"/>
        <v>4.9776850315362969E-3</v>
      </c>
      <c r="W18" s="2"/>
      <c r="X18" s="2">
        <f t="shared" si="11"/>
        <v>-5688.33</v>
      </c>
      <c r="Y18" s="2"/>
      <c r="Z18" s="19">
        <f t="shared" si="12"/>
        <v>-0.82118233001299268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-8304</v>
      </c>
      <c r="E20" s="14"/>
      <c r="F20" s="20">
        <f>IF(D$12=0,0,D20/D$12)</f>
        <v>0</v>
      </c>
      <c r="G20" s="14"/>
      <c r="H20" s="21">
        <f>H12-H16</f>
        <v>130839.61000000002</v>
      </c>
      <c r="I20" s="14"/>
      <c r="J20" s="20">
        <f>IF(H$12=0,0,H20/H$12)</f>
        <v>0.68908261626973999</v>
      </c>
      <c r="K20" s="15"/>
      <c r="L20" s="21">
        <f>+D20-H20</f>
        <v>-139143.61000000002</v>
      </c>
      <c r="M20" s="15"/>
      <c r="N20" s="20">
        <f>IF(H20=0,0,L20/H20)</f>
        <v>-1.0634670188943547</v>
      </c>
      <c r="O20" s="29"/>
      <c r="P20" s="21">
        <f>P12-P16</f>
        <v>706620.70000000007</v>
      </c>
      <c r="Q20" s="14"/>
      <c r="R20" s="20">
        <f>IF(P$12=0,0,P20/P$12)</f>
        <v>0.66113725356529063</v>
      </c>
      <c r="S20" s="14"/>
      <c r="T20" s="21">
        <f>T12-T16</f>
        <v>952245.95</v>
      </c>
      <c r="U20" s="14"/>
      <c r="V20" s="20">
        <f>IF(T$12=0,0,T20/T$12)</f>
        <v>0.68427608079342583</v>
      </c>
      <c r="W20" s="15"/>
      <c r="X20" s="21">
        <f>+P20-T20</f>
        <v>-245625.24999999988</v>
      </c>
      <c r="Y20" s="15"/>
      <c r="Z20" s="20">
        <f>IF(T20=0,0,X20/T20)</f>
        <v>-0.25794307657596222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3564.4899999999993</v>
      </c>
      <c r="E22" s="22"/>
      <c r="F22" s="35">
        <f t="shared" ref="F22:F31" si="13">IF(D$12=0,0,D22/D$12)</f>
        <v>0</v>
      </c>
      <c r="G22" s="22"/>
      <c r="H22" s="22">
        <f>SUM(OSRRefH22x_0)</f>
        <v>63017.81</v>
      </c>
      <c r="I22" s="22"/>
      <c r="J22" s="35">
        <f t="shared" ref="J22:J31" si="14">IF(H$12=0,0,H22/H$12)</f>
        <v>0.33189091121862391</v>
      </c>
      <c r="K22" s="4"/>
      <c r="L22" s="22">
        <f t="shared" ref="L22:L31" si="15">+D22-H22</f>
        <v>-59453.32</v>
      </c>
      <c r="M22" s="4"/>
      <c r="N22" s="35">
        <f t="shared" ref="N22:N31" si="16">IF(H22=0,0,L22/H22)</f>
        <v>-0.94343678398217901</v>
      </c>
      <c r="O22" s="10"/>
      <c r="P22" s="22">
        <f>SUM(OSRRefP22x_0)</f>
        <v>576395.59</v>
      </c>
      <c r="Q22" s="22"/>
      <c r="R22" s="35">
        <f t="shared" ref="R22:R31" si="17">IF(P$12=0,0,P22/P$12)</f>
        <v>0.53929441543354906</v>
      </c>
      <c r="S22" s="22"/>
      <c r="T22" s="22">
        <f>SUM(OSRRefT22x_0)</f>
        <v>604515.61</v>
      </c>
      <c r="U22" s="22"/>
      <c r="V22" s="35">
        <f t="shared" ref="V22:V31" si="18">IF(T$12=0,0,T22/T$12)</f>
        <v>0.43439992828454366</v>
      </c>
      <c r="W22" s="4"/>
      <c r="X22" s="22">
        <f t="shared" ref="X22:X31" si="19">+P22-T22</f>
        <v>-28120.020000000019</v>
      </c>
      <c r="Y22" s="4"/>
      <c r="Z22" s="35">
        <f t="shared" ref="Z22:Z31" si="20">IF(T22=0,0,X22/T22)</f>
        <v>-4.6516615178886812E-2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-5827.7500000000009</v>
      </c>
      <c r="E23" s="1"/>
      <c r="F23" s="5">
        <f t="shared" si="13"/>
        <v>0</v>
      </c>
      <c r="G23" s="1"/>
      <c r="H23" s="1">
        <f>SUM(OSRRefH22_0x_0)</f>
        <v>8677.3000000000011</v>
      </c>
      <c r="I23" s="1"/>
      <c r="J23" s="5">
        <f t="shared" si="14"/>
        <v>4.5700048984840404E-2</v>
      </c>
      <c r="K23" s="1"/>
      <c r="L23" s="1">
        <f t="shared" si="15"/>
        <v>-14505.050000000003</v>
      </c>
      <c r="M23" s="1"/>
      <c r="N23" s="5">
        <f t="shared" si="16"/>
        <v>-1.6716086801193921</v>
      </c>
      <c r="O23" s="13"/>
      <c r="P23" s="1">
        <f>SUM(OSRRefP22_0x_0)</f>
        <v>80131.130000000019</v>
      </c>
      <c r="Q23" s="1"/>
      <c r="R23" s="5">
        <f t="shared" si="17"/>
        <v>7.4973285120692443E-2</v>
      </c>
      <c r="S23" s="1"/>
      <c r="T23" s="1">
        <f>SUM(OSRRefT22_0x_0)</f>
        <v>85684.59</v>
      </c>
      <c r="U23" s="1"/>
      <c r="V23" s="5">
        <f t="shared" si="18"/>
        <v>6.1572239219911166E-2</v>
      </c>
      <c r="W23" s="1"/>
      <c r="X23" s="1">
        <f t="shared" si="19"/>
        <v>-5553.4599999999773</v>
      </c>
      <c r="Y23" s="1"/>
      <c r="Z23" s="5">
        <f t="shared" si="20"/>
        <v>-6.4812821068525595E-2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>
        <v>140.25</v>
      </c>
      <c r="E24" s="2"/>
      <c r="F24" s="7">
        <f t="shared" si="13"/>
        <v>0</v>
      </c>
      <c r="G24" s="2"/>
      <c r="H24" s="6">
        <v>1360.81</v>
      </c>
      <c r="I24" s="2"/>
      <c r="J24" s="7">
        <f t="shared" si="14"/>
        <v>7.1668703005613107E-3</v>
      </c>
      <c r="K24" s="2"/>
      <c r="L24" s="6">
        <f t="shared" si="15"/>
        <v>-1220.56</v>
      </c>
      <c r="M24" s="2"/>
      <c r="N24" s="7">
        <f t="shared" si="16"/>
        <v>-0.89693638347748772</v>
      </c>
      <c r="O24" s="11"/>
      <c r="P24" s="6">
        <v>18062.870000000003</v>
      </c>
      <c r="Q24" s="2"/>
      <c r="R24" s="7">
        <f t="shared" si="17"/>
        <v>1.6900207230423455E-2</v>
      </c>
      <c r="S24" s="2"/>
      <c r="T24" s="6">
        <v>14191.22</v>
      </c>
      <c r="U24" s="2"/>
      <c r="V24" s="7">
        <f t="shared" si="18"/>
        <v>1.0197693571999209E-2</v>
      </c>
      <c r="W24" s="2"/>
      <c r="X24" s="6">
        <f t="shared" si="19"/>
        <v>3871.6500000000033</v>
      </c>
      <c r="Y24" s="2"/>
      <c r="Z24" s="7">
        <f t="shared" si="20"/>
        <v>0.27282009580571676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81.95</v>
      </c>
      <c r="E25" s="2"/>
      <c r="F25" s="7">
        <f t="shared" si="13"/>
        <v>0</v>
      </c>
      <c r="G25" s="2"/>
      <c r="H25" s="6">
        <v>1257.3800000000001</v>
      </c>
      <c r="I25" s="2"/>
      <c r="J25" s="7">
        <f t="shared" si="14"/>
        <v>6.6221437074387912E-3</v>
      </c>
      <c r="K25" s="2"/>
      <c r="L25" s="6">
        <f t="shared" si="15"/>
        <v>-1175.43</v>
      </c>
      <c r="M25" s="2"/>
      <c r="N25" s="7">
        <f t="shared" si="16"/>
        <v>-0.93482479441378097</v>
      </c>
      <c r="O25" s="11"/>
      <c r="P25" s="6">
        <v>10556.92</v>
      </c>
      <c r="Q25" s="2"/>
      <c r="R25" s="7">
        <f t="shared" si="17"/>
        <v>9.877396876299389E-3</v>
      </c>
      <c r="S25" s="2"/>
      <c r="T25" s="6">
        <v>10580.39</v>
      </c>
      <c r="U25" s="2"/>
      <c r="V25" s="7">
        <f t="shared" si="18"/>
        <v>7.6029809341441202E-3</v>
      </c>
      <c r="W25" s="2"/>
      <c r="X25" s="6">
        <f t="shared" si="19"/>
        <v>-23.469999999999345</v>
      </c>
      <c r="Y25" s="2"/>
      <c r="Z25" s="7">
        <f t="shared" si="20"/>
        <v>-2.2182547146182086E-3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>
        <v>3355.87</v>
      </c>
      <c r="E26" s="2"/>
      <c r="F26" s="7">
        <f t="shared" si="13"/>
        <v>0</v>
      </c>
      <c r="G26" s="2"/>
      <c r="H26" s="6">
        <v>3876.56</v>
      </c>
      <c r="I26" s="2"/>
      <c r="J26" s="7">
        <f t="shared" si="14"/>
        <v>2.041637167006706E-2</v>
      </c>
      <c r="K26" s="2"/>
      <c r="L26" s="6">
        <f t="shared" si="15"/>
        <v>-520.69000000000005</v>
      </c>
      <c r="M26" s="2"/>
      <c r="N26" s="7">
        <f t="shared" si="16"/>
        <v>-0.13431753926161341</v>
      </c>
      <c r="O26" s="11"/>
      <c r="P26" s="6">
        <v>40025.630000000005</v>
      </c>
      <c r="Q26" s="2"/>
      <c r="R26" s="7">
        <f t="shared" si="17"/>
        <v>3.7449278078636114E-2</v>
      </c>
      <c r="S26" s="2"/>
      <c r="T26" s="6">
        <v>37583.230000000003</v>
      </c>
      <c r="U26" s="2"/>
      <c r="V26" s="7">
        <f t="shared" si="18"/>
        <v>2.700699890396794E-2</v>
      </c>
      <c r="W26" s="2"/>
      <c r="X26" s="6">
        <f t="shared" si="19"/>
        <v>2442.4000000000015</v>
      </c>
      <c r="Y26" s="2"/>
      <c r="Z26" s="7">
        <f t="shared" si="20"/>
        <v>6.4986431448281617E-2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5.49</v>
      </c>
      <c r="E27" s="2"/>
      <c r="F27" s="7">
        <f t="shared" si="13"/>
        <v>0</v>
      </c>
      <c r="G27" s="2"/>
      <c r="H27" s="6">
        <v>93.41</v>
      </c>
      <c r="I27" s="2"/>
      <c r="J27" s="7">
        <f t="shared" si="14"/>
        <v>4.9195505234046787E-4</v>
      </c>
      <c r="K27" s="2"/>
      <c r="L27" s="6">
        <f t="shared" si="15"/>
        <v>-87.92</v>
      </c>
      <c r="M27" s="2"/>
      <c r="N27" s="7">
        <f t="shared" si="16"/>
        <v>-0.9412268493737288</v>
      </c>
      <c r="O27" s="11"/>
      <c r="P27" s="6">
        <v>844.69</v>
      </c>
      <c r="Q27" s="2"/>
      <c r="R27" s="7">
        <f t="shared" si="17"/>
        <v>7.9031937036951408E-4</v>
      </c>
      <c r="S27" s="2"/>
      <c r="T27" s="6">
        <v>895.77</v>
      </c>
      <c r="U27" s="2"/>
      <c r="V27" s="7">
        <f t="shared" si="18"/>
        <v>6.4369292921889255E-4</v>
      </c>
      <c r="W27" s="2"/>
      <c r="X27" s="6">
        <f t="shared" si="19"/>
        <v>-51.079999999999927</v>
      </c>
      <c r="Y27" s="2"/>
      <c r="Z27" s="7">
        <f t="shared" si="20"/>
        <v>-5.7023566317246532E-2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>
        <v>223.94</v>
      </c>
      <c r="E28" s="2"/>
      <c r="F28" s="7">
        <f t="shared" si="13"/>
        <v>0</v>
      </c>
      <c r="G28" s="2"/>
      <c r="H28" s="6">
        <v>599.57000000000005</v>
      </c>
      <c r="I28" s="2"/>
      <c r="J28" s="7">
        <f t="shared" si="14"/>
        <v>3.1577078549595797E-3</v>
      </c>
      <c r="K28" s="2"/>
      <c r="L28" s="6">
        <f t="shared" si="15"/>
        <v>-375.63000000000005</v>
      </c>
      <c r="M28" s="2"/>
      <c r="N28" s="7">
        <f t="shared" si="16"/>
        <v>-0.62649899094350958</v>
      </c>
      <c r="O28" s="11"/>
      <c r="P28" s="6">
        <v>5353.71</v>
      </c>
      <c r="Q28" s="2"/>
      <c r="R28" s="7">
        <f t="shared" si="17"/>
        <v>5.0091047796717979E-3</v>
      </c>
      <c r="S28" s="2"/>
      <c r="T28" s="6">
        <v>6448.64</v>
      </c>
      <c r="U28" s="2"/>
      <c r="V28" s="7">
        <f t="shared" si="18"/>
        <v>4.63393948343673E-3</v>
      </c>
      <c r="W28" s="2"/>
      <c r="X28" s="6">
        <f t="shared" si="19"/>
        <v>-1094.9300000000003</v>
      </c>
      <c r="Y28" s="2"/>
      <c r="Z28" s="7">
        <f t="shared" si="20"/>
        <v>-0.16979239033346569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>
        <v>107.77</v>
      </c>
      <c r="E29" s="2"/>
      <c r="F29" s="7">
        <f t="shared" si="13"/>
        <v>0</v>
      </c>
      <c r="G29" s="2"/>
      <c r="H29" s="6">
        <v>515.54</v>
      </c>
      <c r="I29" s="2"/>
      <c r="J29" s="7">
        <f t="shared" si="14"/>
        <v>2.7151537060657828E-3</v>
      </c>
      <c r="K29" s="2"/>
      <c r="L29" s="6">
        <f t="shared" si="15"/>
        <v>-407.77</v>
      </c>
      <c r="M29" s="2"/>
      <c r="N29" s="7">
        <f t="shared" si="16"/>
        <v>-0.79095705473872058</v>
      </c>
      <c r="O29" s="11"/>
      <c r="P29" s="6">
        <v>5525.89</v>
      </c>
      <c r="Q29" s="2"/>
      <c r="R29" s="7">
        <f t="shared" si="17"/>
        <v>5.170201974133936E-3</v>
      </c>
      <c r="S29" s="2"/>
      <c r="T29" s="6">
        <v>5426.89</v>
      </c>
      <c r="U29" s="2"/>
      <c r="V29" s="7">
        <f t="shared" si="18"/>
        <v>3.8997183659295535E-3</v>
      </c>
      <c r="W29" s="2"/>
      <c r="X29" s="6">
        <f t="shared" si="19"/>
        <v>99</v>
      </c>
      <c r="Y29" s="2"/>
      <c r="Z29" s="7">
        <f t="shared" si="20"/>
        <v>1.8242492477275198E-2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-9903.02</v>
      </c>
      <c r="E30" s="2"/>
      <c r="F30" s="7">
        <f t="shared" si="13"/>
        <v>0</v>
      </c>
      <c r="G30" s="2"/>
      <c r="H30" s="6">
        <v>529.66</v>
      </c>
      <c r="I30" s="2"/>
      <c r="J30" s="7">
        <f t="shared" si="14"/>
        <v>2.7895183922776166E-3</v>
      </c>
      <c r="K30" s="2"/>
      <c r="L30" s="6">
        <f t="shared" si="15"/>
        <v>-10432.68</v>
      </c>
      <c r="M30" s="2"/>
      <c r="N30" s="7">
        <f t="shared" si="16"/>
        <v>-19.696937658120305</v>
      </c>
      <c r="O30" s="11"/>
      <c r="P30" s="6">
        <v>-4296.3500000000004</v>
      </c>
      <c r="Q30" s="2"/>
      <c r="R30" s="7">
        <f t="shared" si="17"/>
        <v>-4.019804457122805E-3</v>
      </c>
      <c r="S30" s="2"/>
      <c r="T30" s="6">
        <v>6172.58</v>
      </c>
      <c r="U30" s="2"/>
      <c r="V30" s="7">
        <f t="shared" si="18"/>
        <v>4.4355650457572277E-3</v>
      </c>
      <c r="W30" s="2"/>
      <c r="X30" s="6">
        <f t="shared" si="19"/>
        <v>-10468.93</v>
      </c>
      <c r="Y30" s="2"/>
      <c r="Z30" s="7">
        <f t="shared" si="20"/>
        <v>-1.6960379614358989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160</v>
      </c>
      <c r="E31" s="2"/>
      <c r="F31" s="7">
        <f t="shared" si="13"/>
        <v>0</v>
      </c>
      <c r="G31" s="2"/>
      <c r="H31" s="6">
        <v>444.37</v>
      </c>
      <c r="I31" s="2"/>
      <c r="J31" s="7">
        <f t="shared" si="14"/>
        <v>2.34032830112979E-3</v>
      </c>
      <c r="K31" s="2"/>
      <c r="L31" s="6">
        <f t="shared" si="15"/>
        <v>-284.37</v>
      </c>
      <c r="M31" s="2"/>
      <c r="N31" s="7">
        <f t="shared" si="16"/>
        <v>-0.63993968989805794</v>
      </c>
      <c r="O31" s="11"/>
      <c r="P31" s="6">
        <v>4057.77</v>
      </c>
      <c r="Q31" s="2"/>
      <c r="R31" s="7">
        <f t="shared" si="17"/>
        <v>3.79658126828103E-3</v>
      </c>
      <c r="S31" s="2"/>
      <c r="T31" s="6">
        <v>4385.87</v>
      </c>
      <c r="U31" s="2"/>
      <c r="V31" s="7">
        <f t="shared" si="18"/>
        <v>3.1516499854574993E-3</v>
      </c>
      <c r="W31" s="2"/>
      <c r="X31" s="6">
        <f t="shared" si="19"/>
        <v>-328.09999999999991</v>
      </c>
      <c r="Y31" s="2"/>
      <c r="Z31" s="7">
        <f t="shared" si="20"/>
        <v>-7.4808418854183989E-2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920.8</v>
      </c>
      <c r="E32" s="1"/>
      <c r="F32" s="5">
        <f t="shared" ref="F32:F38" si="21">IF(D$12=0,0,D32/D$12)</f>
        <v>0</v>
      </c>
      <c r="G32" s="1"/>
      <c r="H32" s="1">
        <f>SUM(OSRRefH22_1x_0)</f>
        <v>35295.75</v>
      </c>
      <c r="I32" s="1"/>
      <c r="J32" s="5">
        <f t="shared" ref="J32:J38" si="22">IF(H$12=0,0,H32/H$12)</f>
        <v>0.18588933239102953</v>
      </c>
      <c r="K32" s="1"/>
      <c r="L32" s="1">
        <f t="shared" ref="L32:L38" si="23">+D32-H32</f>
        <v>-34374.949999999997</v>
      </c>
      <c r="M32" s="1"/>
      <c r="N32" s="5">
        <f t="shared" ref="N32:N38" si="24">IF(H32=0,0,L32/H32)</f>
        <v>-0.97391187324252915</v>
      </c>
      <c r="O32" s="13"/>
      <c r="P32" s="1">
        <f>SUM(OSRRefP22_1x_0)</f>
        <v>312653.97000000003</v>
      </c>
      <c r="Q32" s="1"/>
      <c r="R32" s="5">
        <f t="shared" ref="R32:R38" si="25">IF(P$12=0,0,P32/P$12)</f>
        <v>0.29252919853902493</v>
      </c>
      <c r="S32" s="1"/>
      <c r="T32" s="1">
        <f>SUM(OSRRefT22_1x_0)</f>
        <v>323208.09999999998</v>
      </c>
      <c r="U32" s="1"/>
      <c r="V32" s="5">
        <f t="shared" ref="V32:V38" si="26">IF(T$12=0,0,T32/T$12)</f>
        <v>0.23225467322669072</v>
      </c>
      <c r="W32" s="1"/>
      <c r="X32" s="1">
        <f t="shared" ref="X32:X38" si="27">+P32-T32</f>
        <v>-10554.129999999946</v>
      </c>
      <c r="Y32" s="1"/>
      <c r="Z32" s="5">
        <f t="shared" ref="Z32:Z38" si="28">IF(T32=0,0,X32/T32)</f>
        <v>-3.2654286820163067E-2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8571.08</v>
      </c>
      <c r="I33" s="2"/>
      <c r="J33" s="7">
        <f t="shared" si="22"/>
        <v>4.5140628519583954E-2</v>
      </c>
      <c r="K33" s="2"/>
      <c r="L33" s="6">
        <f t="shared" si="23"/>
        <v>-8571.08</v>
      </c>
      <c r="M33" s="2"/>
      <c r="N33" s="7">
        <f t="shared" si="24"/>
        <v>-1</v>
      </c>
      <c r="O33" s="11"/>
      <c r="P33" s="6">
        <v>80298</v>
      </c>
      <c r="Q33" s="2"/>
      <c r="R33" s="7">
        <f t="shared" si="25"/>
        <v>7.5129414106869075E-2</v>
      </c>
      <c r="S33" s="2"/>
      <c r="T33" s="6">
        <v>88579.32</v>
      </c>
      <c r="U33" s="2"/>
      <c r="V33" s="7">
        <f t="shared" si="26"/>
        <v>6.3652368307732604E-2</v>
      </c>
      <c r="W33" s="2"/>
      <c r="X33" s="6">
        <f t="shared" si="27"/>
        <v>-8281.320000000007</v>
      </c>
      <c r="Y33" s="2"/>
      <c r="Z33" s="7">
        <f t="shared" si="28"/>
        <v>-9.3490444496525896E-2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1841.8</v>
      </c>
      <c r="E34" s="2"/>
      <c r="F34" s="7">
        <f t="shared" si="21"/>
        <v>0</v>
      </c>
      <c r="G34" s="2"/>
      <c r="H34" s="6">
        <v>2319.75</v>
      </c>
      <c r="I34" s="2"/>
      <c r="J34" s="7">
        <f t="shared" si="22"/>
        <v>1.2217243685545448E-2</v>
      </c>
      <c r="K34" s="2"/>
      <c r="L34" s="6">
        <f t="shared" si="23"/>
        <v>-477.95000000000005</v>
      </c>
      <c r="M34" s="2"/>
      <c r="N34" s="7">
        <f t="shared" si="24"/>
        <v>-0.20603513309623883</v>
      </c>
      <c r="O34" s="11"/>
      <c r="P34" s="6">
        <v>38197.160000000003</v>
      </c>
      <c r="Q34" s="2"/>
      <c r="R34" s="7">
        <f t="shared" si="25"/>
        <v>3.5738502221055762E-2</v>
      </c>
      <c r="S34" s="2"/>
      <c r="T34" s="6">
        <v>23074.63</v>
      </c>
      <c r="U34" s="2"/>
      <c r="V34" s="7">
        <f t="shared" si="26"/>
        <v>1.6581238683302784E-2</v>
      </c>
      <c r="W34" s="2"/>
      <c r="X34" s="6">
        <f t="shared" si="27"/>
        <v>15122.530000000002</v>
      </c>
      <c r="Y34" s="2"/>
      <c r="Z34" s="7">
        <f t="shared" si="28"/>
        <v>0.65537475573822856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6377.57</v>
      </c>
      <c r="I35" s="2"/>
      <c r="J35" s="7">
        <f t="shared" si="22"/>
        <v>3.3588243048442323E-2</v>
      </c>
      <c r="K35" s="2"/>
      <c r="L35" s="6">
        <f t="shared" si="23"/>
        <v>-6377.57</v>
      </c>
      <c r="M35" s="2"/>
      <c r="N35" s="7">
        <f t="shared" si="24"/>
        <v>-1</v>
      </c>
      <c r="O35" s="11"/>
      <c r="P35" s="6">
        <v>91629.97</v>
      </c>
      <c r="Q35" s="2"/>
      <c r="R35" s="7">
        <f t="shared" si="25"/>
        <v>8.5731972910034995E-2</v>
      </c>
      <c r="S35" s="2"/>
      <c r="T35" s="6">
        <v>57986.409999999996</v>
      </c>
      <c r="U35" s="2"/>
      <c r="V35" s="7">
        <f t="shared" si="26"/>
        <v>4.1668555664721614E-2</v>
      </c>
      <c r="W35" s="2"/>
      <c r="X35" s="6">
        <f t="shared" si="27"/>
        <v>33643.560000000005</v>
      </c>
      <c r="Y35" s="2"/>
      <c r="Z35" s="7">
        <f t="shared" si="28"/>
        <v>0.58019732554576164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7215.01</v>
      </c>
      <c r="Q36" s="2"/>
      <c r="R36" s="7">
        <f t="shared" si="25"/>
        <v>6.7505974504371404E-3</v>
      </c>
      <c r="S36" s="2"/>
      <c r="T36" s="6"/>
      <c r="U36" s="2"/>
      <c r="V36" s="7">
        <f t="shared" si="26"/>
        <v>0</v>
      </c>
      <c r="W36" s="2"/>
      <c r="X36" s="6">
        <f t="shared" si="27"/>
        <v>7215.01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-921</v>
      </c>
      <c r="E37" s="2"/>
      <c r="F37" s="7">
        <f t="shared" si="21"/>
        <v>0</v>
      </c>
      <c r="G37" s="2"/>
      <c r="H37" s="6">
        <v>17115.68</v>
      </c>
      <c r="I37" s="2"/>
      <c r="J37" s="7">
        <f t="shared" si="22"/>
        <v>9.0141796919416539E-2</v>
      </c>
      <c r="K37" s="2"/>
      <c r="L37" s="6">
        <f t="shared" si="23"/>
        <v>-18036.68</v>
      </c>
      <c r="M37" s="2"/>
      <c r="N37" s="7">
        <f t="shared" si="24"/>
        <v>-1.0538103072737981</v>
      </c>
      <c r="O37" s="11"/>
      <c r="P37" s="6">
        <v>93483.83</v>
      </c>
      <c r="Q37" s="2"/>
      <c r="R37" s="7">
        <f t="shared" si="25"/>
        <v>8.7466504475405993E-2</v>
      </c>
      <c r="S37" s="2"/>
      <c r="T37" s="6">
        <v>143566.22999999998</v>
      </c>
      <c r="U37" s="2"/>
      <c r="V37" s="7">
        <f t="shared" si="26"/>
        <v>0.10316550802729857</v>
      </c>
      <c r="W37" s="2"/>
      <c r="X37" s="6">
        <f t="shared" si="27"/>
        <v>-50082.39999999998</v>
      </c>
      <c r="Y37" s="2"/>
      <c r="Z37" s="7">
        <f t="shared" si="28"/>
        <v>-0.34884526813861438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911.67</v>
      </c>
      <c r="I38" s="2"/>
      <c r="J38" s="7">
        <f t="shared" si="22"/>
        <v>4.8014202180412619E-3</v>
      </c>
      <c r="K38" s="2"/>
      <c r="L38" s="6">
        <f t="shared" si="23"/>
        <v>-911.67</v>
      </c>
      <c r="M38" s="2"/>
      <c r="N38" s="7">
        <f t="shared" si="24"/>
        <v>-1</v>
      </c>
      <c r="O38" s="11"/>
      <c r="P38" s="6">
        <v>1830</v>
      </c>
      <c r="Q38" s="2"/>
      <c r="R38" s="7">
        <f t="shared" si="25"/>
        <v>1.7122073752219285E-3</v>
      </c>
      <c r="S38" s="2"/>
      <c r="T38" s="6">
        <v>10001.51</v>
      </c>
      <c r="U38" s="2"/>
      <c r="V38" s="7">
        <f t="shared" si="26"/>
        <v>7.1870025436351365E-3</v>
      </c>
      <c r="W38" s="2"/>
      <c r="X38" s="6">
        <f t="shared" si="27"/>
        <v>-8171.51</v>
      </c>
      <c r="Y38" s="2"/>
      <c r="Z38" s="7">
        <f t="shared" si="28"/>
        <v>-0.81702762882804691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29">IF(D$12=0,0,D39/D$12)</f>
        <v>0</v>
      </c>
      <c r="G39" s="1"/>
      <c r="H39" s="1">
        <f>SUM(OSRRefH22_2x_0)</f>
        <v>497.2</v>
      </c>
      <c r="I39" s="1"/>
      <c r="J39" s="5">
        <f t="shared" ref="J39:J47" si="30">IF(H$12=0,0,H39/H$12)</f>
        <v>2.6185638799237835E-3</v>
      </c>
      <c r="K39" s="1"/>
      <c r="L39" s="1">
        <f t="shared" ref="L39:L47" si="31">+D39-H39</f>
        <v>-497.2</v>
      </c>
      <c r="M39" s="1"/>
      <c r="N39" s="5">
        <f t="shared" ref="N39:N47" si="32">IF(H39=0,0,L39/H39)</f>
        <v>-1</v>
      </c>
      <c r="O39" s="13"/>
      <c r="P39" s="1">
        <f>SUM(OSRRefP22_2x_0)</f>
        <v>4363.6499999999996</v>
      </c>
      <c r="Q39" s="1"/>
      <c r="R39" s="5">
        <f t="shared" ref="R39:R47" si="33">IF(P$12=0,0,P39/P$12)</f>
        <v>4.0827725207033703E-3</v>
      </c>
      <c r="S39" s="1"/>
      <c r="T39" s="1">
        <f>SUM(OSRRefT22_2x_0)</f>
        <v>4818.45</v>
      </c>
      <c r="U39" s="1"/>
      <c r="V39" s="5">
        <f t="shared" ref="V39:V47" si="34">IF(T$12=0,0,T39/T$12)</f>
        <v>3.4624984033789618E-3</v>
      </c>
      <c r="W39" s="1"/>
      <c r="X39" s="1">
        <f t="shared" ref="X39:X47" si="35">+P39-T39</f>
        <v>-454.80000000000018</v>
      </c>
      <c r="Y39" s="1"/>
      <c r="Z39" s="5">
        <f t="shared" ref="Z39:Z47" si="36">IF(T39=0,0,X39/T39)</f>
        <v>-9.4387199203063266E-2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9"/>
        <v>0</v>
      </c>
      <c r="G40" s="2"/>
      <c r="H40" s="6">
        <v>497.2</v>
      </c>
      <c r="I40" s="2"/>
      <c r="J40" s="7">
        <f t="shared" si="30"/>
        <v>2.6185638799237835E-3</v>
      </c>
      <c r="K40" s="2"/>
      <c r="L40" s="6">
        <f t="shared" si="31"/>
        <v>-497.2</v>
      </c>
      <c r="M40" s="2"/>
      <c r="N40" s="7">
        <f t="shared" si="32"/>
        <v>-1</v>
      </c>
      <c r="O40" s="11"/>
      <c r="P40" s="6">
        <v>4363.6499999999996</v>
      </c>
      <c r="Q40" s="2"/>
      <c r="R40" s="7">
        <f t="shared" si="33"/>
        <v>4.0827725207033703E-3</v>
      </c>
      <c r="S40" s="2"/>
      <c r="T40" s="6">
        <v>4818.45</v>
      </c>
      <c r="U40" s="2"/>
      <c r="V40" s="7">
        <f t="shared" si="34"/>
        <v>3.4624984033789618E-3</v>
      </c>
      <c r="W40" s="2"/>
      <c r="X40" s="6">
        <f t="shared" si="35"/>
        <v>-454.80000000000018</v>
      </c>
      <c r="Y40" s="2"/>
      <c r="Z40" s="7">
        <f t="shared" si="36"/>
        <v>-9.4387199203063266E-2</v>
      </c>
    </row>
    <row r="41" spans="1:26" s="25" customFormat="1" outlineLevel="1" collapsed="1" x14ac:dyDescent="0.25">
      <c r="A41" s="26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-63</v>
      </c>
      <c r="I41" s="1"/>
      <c r="J41" s="5">
        <f t="shared" si="30"/>
        <v>-3.3179711270152524E-4</v>
      </c>
      <c r="K41" s="1"/>
      <c r="L41" s="1">
        <f t="shared" si="31"/>
        <v>63</v>
      </c>
      <c r="M41" s="1"/>
      <c r="N41" s="5">
        <f t="shared" si="32"/>
        <v>-1</v>
      </c>
      <c r="O41" s="13"/>
      <c r="P41" s="1">
        <f>SUM(OSRRefP22_3x_0)</f>
        <v>-326.89</v>
      </c>
      <c r="Q41" s="1"/>
      <c r="R41" s="5">
        <f t="shared" si="33"/>
        <v>-3.0584889010180119E-4</v>
      </c>
      <c r="S41" s="1"/>
      <c r="T41" s="1">
        <f>SUM(OSRRefT22_3x_0)</f>
        <v>-78.900000000000006</v>
      </c>
      <c r="U41" s="1"/>
      <c r="V41" s="5">
        <f t="shared" si="34"/>
        <v>-5.6696888839066531E-5</v>
      </c>
      <c r="W41" s="1"/>
      <c r="X41" s="1">
        <f t="shared" si="35"/>
        <v>-247.98999999999998</v>
      </c>
      <c r="Y41" s="1"/>
      <c r="Z41" s="5">
        <f t="shared" si="36"/>
        <v>3.1430925221799741</v>
      </c>
    </row>
    <row r="42" spans="1:26" s="24" customFormat="1" hidden="1" outlineLevel="2" x14ac:dyDescent="0.25">
      <c r="A42" s="27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-63</v>
      </c>
      <c r="I42" s="2"/>
      <c r="J42" s="7">
        <f t="shared" si="30"/>
        <v>-3.3179711270152524E-4</v>
      </c>
      <c r="K42" s="2"/>
      <c r="L42" s="6">
        <f t="shared" si="31"/>
        <v>63</v>
      </c>
      <c r="M42" s="2"/>
      <c r="N42" s="7">
        <f t="shared" si="32"/>
        <v>-1</v>
      </c>
      <c r="O42" s="11"/>
      <c r="P42" s="6">
        <v>-326.89</v>
      </c>
      <c r="Q42" s="2"/>
      <c r="R42" s="7">
        <f t="shared" si="33"/>
        <v>-3.0584889010180119E-4</v>
      </c>
      <c r="S42" s="2"/>
      <c r="T42" s="6">
        <v>-78.900000000000006</v>
      </c>
      <c r="U42" s="2"/>
      <c r="V42" s="7">
        <f t="shared" si="34"/>
        <v>-5.6696888839066531E-5</v>
      </c>
      <c r="W42" s="2"/>
      <c r="X42" s="6">
        <f t="shared" si="35"/>
        <v>-247.98999999999998</v>
      </c>
      <c r="Y42" s="2"/>
      <c r="Z42" s="7">
        <f t="shared" si="36"/>
        <v>3.1430925221799741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840.24</v>
      </c>
      <c r="E43" s="1"/>
      <c r="F43" s="5">
        <f t="shared" si="29"/>
        <v>0</v>
      </c>
      <c r="G43" s="1"/>
      <c r="H43" s="1">
        <f>SUM(OSRRefH22_4x_0)</f>
        <v>6091.21</v>
      </c>
      <c r="I43" s="1"/>
      <c r="J43" s="5">
        <f t="shared" si="30"/>
        <v>3.2080093505692978E-2</v>
      </c>
      <c r="K43" s="1"/>
      <c r="L43" s="1">
        <f t="shared" si="31"/>
        <v>-5250.97</v>
      </c>
      <c r="M43" s="1"/>
      <c r="N43" s="5">
        <f t="shared" si="32"/>
        <v>-0.86205696405147747</v>
      </c>
      <c r="O43" s="13"/>
      <c r="P43" s="1">
        <f>SUM(OSRRefP22_4x_0)</f>
        <v>42823.43</v>
      </c>
      <c r="Q43" s="1"/>
      <c r="R43" s="5">
        <f t="shared" si="33"/>
        <v>4.0066990534590161E-2</v>
      </c>
      <c r="S43" s="1"/>
      <c r="T43" s="1">
        <f>SUM(OSRRefT22_4x_0)</f>
        <v>54308.75</v>
      </c>
      <c r="U43" s="1"/>
      <c r="V43" s="5">
        <f t="shared" si="34"/>
        <v>3.902581954041387E-2</v>
      </c>
      <c r="W43" s="1"/>
      <c r="X43" s="1">
        <f t="shared" si="35"/>
        <v>-11485.32</v>
      </c>
      <c r="Y43" s="1"/>
      <c r="Z43" s="5">
        <f t="shared" si="36"/>
        <v>-0.211481943517389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840.24</v>
      </c>
      <c r="E44" s="2"/>
      <c r="F44" s="7">
        <f t="shared" si="29"/>
        <v>0</v>
      </c>
      <c r="G44" s="2"/>
      <c r="H44" s="6">
        <v>6091.21</v>
      </c>
      <c r="I44" s="2"/>
      <c r="J44" s="7">
        <f t="shared" si="30"/>
        <v>3.2080093505692978E-2</v>
      </c>
      <c r="K44" s="2"/>
      <c r="L44" s="6">
        <f t="shared" si="31"/>
        <v>-5250.97</v>
      </c>
      <c r="M44" s="2"/>
      <c r="N44" s="7">
        <f t="shared" si="32"/>
        <v>-0.86205696405147747</v>
      </c>
      <c r="O44" s="11"/>
      <c r="P44" s="6">
        <v>42823.43</v>
      </c>
      <c r="Q44" s="2"/>
      <c r="R44" s="7">
        <f t="shared" si="33"/>
        <v>4.0066990534590161E-2</v>
      </c>
      <c r="S44" s="2"/>
      <c r="T44" s="6">
        <v>54308.75</v>
      </c>
      <c r="U44" s="2"/>
      <c r="V44" s="7">
        <f t="shared" si="34"/>
        <v>3.902581954041387E-2</v>
      </c>
      <c r="W44" s="2"/>
      <c r="X44" s="6">
        <f t="shared" si="35"/>
        <v>-11485.32</v>
      </c>
      <c r="Y44" s="2"/>
      <c r="Z44" s="7">
        <f t="shared" si="36"/>
        <v>-0.211481943517389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7177.58</v>
      </c>
      <c r="E45" s="1"/>
      <c r="F45" s="5">
        <f t="shared" si="29"/>
        <v>0</v>
      </c>
      <c r="G45" s="1"/>
      <c r="H45" s="1">
        <f>SUM(OSRRefH22_5x_0)</f>
        <v>8410.08</v>
      </c>
      <c r="I45" s="1"/>
      <c r="J45" s="5">
        <f t="shared" si="30"/>
        <v>4.4292702564902281E-2</v>
      </c>
      <c r="K45" s="1"/>
      <c r="L45" s="1">
        <f t="shared" si="31"/>
        <v>-1232.5</v>
      </c>
      <c r="M45" s="1"/>
      <c r="N45" s="5">
        <f t="shared" si="32"/>
        <v>-0.14655033008009435</v>
      </c>
      <c r="O45" s="13"/>
      <c r="P45" s="1">
        <f>SUM(OSRRefP22_5x_0)</f>
        <v>81756.899999999994</v>
      </c>
      <c r="Q45" s="1"/>
      <c r="R45" s="5">
        <f t="shared" si="33"/>
        <v>7.649440828157468E-2</v>
      </c>
      <c r="S45" s="1"/>
      <c r="T45" s="1">
        <f>SUM(OSRRefT22_5x_0)</f>
        <v>84100.800000000003</v>
      </c>
      <c r="U45" s="1"/>
      <c r="V45" s="5">
        <f t="shared" si="34"/>
        <v>6.0434140796914657E-2</v>
      </c>
      <c r="W45" s="1"/>
      <c r="X45" s="1">
        <f t="shared" si="35"/>
        <v>-2343.9000000000087</v>
      </c>
      <c r="Y45" s="1"/>
      <c r="Z45" s="5">
        <f t="shared" si="36"/>
        <v>-2.7870127275840522E-2</v>
      </c>
    </row>
    <row r="46" spans="1:26" s="24" customFormat="1" hidden="1" outlineLevel="2" x14ac:dyDescent="0.25">
      <c r="A46" s="27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29"/>
        <v>0</v>
      </c>
      <c r="G46" s="2"/>
      <c r="H46" s="6">
        <v>6537.05</v>
      </c>
      <c r="I46" s="2"/>
      <c r="J46" s="7">
        <f t="shared" si="30"/>
        <v>3.4428163739452469E-2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65370.5</v>
      </c>
      <c r="Q46" s="2"/>
      <c r="R46" s="7">
        <f t="shared" si="33"/>
        <v>6.1162760777019168E-2</v>
      </c>
      <c r="S46" s="2"/>
      <c r="T46" s="6">
        <v>65370.5</v>
      </c>
      <c r="U46" s="2"/>
      <c r="V46" s="7">
        <f t="shared" si="34"/>
        <v>4.6974701797898588E-2</v>
      </c>
      <c r="W46" s="2"/>
      <c r="X46" s="6">
        <f t="shared" si="35"/>
        <v>0</v>
      </c>
      <c r="Y46" s="2"/>
      <c r="Z46" s="7">
        <f t="shared" si="36"/>
        <v>0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640.53</v>
      </c>
      <c r="E47" s="2"/>
      <c r="F47" s="7">
        <f t="shared" si="29"/>
        <v>0</v>
      </c>
      <c r="G47" s="2"/>
      <c r="H47" s="6">
        <v>1873.03</v>
      </c>
      <c r="I47" s="2"/>
      <c r="J47" s="7">
        <f t="shared" si="30"/>
        <v>9.8645388254498066E-3</v>
      </c>
      <c r="K47" s="2"/>
      <c r="L47" s="6">
        <f t="shared" si="31"/>
        <v>-1232.5</v>
      </c>
      <c r="M47" s="2"/>
      <c r="N47" s="7">
        <f t="shared" si="32"/>
        <v>-0.65802469794931207</v>
      </c>
      <c r="O47" s="11"/>
      <c r="P47" s="6">
        <v>16386.400000000001</v>
      </c>
      <c r="Q47" s="2"/>
      <c r="R47" s="7">
        <f t="shared" si="33"/>
        <v>1.5331647504555526E-2</v>
      </c>
      <c r="S47" s="2"/>
      <c r="T47" s="6">
        <v>18730.3</v>
      </c>
      <c r="U47" s="2"/>
      <c r="V47" s="7">
        <f t="shared" si="34"/>
        <v>1.3459438999016068E-2</v>
      </c>
      <c r="W47" s="2"/>
      <c r="X47" s="6">
        <f t="shared" si="35"/>
        <v>-2343.8999999999978</v>
      </c>
      <c r="Y47" s="2"/>
      <c r="Z47" s="7">
        <f t="shared" si="36"/>
        <v>-0.125139479880194</v>
      </c>
    </row>
    <row r="48" spans="1:26" s="25" customFormat="1" outlineLevel="1" collapsed="1" x14ac:dyDescent="0.25">
      <c r="A48" s="26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</v>
      </c>
      <c r="E48" s="1"/>
      <c r="F48" s="5">
        <f t="shared" ref="F48:F58" si="37">IF(D$12=0,0,D48/D$12)</f>
        <v>0</v>
      </c>
      <c r="G48" s="1"/>
      <c r="H48" s="1">
        <f>SUM(OSRRefH22_6x_0)</f>
        <v>0</v>
      </c>
      <c r="I48" s="1"/>
      <c r="J48" s="5">
        <f t="shared" ref="J48:J58" si="38">IF(H$12=0,0,H48/H$12)</f>
        <v>0</v>
      </c>
      <c r="K48" s="1"/>
      <c r="L48" s="1">
        <f t="shared" ref="L48:L58" si="39">+D48-H48</f>
        <v>0</v>
      </c>
      <c r="M48" s="1"/>
      <c r="N48" s="5">
        <f t="shared" ref="N48:N58" si="40">IF(H48=0,0,L48/H48)</f>
        <v>0</v>
      </c>
      <c r="O48" s="13"/>
      <c r="P48" s="1">
        <f>SUM(OSRRefP22_6x_0)</f>
        <v>0.09</v>
      </c>
      <c r="Q48" s="1"/>
      <c r="R48" s="5">
        <f t="shared" ref="R48:R58" si="41">IF(P$12=0,0,P48/P$12)</f>
        <v>8.4206920092881724E-8</v>
      </c>
      <c r="S48" s="1"/>
      <c r="T48" s="1">
        <f>SUM(OSRRefT22_6x_0)</f>
        <v>0</v>
      </c>
      <c r="U48" s="1"/>
      <c r="V48" s="5">
        <f t="shared" ref="V48:V58" si="42">IF(T$12=0,0,T48/T$12)</f>
        <v>0</v>
      </c>
      <c r="W48" s="1"/>
      <c r="X48" s="1">
        <f t="shared" ref="X48:X58" si="43">+P48-T48</f>
        <v>0.09</v>
      </c>
      <c r="Y48" s="1"/>
      <c r="Z48" s="5">
        <f t="shared" ref="Z48:Z58" si="44">IF(T48=0,0,X48/T48)</f>
        <v>0</v>
      </c>
    </row>
    <row r="49" spans="1:26" s="24" customFormat="1" hidden="1" outlineLevel="2" x14ac:dyDescent="0.25">
      <c r="A49" s="27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1"/>
      <c r="P49" s="6">
        <v>0.09</v>
      </c>
      <c r="Q49" s="2"/>
      <c r="R49" s="7">
        <f t="shared" si="41"/>
        <v>8.4206920092881724E-8</v>
      </c>
      <c r="S49" s="2"/>
      <c r="T49" s="6"/>
      <c r="U49" s="2"/>
      <c r="V49" s="7">
        <f t="shared" si="42"/>
        <v>0</v>
      </c>
      <c r="W49" s="2"/>
      <c r="X49" s="6">
        <f t="shared" si="43"/>
        <v>0.09</v>
      </c>
      <c r="Y49" s="2"/>
      <c r="Z49" s="7">
        <f t="shared" si="44"/>
        <v>0</v>
      </c>
    </row>
    <row r="50" spans="1:26" s="25" customFormat="1" outlineLevel="1" collapsed="1" x14ac:dyDescent="0.25">
      <c r="A50" s="26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0</v>
      </c>
      <c r="E50" s="1"/>
      <c r="F50" s="5">
        <f t="shared" si="37"/>
        <v>0</v>
      </c>
      <c r="G50" s="1"/>
      <c r="H50" s="1">
        <f>SUM(OSRRefH22_7x_0)</f>
        <v>0</v>
      </c>
      <c r="I50" s="1"/>
      <c r="J50" s="5">
        <f t="shared" si="38"/>
        <v>0</v>
      </c>
      <c r="K50" s="1"/>
      <c r="L50" s="1">
        <f t="shared" si="39"/>
        <v>0</v>
      </c>
      <c r="M50" s="1"/>
      <c r="N50" s="5">
        <f t="shared" si="40"/>
        <v>0</v>
      </c>
      <c r="O50" s="13"/>
      <c r="P50" s="1">
        <f>SUM(OSRRefP22_7x_0)</f>
        <v>73</v>
      </c>
      <c r="Q50" s="1"/>
      <c r="R50" s="5">
        <f t="shared" si="41"/>
        <v>6.8301168519781851E-5</v>
      </c>
      <c r="S50" s="1"/>
      <c r="T50" s="1">
        <f>SUM(OSRRefT22_7x_0)</f>
        <v>62</v>
      </c>
      <c r="U50" s="1"/>
      <c r="V50" s="5">
        <f t="shared" si="42"/>
        <v>4.455268831460234E-5</v>
      </c>
      <c r="W50" s="1"/>
      <c r="X50" s="1">
        <f t="shared" si="43"/>
        <v>11</v>
      </c>
      <c r="Y50" s="1"/>
      <c r="Z50" s="5">
        <f t="shared" si="44"/>
        <v>0.17741935483870969</v>
      </c>
    </row>
    <row r="51" spans="1:26" s="24" customFormat="1" hidden="1" outlineLevel="2" x14ac:dyDescent="0.25">
      <c r="A51" s="27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37"/>
        <v>0</v>
      </c>
      <c r="G51" s="2"/>
      <c r="H51" s="6"/>
      <c r="I51" s="2"/>
      <c r="J51" s="7">
        <f t="shared" si="38"/>
        <v>0</v>
      </c>
      <c r="K51" s="2"/>
      <c r="L51" s="6">
        <f t="shared" si="39"/>
        <v>0</v>
      </c>
      <c r="M51" s="2"/>
      <c r="N51" s="7">
        <f t="shared" si="40"/>
        <v>0</v>
      </c>
      <c r="O51" s="11"/>
      <c r="P51" s="6">
        <v>73</v>
      </c>
      <c r="Q51" s="2"/>
      <c r="R51" s="7">
        <f t="shared" si="41"/>
        <v>6.8301168519781851E-5</v>
      </c>
      <c r="S51" s="2"/>
      <c r="T51" s="6">
        <v>62</v>
      </c>
      <c r="U51" s="2"/>
      <c r="V51" s="7">
        <f t="shared" si="42"/>
        <v>4.455268831460234E-5</v>
      </c>
      <c r="W51" s="2"/>
      <c r="X51" s="6">
        <f t="shared" si="43"/>
        <v>11</v>
      </c>
      <c r="Y51" s="2"/>
      <c r="Z51" s="7">
        <f t="shared" si="44"/>
        <v>0.17741935483870969</v>
      </c>
    </row>
    <row r="52" spans="1:26" s="25" customFormat="1" outlineLevel="1" collapsed="1" x14ac:dyDescent="0.25">
      <c r="A52" s="26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0</v>
      </c>
      <c r="I52" s="1"/>
      <c r="J52" s="5">
        <f t="shared" si="38"/>
        <v>0</v>
      </c>
      <c r="K52" s="1"/>
      <c r="L52" s="1">
        <f t="shared" si="39"/>
        <v>0</v>
      </c>
      <c r="M52" s="1"/>
      <c r="N52" s="5">
        <f t="shared" si="40"/>
        <v>0</v>
      </c>
      <c r="O52" s="13"/>
      <c r="P52" s="1">
        <f>SUM(OSRRefP22_8x_0)</f>
        <v>8.25</v>
      </c>
      <c r="Q52" s="1"/>
      <c r="R52" s="5">
        <f t="shared" si="41"/>
        <v>7.7189676751808245E-6</v>
      </c>
      <c r="S52" s="1"/>
      <c r="T52" s="1">
        <f>SUM(OSRRefT22_8x_0)</f>
        <v>402.64</v>
      </c>
      <c r="U52" s="1"/>
      <c r="V52" s="5">
        <f t="shared" si="42"/>
        <v>2.893337810159917E-4</v>
      </c>
      <c r="W52" s="1"/>
      <c r="X52" s="1">
        <f t="shared" si="43"/>
        <v>-394.39</v>
      </c>
      <c r="Y52" s="1"/>
      <c r="Z52" s="5">
        <f t="shared" si="44"/>
        <v>-0.97951023246572622</v>
      </c>
    </row>
    <row r="53" spans="1:26" s="24" customFormat="1" hidden="1" outlineLevel="2" x14ac:dyDescent="0.25">
      <c r="A53" s="27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37"/>
        <v>0</v>
      </c>
      <c r="G53" s="2"/>
      <c r="H53" s="6"/>
      <c r="I53" s="2"/>
      <c r="J53" s="7">
        <f t="shared" si="38"/>
        <v>0</v>
      </c>
      <c r="K53" s="2"/>
      <c r="L53" s="6">
        <f t="shared" si="39"/>
        <v>0</v>
      </c>
      <c r="M53" s="2"/>
      <c r="N53" s="7">
        <f t="shared" si="40"/>
        <v>0</v>
      </c>
      <c r="O53" s="11"/>
      <c r="P53" s="6">
        <v>8.25</v>
      </c>
      <c r="Q53" s="2"/>
      <c r="R53" s="7">
        <f t="shared" si="41"/>
        <v>7.7189676751808245E-6</v>
      </c>
      <c r="S53" s="2"/>
      <c r="T53" s="6">
        <v>402.64</v>
      </c>
      <c r="U53" s="2"/>
      <c r="V53" s="7">
        <f t="shared" si="42"/>
        <v>2.893337810159917E-4</v>
      </c>
      <c r="W53" s="2"/>
      <c r="X53" s="6">
        <f t="shared" si="43"/>
        <v>-394.39</v>
      </c>
      <c r="Y53" s="2"/>
      <c r="Z53" s="7">
        <f t="shared" si="44"/>
        <v>-0.97951023246572622</v>
      </c>
    </row>
    <row r="54" spans="1:26" s="25" customFormat="1" outlineLevel="1" collapsed="1" x14ac:dyDescent="0.25">
      <c r="A54" s="26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SUM(OSRRefD22_9x_0)</f>
        <v>263.72000000000003</v>
      </c>
      <c r="E54" s="1"/>
      <c r="F54" s="5">
        <f t="shared" si="37"/>
        <v>0</v>
      </c>
      <c r="G54" s="1"/>
      <c r="H54" s="1">
        <f>SUM(OSRRefH22_9x_0)</f>
        <v>0</v>
      </c>
      <c r="I54" s="1"/>
      <c r="J54" s="5">
        <f t="shared" si="38"/>
        <v>0</v>
      </c>
      <c r="K54" s="1"/>
      <c r="L54" s="1">
        <f t="shared" si="39"/>
        <v>263.72000000000003</v>
      </c>
      <c r="M54" s="1"/>
      <c r="N54" s="5">
        <f t="shared" si="40"/>
        <v>0</v>
      </c>
      <c r="O54" s="13"/>
      <c r="P54" s="1">
        <f>SUM(OSRRefP22_9x_0)</f>
        <v>6587.42</v>
      </c>
      <c r="Q54" s="1"/>
      <c r="R54" s="5">
        <f t="shared" si="41"/>
        <v>6.1634038839805663E-3</v>
      </c>
      <c r="S54" s="1"/>
      <c r="T54" s="1">
        <f>SUM(OSRRefT22_9x_0)</f>
        <v>50</v>
      </c>
      <c r="U54" s="1"/>
      <c r="V54" s="5">
        <f t="shared" si="42"/>
        <v>3.5929587350485761E-5</v>
      </c>
      <c r="W54" s="1"/>
      <c r="X54" s="1">
        <f t="shared" si="43"/>
        <v>6537.42</v>
      </c>
      <c r="Y54" s="1"/>
      <c r="Z54" s="5">
        <f t="shared" si="44"/>
        <v>130.7484</v>
      </c>
    </row>
    <row r="55" spans="1:26" s="24" customFormat="1" hidden="1" outlineLevel="2" x14ac:dyDescent="0.25">
      <c r="A55" s="27"/>
      <c r="B55" s="11" t="str">
        <f>CONCATENATE("          ", "6351", " - ", "EQUIPMENT RENTAL")</f>
        <v xml:space="preserve">          6351 - EQUIPMENT RENTAL</v>
      </c>
      <c r="C55" s="11"/>
      <c r="D55" s="6">
        <v>263.72000000000003</v>
      </c>
      <c r="E55" s="2"/>
      <c r="F55" s="7">
        <f t="shared" si="37"/>
        <v>0</v>
      </c>
      <c r="G55" s="2"/>
      <c r="H55" s="6"/>
      <c r="I55" s="2"/>
      <c r="J55" s="7">
        <f t="shared" si="38"/>
        <v>0</v>
      </c>
      <c r="K55" s="2"/>
      <c r="L55" s="6">
        <f t="shared" si="39"/>
        <v>263.72000000000003</v>
      </c>
      <c r="M55" s="2"/>
      <c r="N55" s="7">
        <f t="shared" si="40"/>
        <v>0</v>
      </c>
      <c r="O55" s="11"/>
      <c r="P55" s="6">
        <v>6587.42</v>
      </c>
      <c r="Q55" s="2"/>
      <c r="R55" s="7">
        <f t="shared" si="41"/>
        <v>6.1634038839805663E-3</v>
      </c>
      <c r="S55" s="2"/>
      <c r="T55" s="6">
        <v>50</v>
      </c>
      <c r="U55" s="2"/>
      <c r="V55" s="7">
        <f t="shared" si="42"/>
        <v>3.5929587350485761E-5</v>
      </c>
      <c r="W55" s="2"/>
      <c r="X55" s="6">
        <f t="shared" si="43"/>
        <v>6537.42</v>
      </c>
      <c r="Y55" s="2"/>
      <c r="Z55" s="7">
        <f t="shared" si="44"/>
        <v>130.7484</v>
      </c>
    </row>
    <row r="56" spans="1:26" s="25" customFormat="1" outlineLevel="1" collapsed="1" x14ac:dyDescent="0.25">
      <c r="A56" s="26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0</v>
      </c>
      <c r="E56" s="1"/>
      <c r="F56" s="5">
        <f t="shared" si="37"/>
        <v>0</v>
      </c>
      <c r="G56" s="1"/>
      <c r="H56" s="1">
        <f>SUM(OSRRefH22_10x_0)</f>
        <v>1700</v>
      </c>
      <c r="I56" s="1"/>
      <c r="J56" s="5">
        <f t="shared" si="38"/>
        <v>8.9532554221046501E-3</v>
      </c>
      <c r="K56" s="1"/>
      <c r="L56" s="1">
        <f t="shared" si="39"/>
        <v>-1700</v>
      </c>
      <c r="M56" s="1"/>
      <c r="N56" s="5">
        <f t="shared" si="40"/>
        <v>-1</v>
      </c>
      <c r="O56" s="13"/>
      <c r="P56" s="1">
        <f>SUM(OSRRefP22_10x_0)</f>
        <v>13442.380000000001</v>
      </c>
      <c r="Q56" s="1"/>
      <c r="R56" s="5">
        <f t="shared" si="41"/>
        <v>1.2577126872423907E-2</v>
      </c>
      <c r="S56" s="1"/>
      <c r="T56" s="1">
        <f>SUM(OSRRefT22_10x_0)</f>
        <v>13444.01</v>
      </c>
      <c r="U56" s="1"/>
      <c r="V56" s="5">
        <f t="shared" si="42"/>
        <v>9.6607546327160815E-3</v>
      </c>
      <c r="W56" s="1"/>
      <c r="X56" s="1">
        <f t="shared" si="43"/>
        <v>-1.6299999999991996</v>
      </c>
      <c r="Y56" s="1"/>
      <c r="Z56" s="5">
        <f t="shared" si="44"/>
        <v>-1.2124358729271993E-4</v>
      </c>
    </row>
    <row r="57" spans="1:26" s="24" customFormat="1" hidden="1" outlineLevel="2" x14ac:dyDescent="0.25">
      <c r="A57" s="27"/>
      <c r="B57" s="11" t="str">
        <f>CONCATENATE("          ", "6269", " - ", "ENTERTAINMENT")</f>
        <v xml:space="preserve">          6269 - ENTERTAINMENT</v>
      </c>
      <c r="C57" s="11"/>
      <c r="D57" s="6"/>
      <c r="E57" s="2"/>
      <c r="F57" s="7">
        <f t="shared" si="37"/>
        <v>0</v>
      </c>
      <c r="G57" s="2"/>
      <c r="H57" s="6">
        <v>1700</v>
      </c>
      <c r="I57" s="2"/>
      <c r="J57" s="7">
        <f t="shared" si="38"/>
        <v>8.9532554221046501E-3</v>
      </c>
      <c r="K57" s="2"/>
      <c r="L57" s="6">
        <f t="shared" si="39"/>
        <v>-1700</v>
      </c>
      <c r="M57" s="2"/>
      <c r="N57" s="7">
        <f t="shared" si="40"/>
        <v>-1</v>
      </c>
      <c r="O57" s="11"/>
      <c r="P57" s="6">
        <v>10050</v>
      </c>
      <c r="Q57" s="2"/>
      <c r="R57" s="7">
        <f t="shared" si="41"/>
        <v>9.4031060770384603E-3</v>
      </c>
      <c r="S57" s="2"/>
      <c r="T57" s="6">
        <v>10660</v>
      </c>
      <c r="U57" s="2"/>
      <c r="V57" s="7">
        <f t="shared" si="42"/>
        <v>7.6601880231235639E-3</v>
      </c>
      <c r="W57" s="2"/>
      <c r="X57" s="6">
        <f t="shared" si="43"/>
        <v>-610</v>
      </c>
      <c r="Y57" s="2"/>
      <c r="Z57" s="7">
        <f t="shared" si="44"/>
        <v>-5.7223264540337708E-2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3392.38</v>
      </c>
      <c r="Q58" s="2"/>
      <c r="R58" s="7">
        <f t="shared" si="41"/>
        <v>3.1740207953854459E-3</v>
      </c>
      <c r="S58" s="2"/>
      <c r="T58" s="6">
        <v>2784.01</v>
      </c>
      <c r="U58" s="2"/>
      <c r="V58" s="7">
        <f t="shared" si="42"/>
        <v>2.0005666095925172E-3</v>
      </c>
      <c r="W58" s="2"/>
      <c r="X58" s="6">
        <f t="shared" si="43"/>
        <v>608.36999999999989</v>
      </c>
      <c r="Y58" s="2"/>
      <c r="Z58" s="7">
        <f t="shared" si="44"/>
        <v>0.21852292197226297</v>
      </c>
    </row>
    <row r="59" spans="1:26" s="25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</v>
      </c>
      <c r="E59" s="1"/>
      <c r="F59" s="5">
        <f t="shared" ref="F59:F62" si="45">IF(D$12=0,0,D59/D$12)</f>
        <v>0</v>
      </c>
      <c r="G59" s="1"/>
      <c r="H59" s="1">
        <f>SUM(OSRRefH22_11x_0)</f>
        <v>1187.3</v>
      </c>
      <c r="I59" s="1"/>
      <c r="J59" s="5">
        <f t="shared" ref="J59:J62" si="46">IF(H$12=0,0,H59/H$12)</f>
        <v>6.2530589192146182E-3</v>
      </c>
      <c r="K59" s="1"/>
      <c r="L59" s="1">
        <f t="shared" ref="L59:L62" si="47">+D59-H59</f>
        <v>-1187.3</v>
      </c>
      <c r="M59" s="1"/>
      <c r="N59" s="5">
        <f t="shared" ref="N59:N62" si="48">IF(H59=0,0,L59/H59)</f>
        <v>-1</v>
      </c>
      <c r="O59" s="13"/>
      <c r="P59" s="1">
        <f>SUM(OSRRefP22_11x_0)</f>
        <v>17856.98</v>
      </c>
      <c r="Q59" s="1"/>
      <c r="R59" s="5">
        <f t="shared" ref="R59:R62" si="49">IF(P$12=0,0,P59/P$12)</f>
        <v>1.6707569866224303E-2</v>
      </c>
      <c r="S59" s="1"/>
      <c r="T59" s="1">
        <f>SUM(OSRRefT22_11x_0)</f>
        <v>19154.349999999999</v>
      </c>
      <c r="U59" s="1"/>
      <c r="V59" s="5">
        <f t="shared" ref="V59:V62" si="50">IF(T$12=0,0,T59/T$12)</f>
        <v>1.3764157829335537E-2</v>
      </c>
      <c r="W59" s="1"/>
      <c r="X59" s="1">
        <f t="shared" ref="X59:X62" si="51">+P59-T59</f>
        <v>-1297.369999999999</v>
      </c>
      <c r="Y59" s="1"/>
      <c r="Z59" s="5">
        <f t="shared" ref="Z59:Z62" si="52">IF(T59=0,0,X59/T59)</f>
        <v>-6.7732394991216041E-2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45"/>
        <v>0</v>
      </c>
      <c r="G60" s="2"/>
      <c r="H60" s="6"/>
      <c r="I60" s="2"/>
      <c r="J60" s="7">
        <f t="shared" si="46"/>
        <v>0</v>
      </c>
      <c r="K60" s="2"/>
      <c r="L60" s="6">
        <f t="shared" si="47"/>
        <v>0</v>
      </c>
      <c r="M60" s="2"/>
      <c r="N60" s="7">
        <f t="shared" si="48"/>
        <v>0</v>
      </c>
      <c r="O60" s="11"/>
      <c r="P60" s="6">
        <v>2623.85</v>
      </c>
      <c r="Q60" s="2"/>
      <c r="R60" s="7">
        <f t="shared" si="49"/>
        <v>2.454959192063419E-3</v>
      </c>
      <c r="S60" s="2"/>
      <c r="T60" s="6">
        <v>324.45</v>
      </c>
      <c r="U60" s="2"/>
      <c r="V60" s="7">
        <f t="shared" si="50"/>
        <v>2.3314709231730209E-4</v>
      </c>
      <c r="W60" s="2"/>
      <c r="X60" s="6">
        <f t="shared" si="51"/>
        <v>2299.4</v>
      </c>
      <c r="Y60" s="2"/>
      <c r="Z60" s="7">
        <f t="shared" si="52"/>
        <v>7.0870704268762523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45"/>
        <v>0</v>
      </c>
      <c r="G61" s="2"/>
      <c r="H61" s="6"/>
      <c r="I61" s="2"/>
      <c r="J61" s="7">
        <f t="shared" si="46"/>
        <v>0</v>
      </c>
      <c r="K61" s="2"/>
      <c r="L61" s="6">
        <f t="shared" si="47"/>
        <v>0</v>
      </c>
      <c r="M61" s="2"/>
      <c r="N61" s="7">
        <f t="shared" si="48"/>
        <v>0</v>
      </c>
      <c r="O61" s="11"/>
      <c r="P61" s="6">
        <v>1443.95</v>
      </c>
      <c r="Q61" s="2"/>
      <c r="R61" s="7">
        <f t="shared" si="49"/>
        <v>1.3510064696457397E-3</v>
      </c>
      <c r="S61" s="2"/>
      <c r="T61" s="6">
        <v>2114.6</v>
      </c>
      <c r="U61" s="2"/>
      <c r="V61" s="7">
        <f t="shared" si="50"/>
        <v>1.5195341082267437E-3</v>
      </c>
      <c r="W61" s="2"/>
      <c r="X61" s="6">
        <f t="shared" si="51"/>
        <v>-670.64999999999986</v>
      </c>
      <c r="Y61" s="2"/>
      <c r="Z61" s="7">
        <f t="shared" si="52"/>
        <v>-0.31715218008133922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45"/>
        <v>0</v>
      </c>
      <c r="G62" s="2"/>
      <c r="H62" s="6">
        <v>1187.3</v>
      </c>
      <c r="I62" s="2"/>
      <c r="J62" s="7">
        <f t="shared" si="46"/>
        <v>6.2530589192146182E-3</v>
      </c>
      <c r="K62" s="2"/>
      <c r="L62" s="6">
        <f t="shared" si="47"/>
        <v>-1187.3</v>
      </c>
      <c r="M62" s="2"/>
      <c r="N62" s="7">
        <f t="shared" si="48"/>
        <v>-1</v>
      </c>
      <c r="O62" s="11"/>
      <c r="P62" s="6">
        <v>13789.18</v>
      </c>
      <c r="Q62" s="2"/>
      <c r="R62" s="7">
        <f t="shared" si="49"/>
        <v>1.2901604204515143E-2</v>
      </c>
      <c r="S62" s="2"/>
      <c r="T62" s="6">
        <v>16715.3</v>
      </c>
      <c r="U62" s="2"/>
      <c r="V62" s="7">
        <f t="shared" si="50"/>
        <v>1.2011476628791491E-2</v>
      </c>
      <c r="W62" s="2"/>
      <c r="X62" s="6">
        <f t="shared" si="51"/>
        <v>-2926.119999999999</v>
      </c>
      <c r="Y62" s="2"/>
      <c r="Z62" s="7">
        <f t="shared" si="52"/>
        <v>-0.17505638546720664</v>
      </c>
    </row>
    <row r="63" spans="1:26" s="25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79.5</v>
      </c>
      <c r="E63" s="1"/>
      <c r="F63" s="5">
        <f t="shared" ref="F63:F66" si="53">IF(D$12=0,0,D63/D$12)</f>
        <v>0</v>
      </c>
      <c r="G63" s="1"/>
      <c r="H63" s="1">
        <f>SUM(OSRRefH22_12x_0)</f>
        <v>30</v>
      </c>
      <c r="I63" s="1"/>
      <c r="J63" s="5">
        <f t="shared" ref="J63:J66" si="54">IF(H$12=0,0,H63/H$12)</f>
        <v>1.579986250959644E-4</v>
      </c>
      <c r="K63" s="1"/>
      <c r="L63" s="1">
        <f t="shared" ref="L63:L66" si="55">+D63-H63</f>
        <v>49.5</v>
      </c>
      <c r="M63" s="1"/>
      <c r="N63" s="5">
        <f t="shared" ref="N63:N66" si="56">IF(H63=0,0,L63/H63)</f>
        <v>1.65</v>
      </c>
      <c r="O63" s="13"/>
      <c r="P63" s="1">
        <f>SUM(OSRRefP22_12x_0)</f>
        <v>3851.3999999999996</v>
      </c>
      <c r="Q63" s="1"/>
      <c r="R63" s="5">
        <f t="shared" ref="R63:R66" si="57">IF(P$12=0,0,P63/P$12)</f>
        <v>3.6034948005080518E-3</v>
      </c>
      <c r="S63" s="1"/>
      <c r="T63" s="1">
        <f>SUM(OSRRefT22_12x_0)</f>
        <v>2764.92</v>
      </c>
      <c r="U63" s="1"/>
      <c r="V63" s="5">
        <f t="shared" ref="V63:V66" si="58">IF(T$12=0,0,T63/T$12)</f>
        <v>1.9868486931421017E-3</v>
      </c>
      <c r="W63" s="1"/>
      <c r="X63" s="1">
        <f t="shared" ref="X63:X66" si="59">+P63-T63</f>
        <v>1086.4799999999996</v>
      </c>
      <c r="Y63" s="1"/>
      <c r="Z63" s="5">
        <f t="shared" ref="Z63:Z66" si="60">IF(T63=0,0,X63/T63)</f>
        <v>0.39295169480491282</v>
      </c>
    </row>
    <row r="64" spans="1:26" s="24" customFormat="1" hidden="1" outlineLevel="2" x14ac:dyDescent="0.25">
      <c r="A64" s="27"/>
      <c r="B64" s="11" t="str">
        <f>CONCATENATE("          ", "6283", " - ", "PLANT SERVICE")</f>
        <v xml:space="preserve">          6283 - PLANT SERVICE</v>
      </c>
      <c r="C64" s="11"/>
      <c r="D64" s="6">
        <v>79.5</v>
      </c>
      <c r="E64" s="2"/>
      <c r="F64" s="7">
        <f t="shared" si="53"/>
        <v>0</v>
      </c>
      <c r="G64" s="2"/>
      <c r="H64" s="6">
        <v>30</v>
      </c>
      <c r="I64" s="2"/>
      <c r="J64" s="7">
        <f t="shared" si="54"/>
        <v>1.579986250959644E-4</v>
      </c>
      <c r="K64" s="2"/>
      <c r="L64" s="6">
        <f t="shared" si="55"/>
        <v>49.5</v>
      </c>
      <c r="M64" s="2"/>
      <c r="N64" s="7">
        <f t="shared" si="56"/>
        <v>1.65</v>
      </c>
      <c r="O64" s="11"/>
      <c r="P64" s="6">
        <v>357.75</v>
      </c>
      <c r="Q64" s="2"/>
      <c r="R64" s="7">
        <f t="shared" si="57"/>
        <v>3.3472250736920489E-4</v>
      </c>
      <c r="S64" s="2"/>
      <c r="T64" s="6">
        <v>300</v>
      </c>
      <c r="U64" s="2"/>
      <c r="V64" s="7">
        <f t="shared" si="58"/>
        <v>2.1557752410291455E-4</v>
      </c>
      <c r="W64" s="2"/>
      <c r="X64" s="6">
        <f t="shared" si="59"/>
        <v>57.75</v>
      </c>
      <c r="Y64" s="2"/>
      <c r="Z64" s="7">
        <f t="shared" si="60"/>
        <v>0.1925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53"/>
        <v>0</v>
      </c>
      <c r="G65" s="2"/>
      <c r="H65" s="6"/>
      <c r="I65" s="2"/>
      <c r="J65" s="7">
        <f t="shared" si="54"/>
        <v>0</v>
      </c>
      <c r="K65" s="2"/>
      <c r="L65" s="6">
        <f t="shared" si="55"/>
        <v>0</v>
      </c>
      <c r="M65" s="2"/>
      <c r="N65" s="7">
        <f t="shared" si="56"/>
        <v>0</v>
      </c>
      <c r="O65" s="11"/>
      <c r="P65" s="6">
        <v>1876.6</v>
      </c>
      <c r="Q65" s="2"/>
      <c r="R65" s="7">
        <f t="shared" si="57"/>
        <v>1.7558078471811315E-3</v>
      </c>
      <c r="S65" s="2"/>
      <c r="T65" s="6">
        <v>584</v>
      </c>
      <c r="U65" s="2"/>
      <c r="V65" s="7">
        <f t="shared" si="58"/>
        <v>4.1965758025367365E-4</v>
      </c>
      <c r="W65" s="2"/>
      <c r="X65" s="6">
        <f t="shared" si="59"/>
        <v>1292.5999999999999</v>
      </c>
      <c r="Y65" s="2"/>
      <c r="Z65" s="7">
        <f t="shared" si="60"/>
        <v>2.2133561643835615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53"/>
        <v>0</v>
      </c>
      <c r="G66" s="2"/>
      <c r="H66" s="6"/>
      <c r="I66" s="2"/>
      <c r="J66" s="7">
        <f t="shared" si="54"/>
        <v>0</v>
      </c>
      <c r="K66" s="2"/>
      <c r="L66" s="6">
        <f t="shared" si="55"/>
        <v>0</v>
      </c>
      <c r="M66" s="2"/>
      <c r="N66" s="7">
        <f t="shared" si="56"/>
        <v>0</v>
      </c>
      <c r="O66" s="11"/>
      <c r="P66" s="6">
        <v>1617.05</v>
      </c>
      <c r="Q66" s="2"/>
      <c r="R66" s="7">
        <f t="shared" si="57"/>
        <v>1.5129644459577155E-3</v>
      </c>
      <c r="S66" s="2"/>
      <c r="T66" s="6">
        <v>1880.92</v>
      </c>
      <c r="U66" s="2"/>
      <c r="V66" s="7">
        <f t="shared" si="58"/>
        <v>1.3516135887855136E-3</v>
      </c>
      <c r="W66" s="2"/>
      <c r="X66" s="6">
        <f t="shared" si="59"/>
        <v>-263.87000000000012</v>
      </c>
      <c r="Y66" s="2"/>
      <c r="Z66" s="7">
        <f t="shared" si="60"/>
        <v>-0.14028773153563157</v>
      </c>
    </row>
    <row r="67" spans="1:26" s="25" customFormat="1" outlineLevel="1" collapsed="1" x14ac:dyDescent="0.25">
      <c r="A67" s="26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4.25</v>
      </c>
      <c r="E67" s="1"/>
      <c r="F67" s="5">
        <f t="shared" ref="F67:F69" si="61">IF(D$12=0,0,D67/D$12)</f>
        <v>0</v>
      </c>
      <c r="G67" s="1"/>
      <c r="H67" s="1">
        <f>SUM(OSRRefH22_13x_0)</f>
        <v>196.71</v>
      </c>
      <c r="I67" s="1"/>
      <c r="J67" s="5">
        <f t="shared" ref="J67:J69" si="62">IF(H$12=0,0,H67/H$12)</f>
        <v>1.0359969847542386E-3</v>
      </c>
      <c r="K67" s="1"/>
      <c r="L67" s="1">
        <f t="shared" ref="L67:L69" si="63">+D67-H67</f>
        <v>-192.46</v>
      </c>
      <c r="M67" s="1"/>
      <c r="N67" s="5">
        <f t="shared" ref="N67:N69" si="64">IF(H67=0,0,L67/H67)</f>
        <v>-0.97839459102231707</v>
      </c>
      <c r="O67" s="13"/>
      <c r="P67" s="1">
        <f>SUM(OSRRefP22_13x_0)</f>
        <v>2642.69</v>
      </c>
      <c r="Q67" s="1"/>
      <c r="R67" s="5">
        <f t="shared" ref="R67:R69" si="65">IF(P$12=0,0,P67/P$12)</f>
        <v>2.4725865073361958E-3</v>
      </c>
      <c r="S67" s="1"/>
      <c r="T67" s="1">
        <f>SUM(OSRRefT22_13x_0)</f>
        <v>1528.77</v>
      </c>
      <c r="U67" s="1"/>
      <c r="V67" s="5">
        <f t="shared" ref="V67:V69" si="66">IF(T$12=0,0,T67/T$12)</f>
        <v>1.0985615050760423E-3</v>
      </c>
      <c r="W67" s="1"/>
      <c r="X67" s="1">
        <f t="shared" ref="X67:X69" si="67">+P67-T67</f>
        <v>1113.92</v>
      </c>
      <c r="Y67" s="1"/>
      <c r="Z67" s="5">
        <f t="shared" ref="Z67:Z69" si="68">IF(T67=0,0,X67/T67)</f>
        <v>0.72863805543018245</v>
      </c>
    </row>
    <row r="68" spans="1:26" s="24" customFormat="1" hidden="1" outlineLevel="2" x14ac:dyDescent="0.25">
      <c r="A68" s="27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61"/>
        <v>0</v>
      </c>
      <c r="G68" s="2"/>
      <c r="H68" s="6"/>
      <c r="I68" s="2"/>
      <c r="J68" s="7">
        <f t="shared" si="62"/>
        <v>0</v>
      </c>
      <c r="K68" s="2"/>
      <c r="L68" s="6">
        <f t="shared" si="63"/>
        <v>0</v>
      </c>
      <c r="M68" s="2"/>
      <c r="N68" s="7">
        <f t="shared" si="64"/>
        <v>0</v>
      </c>
      <c r="O68" s="11"/>
      <c r="P68" s="6">
        <v>978</v>
      </c>
      <c r="Q68" s="2"/>
      <c r="R68" s="7">
        <f t="shared" si="65"/>
        <v>9.1504853167598146E-4</v>
      </c>
      <c r="S68" s="2"/>
      <c r="T68" s="6"/>
      <c r="U68" s="2"/>
      <c r="V68" s="7">
        <f t="shared" si="66"/>
        <v>0</v>
      </c>
      <c r="W68" s="2"/>
      <c r="X68" s="6">
        <f t="shared" si="67"/>
        <v>978</v>
      </c>
      <c r="Y68" s="2"/>
      <c r="Z68" s="7">
        <f t="shared" si="68"/>
        <v>0</v>
      </c>
    </row>
    <row r="69" spans="1:26" s="24" customFormat="1" hidden="1" outlineLevel="2" x14ac:dyDescent="0.25">
      <c r="A69" s="27"/>
      <c r="B69" s="11" t="str">
        <f>CONCATENATE("          ", "6275", " - ", "SUBSCRIPTIONS")</f>
        <v xml:space="preserve">          6275 - SUBSCRIPTIONS</v>
      </c>
      <c r="C69" s="11"/>
      <c r="D69" s="6">
        <v>4.25</v>
      </c>
      <c r="E69" s="2"/>
      <c r="F69" s="7">
        <f t="shared" si="61"/>
        <v>0</v>
      </c>
      <c r="G69" s="2"/>
      <c r="H69" s="6">
        <v>196.71</v>
      </c>
      <c r="I69" s="2"/>
      <c r="J69" s="7">
        <f t="shared" si="62"/>
        <v>1.0359969847542386E-3</v>
      </c>
      <c r="K69" s="2"/>
      <c r="L69" s="6">
        <f t="shared" si="63"/>
        <v>-192.46</v>
      </c>
      <c r="M69" s="2"/>
      <c r="N69" s="7">
        <f t="shared" si="64"/>
        <v>-0.97839459102231707</v>
      </c>
      <c r="O69" s="11"/>
      <c r="P69" s="6">
        <v>1664.69</v>
      </c>
      <c r="Q69" s="2"/>
      <c r="R69" s="7">
        <f t="shared" si="65"/>
        <v>1.5575379756602144E-3</v>
      </c>
      <c r="S69" s="2"/>
      <c r="T69" s="6">
        <v>1528.77</v>
      </c>
      <c r="U69" s="2"/>
      <c r="V69" s="7">
        <f t="shared" si="66"/>
        <v>1.0985615050760423E-3</v>
      </c>
      <c r="W69" s="2"/>
      <c r="X69" s="6">
        <f t="shared" si="67"/>
        <v>135.92000000000007</v>
      </c>
      <c r="Y69" s="2"/>
      <c r="Z69" s="7">
        <f t="shared" si="68"/>
        <v>8.8908076427454796E-2</v>
      </c>
    </row>
    <row r="70" spans="1:26" s="25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0</v>
      </c>
      <c r="E70" s="1"/>
      <c r="F70" s="5">
        <f t="shared" ref="F70:F78" si="69">IF(D$12=0,0,D70/D$12)</f>
        <v>0</v>
      </c>
      <c r="G70" s="1"/>
      <c r="H70" s="1">
        <f>SUM(OSRRefH22_14x_0)</f>
        <v>838.36</v>
      </c>
      <c r="I70" s="1"/>
      <c r="J70" s="5">
        <f t="shared" ref="J70:J78" si="70">IF(H$12=0,0,H70/H$12)</f>
        <v>4.4153242445150905E-3</v>
      </c>
      <c r="K70" s="1"/>
      <c r="L70" s="1">
        <f t="shared" ref="L70:L78" si="71">+D70-H70</f>
        <v>-838.36</v>
      </c>
      <c r="M70" s="1"/>
      <c r="N70" s="5">
        <f t="shared" ref="N70:N78" si="72">IF(H70=0,0,L70/H70)</f>
        <v>-1</v>
      </c>
      <c r="O70" s="13"/>
      <c r="P70" s="1">
        <f>SUM(OSRRefP22_14x_0)</f>
        <v>8790.9</v>
      </c>
      <c r="Q70" s="1"/>
      <c r="R70" s="5">
        <f t="shared" ref="R70:R78" si="73">IF(P$12=0,0,P70/P$12)</f>
        <v>8.2250512649390435E-3</v>
      </c>
      <c r="S70" s="1"/>
      <c r="T70" s="1">
        <f>SUM(OSRRefT22_14x_0)</f>
        <v>13340.43</v>
      </c>
      <c r="U70" s="1"/>
      <c r="V70" s="5">
        <f t="shared" ref="V70:V78" si="74">IF(T$12=0,0,T70/T$12)</f>
        <v>9.5863228995608143E-3</v>
      </c>
      <c r="W70" s="1"/>
      <c r="X70" s="1">
        <f t="shared" ref="X70:X78" si="75">+P70-T70</f>
        <v>-4549.5300000000007</v>
      </c>
      <c r="Y70" s="1"/>
      <c r="Z70" s="5">
        <f t="shared" ref="Z70:Z78" si="76">IF(T70=0,0,X70/T70)</f>
        <v>-0.34103323506063904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69"/>
        <v>0</v>
      </c>
      <c r="G71" s="2"/>
      <c r="H71" s="6">
        <v>14.99</v>
      </c>
      <c r="I71" s="2"/>
      <c r="J71" s="7">
        <f t="shared" si="70"/>
        <v>7.8946646339616877E-5</v>
      </c>
      <c r="K71" s="2"/>
      <c r="L71" s="6">
        <f t="shared" si="71"/>
        <v>-14.99</v>
      </c>
      <c r="M71" s="2"/>
      <c r="N71" s="7">
        <f t="shared" si="72"/>
        <v>-1</v>
      </c>
      <c r="O71" s="11"/>
      <c r="P71" s="6">
        <v>333.92</v>
      </c>
      <c r="Q71" s="2"/>
      <c r="R71" s="7">
        <f t="shared" si="73"/>
        <v>3.1242638619350077E-4</v>
      </c>
      <c r="S71" s="2"/>
      <c r="T71" s="6">
        <v>14.99</v>
      </c>
      <c r="U71" s="2"/>
      <c r="V71" s="7">
        <f t="shared" si="74"/>
        <v>1.0771690287675631E-5</v>
      </c>
      <c r="W71" s="2"/>
      <c r="X71" s="6">
        <f t="shared" si="75"/>
        <v>318.93</v>
      </c>
      <c r="Y71" s="2"/>
      <c r="Z71" s="7">
        <f t="shared" si="76"/>
        <v>21.2761841227485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69"/>
        <v>0</v>
      </c>
      <c r="G72" s="2"/>
      <c r="H72" s="6"/>
      <c r="I72" s="2"/>
      <c r="J72" s="7">
        <f t="shared" si="70"/>
        <v>0</v>
      </c>
      <c r="K72" s="2"/>
      <c r="L72" s="6">
        <f t="shared" si="71"/>
        <v>0</v>
      </c>
      <c r="M72" s="2"/>
      <c r="N72" s="7">
        <f t="shared" si="72"/>
        <v>0</v>
      </c>
      <c r="O72" s="11"/>
      <c r="P72" s="6">
        <v>17.62</v>
      </c>
      <c r="Q72" s="2"/>
      <c r="R72" s="7">
        <f t="shared" si="73"/>
        <v>1.6485843689295292E-5</v>
      </c>
      <c r="S72" s="2"/>
      <c r="T72" s="6">
        <v>2578.09</v>
      </c>
      <c r="U72" s="2"/>
      <c r="V72" s="7">
        <f t="shared" si="74"/>
        <v>1.8525941970482767E-3</v>
      </c>
      <c r="W72" s="2"/>
      <c r="X72" s="6">
        <f t="shared" si="75"/>
        <v>-2560.4700000000003</v>
      </c>
      <c r="Y72" s="2"/>
      <c r="Z72" s="7">
        <f t="shared" si="76"/>
        <v>-0.99316548297382956</v>
      </c>
    </row>
    <row r="73" spans="1:26" s="24" customFormat="1" hidden="1" outlineLevel="2" x14ac:dyDescent="0.25">
      <c r="A73" s="27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69"/>
        <v>0</v>
      </c>
      <c r="G73" s="2"/>
      <c r="H73" s="6">
        <v>53.31</v>
      </c>
      <c r="I73" s="2"/>
      <c r="J73" s="7">
        <f t="shared" si="70"/>
        <v>2.8076355679552875E-4</v>
      </c>
      <c r="K73" s="2"/>
      <c r="L73" s="6">
        <f t="shared" si="71"/>
        <v>-53.31</v>
      </c>
      <c r="M73" s="2"/>
      <c r="N73" s="7">
        <f t="shared" si="72"/>
        <v>-1</v>
      </c>
      <c r="O73" s="11"/>
      <c r="P73" s="6">
        <v>788.08</v>
      </c>
      <c r="Q73" s="2"/>
      <c r="R73" s="7">
        <f t="shared" si="73"/>
        <v>7.3735321763109148E-4</v>
      </c>
      <c r="S73" s="2"/>
      <c r="T73" s="6">
        <v>914.44</v>
      </c>
      <c r="U73" s="2"/>
      <c r="V73" s="7">
        <f t="shared" si="74"/>
        <v>6.5710903713556395E-4</v>
      </c>
      <c r="W73" s="2"/>
      <c r="X73" s="6">
        <f t="shared" si="75"/>
        <v>-126.36000000000001</v>
      </c>
      <c r="Y73" s="2"/>
      <c r="Z73" s="7">
        <f t="shared" si="76"/>
        <v>-0.13818293163028739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69"/>
        <v>0</v>
      </c>
      <c r="G74" s="2"/>
      <c r="H74" s="6">
        <v>266.47000000000003</v>
      </c>
      <c r="I74" s="2"/>
      <c r="J74" s="7">
        <f t="shared" si="70"/>
        <v>1.4033964543107213E-3</v>
      </c>
      <c r="K74" s="2"/>
      <c r="L74" s="6">
        <f t="shared" si="71"/>
        <v>-266.47000000000003</v>
      </c>
      <c r="M74" s="2"/>
      <c r="N74" s="7">
        <f t="shared" si="72"/>
        <v>-1</v>
      </c>
      <c r="O74" s="11"/>
      <c r="P74" s="6">
        <v>1698.1</v>
      </c>
      <c r="Q74" s="2"/>
      <c r="R74" s="7">
        <f t="shared" si="73"/>
        <v>1.5887974556635829E-3</v>
      </c>
      <c r="S74" s="2"/>
      <c r="T74" s="6">
        <v>1273.1600000000001</v>
      </c>
      <c r="U74" s="2"/>
      <c r="V74" s="7">
        <f t="shared" si="74"/>
        <v>9.1488226862288901E-4</v>
      </c>
      <c r="W74" s="2"/>
      <c r="X74" s="6">
        <f t="shared" si="75"/>
        <v>424.93999999999983</v>
      </c>
      <c r="Y74" s="2"/>
      <c r="Z74" s="7">
        <f t="shared" si="76"/>
        <v>0.33376794746928884</v>
      </c>
    </row>
    <row r="75" spans="1:26" s="24" customFormat="1" hidden="1" outlineLevel="2" x14ac:dyDescent="0.25">
      <c r="A75" s="27"/>
      <c r="B75" s="11" t="str">
        <f>CONCATENATE("          ", "6243", " - ", "PAPER SUPPLIES")</f>
        <v xml:space="preserve">          6243 - PAPER SUPPLIES</v>
      </c>
      <c r="C75" s="11"/>
      <c r="D75" s="6"/>
      <c r="E75" s="2"/>
      <c r="F75" s="7">
        <f t="shared" si="69"/>
        <v>0</v>
      </c>
      <c r="G75" s="2"/>
      <c r="H75" s="6">
        <v>503.59</v>
      </c>
      <c r="I75" s="2"/>
      <c r="J75" s="7">
        <f t="shared" si="70"/>
        <v>2.6522175870692236E-3</v>
      </c>
      <c r="K75" s="2"/>
      <c r="L75" s="6">
        <f t="shared" si="71"/>
        <v>-503.59</v>
      </c>
      <c r="M75" s="2"/>
      <c r="N75" s="7">
        <f t="shared" si="72"/>
        <v>-1</v>
      </c>
      <c r="O75" s="11"/>
      <c r="P75" s="6">
        <v>3574.75</v>
      </c>
      <c r="Q75" s="2"/>
      <c r="R75" s="7">
        <f t="shared" si="73"/>
        <v>3.3446520844669886E-3</v>
      </c>
      <c r="S75" s="2"/>
      <c r="T75" s="6">
        <v>5903.83</v>
      </c>
      <c r="U75" s="2"/>
      <c r="V75" s="7">
        <f t="shared" si="74"/>
        <v>4.242443513748367E-3</v>
      </c>
      <c r="W75" s="2"/>
      <c r="X75" s="6">
        <f t="shared" si="75"/>
        <v>-2329.08</v>
      </c>
      <c r="Y75" s="2"/>
      <c r="Z75" s="7">
        <f t="shared" si="76"/>
        <v>-0.39450322925965009</v>
      </c>
    </row>
    <row r="76" spans="1:26" s="24" customFormat="1" hidden="1" outlineLevel="2" x14ac:dyDescent="0.25">
      <c r="A76" s="27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69"/>
        <v>0</v>
      </c>
      <c r="G76" s="2"/>
      <c r="H76" s="6"/>
      <c r="I76" s="2"/>
      <c r="J76" s="7">
        <f t="shared" si="70"/>
        <v>0</v>
      </c>
      <c r="K76" s="2"/>
      <c r="L76" s="6">
        <f t="shared" si="71"/>
        <v>0</v>
      </c>
      <c r="M76" s="2"/>
      <c r="N76" s="7">
        <f t="shared" si="72"/>
        <v>0</v>
      </c>
      <c r="O76" s="11"/>
      <c r="P76" s="6">
        <v>22.05</v>
      </c>
      <c r="Q76" s="2"/>
      <c r="R76" s="7">
        <f t="shared" si="73"/>
        <v>2.0630695422756023E-5</v>
      </c>
      <c r="S76" s="2"/>
      <c r="T76" s="6"/>
      <c r="U76" s="2"/>
      <c r="V76" s="7">
        <f t="shared" si="74"/>
        <v>0</v>
      </c>
      <c r="W76" s="2"/>
      <c r="X76" s="6">
        <f t="shared" si="75"/>
        <v>22.05</v>
      </c>
      <c r="Y76" s="2"/>
      <c r="Z76" s="7">
        <f t="shared" si="76"/>
        <v>0</v>
      </c>
    </row>
    <row r="77" spans="1:26" s="24" customFormat="1" hidden="1" outlineLevel="2" x14ac:dyDescent="0.25">
      <c r="A77" s="27"/>
      <c r="B77" s="11" t="str">
        <f>CONCATENATE("          ", "6247", " - ", "STORE SUPPLIES")</f>
        <v xml:space="preserve">          6247 - STORE SUPPLIES</v>
      </c>
      <c r="C77" s="11"/>
      <c r="D77" s="6"/>
      <c r="E77" s="2"/>
      <c r="F77" s="7">
        <f t="shared" si="69"/>
        <v>0</v>
      </c>
      <c r="G77" s="2"/>
      <c r="H77" s="6"/>
      <c r="I77" s="2"/>
      <c r="J77" s="7">
        <f t="shared" si="70"/>
        <v>0</v>
      </c>
      <c r="K77" s="2"/>
      <c r="L77" s="6">
        <f t="shared" si="71"/>
        <v>0</v>
      </c>
      <c r="M77" s="2"/>
      <c r="N77" s="7">
        <f t="shared" si="72"/>
        <v>0</v>
      </c>
      <c r="O77" s="11"/>
      <c r="P77" s="6">
        <v>1534.61</v>
      </c>
      <c r="Q77" s="2"/>
      <c r="R77" s="7">
        <f t="shared" si="73"/>
        <v>1.4358309071526357E-3</v>
      </c>
      <c r="S77" s="2"/>
      <c r="T77" s="6">
        <v>1201.3</v>
      </c>
      <c r="U77" s="2"/>
      <c r="V77" s="7">
        <f t="shared" si="74"/>
        <v>8.632442656827708E-4</v>
      </c>
      <c r="W77" s="2"/>
      <c r="X77" s="6">
        <f t="shared" si="75"/>
        <v>333.30999999999995</v>
      </c>
      <c r="Y77" s="2"/>
      <c r="Z77" s="7">
        <f t="shared" si="76"/>
        <v>0.27745775409972528</v>
      </c>
    </row>
    <row r="78" spans="1:26" s="24" customFormat="1" hidden="1" outlineLevel="2" x14ac:dyDescent="0.25">
      <c r="A78" s="27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69"/>
        <v>0</v>
      </c>
      <c r="G78" s="2"/>
      <c r="H78" s="6"/>
      <c r="I78" s="2"/>
      <c r="J78" s="7">
        <f t="shared" si="70"/>
        <v>0</v>
      </c>
      <c r="K78" s="2"/>
      <c r="L78" s="6">
        <f t="shared" si="71"/>
        <v>0</v>
      </c>
      <c r="M78" s="2"/>
      <c r="N78" s="7">
        <f t="shared" si="72"/>
        <v>0</v>
      </c>
      <c r="O78" s="11"/>
      <c r="P78" s="6">
        <v>821.77</v>
      </c>
      <c r="Q78" s="2"/>
      <c r="R78" s="7">
        <f t="shared" si="73"/>
        <v>7.6887467471919351E-4</v>
      </c>
      <c r="S78" s="2"/>
      <c r="T78" s="6">
        <v>1454.62</v>
      </c>
      <c r="U78" s="2"/>
      <c r="V78" s="7">
        <f t="shared" si="74"/>
        <v>1.0452779270352717E-3</v>
      </c>
      <c r="W78" s="2"/>
      <c r="X78" s="6">
        <f t="shared" si="75"/>
        <v>-632.84999999999991</v>
      </c>
      <c r="Y78" s="2"/>
      <c r="Z78" s="7">
        <f t="shared" si="76"/>
        <v>-0.43506207806849895</v>
      </c>
    </row>
    <row r="79" spans="1:26" s="25" customFormat="1" outlineLevel="1" collapsed="1" x14ac:dyDescent="0.25">
      <c r="A79" s="26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SUM(OSRRefD22_15x_0)</f>
        <v>106.15</v>
      </c>
      <c r="E79" s="1"/>
      <c r="F79" s="5">
        <f t="shared" ref="F79:F82" si="77">IF(D$12=0,0,D79/D$12)</f>
        <v>0</v>
      </c>
      <c r="G79" s="1"/>
      <c r="H79" s="1">
        <f>SUM(OSRRefH22_15x_0)</f>
        <v>156.9</v>
      </c>
      <c r="I79" s="1"/>
      <c r="J79" s="5">
        <f t="shared" ref="J79:J82" si="78">IF(H$12=0,0,H79/H$12)</f>
        <v>8.2633280925189384E-4</v>
      </c>
      <c r="K79" s="1"/>
      <c r="L79" s="1">
        <f t="shared" ref="L79:L82" si="79">+D79-H79</f>
        <v>-50.75</v>
      </c>
      <c r="M79" s="1"/>
      <c r="N79" s="5">
        <f t="shared" ref="N79:N82" si="80">IF(H79=0,0,L79/H79)</f>
        <v>-0.32345442957297643</v>
      </c>
      <c r="O79" s="13"/>
      <c r="P79" s="1">
        <f>SUM(OSRRefP22_15x_0)</f>
        <v>1460.34</v>
      </c>
      <c r="Q79" s="1"/>
      <c r="R79" s="5">
        <f t="shared" ref="R79:R82" si="81">IF(P$12=0,0,P79/P$12)</f>
        <v>1.3663414854270988E-3</v>
      </c>
      <c r="S79" s="1"/>
      <c r="T79" s="1">
        <f>SUM(OSRRefT22_15x_0)</f>
        <v>1586.7</v>
      </c>
      <c r="U79" s="1"/>
      <c r="V79" s="5">
        <f t="shared" ref="V79:V82" si="82">IF(T$12=0,0,T79/T$12)</f>
        <v>1.1401895249803151E-3</v>
      </c>
      <c r="W79" s="1"/>
      <c r="X79" s="1">
        <f t="shared" ref="X79:X82" si="83">+P79-T79</f>
        <v>-126.36000000000013</v>
      </c>
      <c r="Y79" s="1"/>
      <c r="Z79" s="5">
        <f t="shared" ref="Z79:Z82" si="84">IF(T79=0,0,X79/T79)</f>
        <v>-7.9636982416335864E-2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6">
        <v>106.15</v>
      </c>
      <c r="E80" s="2"/>
      <c r="F80" s="7">
        <f t="shared" si="77"/>
        <v>0</v>
      </c>
      <c r="G80" s="2"/>
      <c r="H80" s="6">
        <v>156.9</v>
      </c>
      <c r="I80" s="2"/>
      <c r="J80" s="7">
        <f t="shared" si="78"/>
        <v>8.2633280925189384E-4</v>
      </c>
      <c r="K80" s="2"/>
      <c r="L80" s="6">
        <f t="shared" si="79"/>
        <v>-50.75</v>
      </c>
      <c r="M80" s="2"/>
      <c r="N80" s="7">
        <f t="shared" si="80"/>
        <v>-0.32345442957297643</v>
      </c>
      <c r="O80" s="11"/>
      <c r="P80" s="6">
        <v>1460.34</v>
      </c>
      <c r="Q80" s="2"/>
      <c r="R80" s="7">
        <f t="shared" si="81"/>
        <v>1.3663414854270988E-3</v>
      </c>
      <c r="S80" s="2"/>
      <c r="T80" s="6">
        <v>1586.7</v>
      </c>
      <c r="U80" s="2"/>
      <c r="V80" s="7">
        <f t="shared" si="82"/>
        <v>1.1401895249803151E-3</v>
      </c>
      <c r="W80" s="2"/>
      <c r="X80" s="6">
        <f t="shared" si="83"/>
        <v>-126.36000000000013</v>
      </c>
      <c r="Y80" s="2"/>
      <c r="Z80" s="7">
        <f t="shared" si="84"/>
        <v>-7.9636982416335864E-2</v>
      </c>
    </row>
    <row r="81" spans="1:26" s="25" customFormat="1" outlineLevel="1" collapsed="1" x14ac:dyDescent="0.25">
      <c r="A81" s="26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0</v>
      </c>
      <c r="E81" s="1"/>
      <c r="F81" s="5">
        <f t="shared" si="77"/>
        <v>0</v>
      </c>
      <c r="G81" s="1"/>
      <c r="H81" s="1">
        <f>SUM(OSRRefH22_16x_0)</f>
        <v>0</v>
      </c>
      <c r="I81" s="1"/>
      <c r="J81" s="5">
        <f t="shared" si="78"/>
        <v>0</v>
      </c>
      <c r="K81" s="1"/>
      <c r="L81" s="1">
        <f t="shared" si="79"/>
        <v>0</v>
      </c>
      <c r="M81" s="1"/>
      <c r="N81" s="5">
        <f t="shared" si="80"/>
        <v>0</v>
      </c>
      <c r="O81" s="13"/>
      <c r="P81" s="1">
        <f>SUM(OSRRefP22_16x_0)</f>
        <v>279.95</v>
      </c>
      <c r="Q81" s="1"/>
      <c r="R81" s="5">
        <f t="shared" si="81"/>
        <v>2.6193030311113597E-4</v>
      </c>
      <c r="S81" s="1"/>
      <c r="T81" s="1">
        <f>SUM(OSRRefT22_16x_0)</f>
        <v>140</v>
      </c>
      <c r="U81" s="1"/>
      <c r="V81" s="5">
        <f t="shared" si="82"/>
        <v>1.0060284458136013E-4</v>
      </c>
      <c r="W81" s="1"/>
      <c r="X81" s="1">
        <f t="shared" si="83"/>
        <v>139.94999999999999</v>
      </c>
      <c r="Y81" s="1"/>
      <c r="Z81" s="5">
        <f t="shared" si="84"/>
        <v>0.99964285714285706</v>
      </c>
    </row>
    <row r="82" spans="1:26" s="24" customFormat="1" hidden="1" outlineLevel="2" x14ac:dyDescent="0.25">
      <c r="A82" s="27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77"/>
        <v>0</v>
      </c>
      <c r="G82" s="2"/>
      <c r="H82" s="6"/>
      <c r="I82" s="2"/>
      <c r="J82" s="7">
        <f t="shared" si="78"/>
        <v>0</v>
      </c>
      <c r="K82" s="2"/>
      <c r="L82" s="6">
        <f t="shared" si="79"/>
        <v>0</v>
      </c>
      <c r="M82" s="2"/>
      <c r="N82" s="7">
        <f t="shared" si="80"/>
        <v>0</v>
      </c>
      <c r="O82" s="11"/>
      <c r="P82" s="6">
        <v>279.95</v>
      </c>
      <c r="Q82" s="2"/>
      <c r="R82" s="7">
        <f t="shared" si="81"/>
        <v>2.6193030311113597E-4</v>
      </c>
      <c r="S82" s="2"/>
      <c r="T82" s="6">
        <v>140</v>
      </c>
      <c r="U82" s="2"/>
      <c r="V82" s="7">
        <f t="shared" si="82"/>
        <v>1.0060284458136013E-4</v>
      </c>
      <c r="W82" s="2"/>
      <c r="X82" s="6">
        <f t="shared" si="83"/>
        <v>139.94999999999999</v>
      </c>
      <c r="Y82" s="2"/>
      <c r="Z82" s="7">
        <f t="shared" si="84"/>
        <v>0.99964285714285706</v>
      </c>
    </row>
    <row r="83" spans="1:26" s="53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25">
      <c r="A84" s="10"/>
      <c r="B84" s="29" t="s">
        <v>0</v>
      </c>
      <c r="C84" s="10"/>
      <c r="D84" s="4">
        <f>SUM(OSRRefD25x_0)</f>
        <v>0</v>
      </c>
      <c r="E84" s="4"/>
      <c r="F84" s="12">
        <f t="shared" ref="F84:F85" si="85">IF(D$12=0,0,D84/D$12)</f>
        <v>0</v>
      </c>
      <c r="G84" s="4"/>
      <c r="H84" s="4">
        <f>SUM(OSRRefH25x_0)</f>
        <v>1011.75</v>
      </c>
      <c r="I84" s="4"/>
      <c r="J84" s="12">
        <f t="shared" ref="J84:J85" si="86">IF(H$12=0,0,H84/H$12)</f>
        <v>5.3285036313613999E-3</v>
      </c>
      <c r="K84" s="4"/>
      <c r="L84" s="4">
        <f t="shared" ref="L84:L85" si="87">+D84-H84</f>
        <v>-1011.75</v>
      </c>
      <c r="M84" s="4"/>
      <c r="N84" s="12">
        <f t="shared" ref="N84:N85" si="88">IF(H84=0,0,L84/H84)</f>
        <v>-1</v>
      </c>
      <c r="O84" s="10"/>
      <c r="P84" s="4">
        <f>SUM(OSRRefP25x_0)</f>
        <v>0</v>
      </c>
      <c r="Q84" s="4"/>
      <c r="R84" s="12">
        <f t="shared" ref="R84:R85" si="89">IF(P$12=0,0,P84/P$12)</f>
        <v>0</v>
      </c>
      <c r="S84" s="4"/>
      <c r="T84" s="4">
        <f>SUM(OSRRefT25x_0)</f>
        <v>1269.75</v>
      </c>
      <c r="U84" s="4"/>
      <c r="V84" s="12">
        <f t="shared" ref="V84:V85" si="90">IF(T$12=0,0,T84/T$12)</f>
        <v>9.1243187076558584E-4</v>
      </c>
      <c r="W84" s="4"/>
      <c r="X84" s="4">
        <f t="shared" ref="X84:X85" si="91">+P84-T84</f>
        <v>-1269.75</v>
      </c>
      <c r="Y84" s="4"/>
      <c r="Z84" s="12">
        <f t="shared" ref="Z84:Z85" si="92">IF(T84=0,0,X84/T84)</f>
        <v>-1</v>
      </c>
    </row>
    <row r="85" spans="1:26" s="24" customFormat="1" hidden="1" outlineLevel="1" x14ac:dyDescent="0.25">
      <c r="A85" s="44"/>
      <c r="B85" s="11" t="str">
        <f>CONCATENATE("          ", "9150", " - ", "MISC. INCOME")</f>
        <v xml:space="preserve">          9150 - MISC. INCOME</v>
      </c>
      <c r="C85" s="11"/>
      <c r="D85" s="2">
        <f>0</f>
        <v>0</v>
      </c>
      <c r="E85" s="2"/>
      <c r="F85" s="19">
        <f t="shared" si="85"/>
        <v>0</v>
      </c>
      <c r="G85" s="2"/>
      <c r="H85" s="2">
        <f>--1011.75</f>
        <v>1011.75</v>
      </c>
      <c r="I85" s="2"/>
      <c r="J85" s="19">
        <f t="shared" si="86"/>
        <v>5.3285036313613999E-3</v>
      </c>
      <c r="K85" s="2"/>
      <c r="L85" s="2">
        <f t="shared" si="87"/>
        <v>-1011.75</v>
      </c>
      <c r="M85" s="2"/>
      <c r="N85" s="19">
        <f t="shared" si="88"/>
        <v>-1</v>
      </c>
      <c r="O85" s="11"/>
      <c r="P85" s="2">
        <f>0</f>
        <v>0</v>
      </c>
      <c r="Q85" s="2"/>
      <c r="R85" s="19">
        <f t="shared" si="89"/>
        <v>0</v>
      </c>
      <c r="S85" s="2"/>
      <c r="T85" s="2">
        <f>--1269.75</f>
        <v>1269.75</v>
      </c>
      <c r="U85" s="2"/>
      <c r="V85" s="19">
        <f t="shared" si="90"/>
        <v>9.1243187076558584E-4</v>
      </c>
      <c r="W85" s="2"/>
      <c r="X85" s="2">
        <f t="shared" si="91"/>
        <v>-1269.75</v>
      </c>
      <c r="Y85" s="2"/>
      <c r="Z85" s="19">
        <f t="shared" si="92"/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3</v>
      </c>
      <c r="C87" s="28"/>
      <c r="D87" s="21">
        <f>+D20-D22+D84</f>
        <v>-11868.49</v>
      </c>
      <c r="E87" s="14"/>
      <c r="F87" s="20">
        <f>IF(D$12=0,0,D87/D$12)</f>
        <v>0</v>
      </c>
      <c r="G87" s="14"/>
      <c r="H87" s="21">
        <f>+H20-H22+H84</f>
        <v>68833.550000000017</v>
      </c>
      <c r="I87" s="14"/>
      <c r="J87" s="20">
        <f>IF(H$12=0,0,H87/H$12)</f>
        <v>0.36252020868247747</v>
      </c>
      <c r="K87" s="15"/>
      <c r="L87" s="21">
        <f>+D87-H87</f>
        <v>-80702.040000000023</v>
      </c>
      <c r="M87" s="15"/>
      <c r="N87" s="20">
        <f>IF(H87=0,0,L87/H87)</f>
        <v>-1.1724230407991452</v>
      </c>
      <c r="O87" s="29"/>
      <c r="P87" s="21">
        <f>+P20-P22+P84</f>
        <v>130225.1100000001</v>
      </c>
      <c r="Q87" s="14"/>
      <c r="R87" s="20">
        <f>IF(P$12=0,0,P87/P$12)</f>
        <v>0.12184283813174157</v>
      </c>
      <c r="S87" s="14"/>
      <c r="T87" s="21">
        <f>+T20-T22+T84</f>
        <v>349000.08999999997</v>
      </c>
      <c r="U87" s="14"/>
      <c r="V87" s="20">
        <f>IF(T$12=0,0,T87/T$12)</f>
        <v>0.25078858437964779</v>
      </c>
      <c r="W87" s="15"/>
      <c r="X87" s="21">
        <f>+P87-T87</f>
        <v>-218774.97999999986</v>
      </c>
      <c r="Y87" s="15"/>
      <c r="Z87" s="20">
        <f>IF(T87=0,0,X87/T87)</f>
        <v>-0.62686224522177025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6830.05</v>
      </c>
      <c r="E89" s="4"/>
      <c r="F89" s="12">
        <f>IF(D$12=0,0,D89/D$12)</f>
        <v>0</v>
      </c>
      <c r="G89" s="4"/>
      <c r="H89" s="4">
        <v>20924.190000000002</v>
      </c>
      <c r="I89" s="4"/>
      <c r="J89" s="12">
        <f>IF(H$12=0,0,H89/H$12)</f>
        <v>0.11019977504155759</v>
      </c>
      <c r="K89" s="4"/>
      <c r="L89" s="4">
        <f>+D89-H89</f>
        <v>-14094.140000000003</v>
      </c>
      <c r="M89" s="4"/>
      <c r="N89" s="12">
        <f>IF(H89=0,0,L89/H89)</f>
        <v>-0.67358115176740418</v>
      </c>
      <c r="O89" s="10"/>
      <c r="P89" s="4">
        <v>121354.11000000002</v>
      </c>
      <c r="Q89" s="4"/>
      <c r="R89" s="12">
        <f>IF(P$12=0,0,P89/P$12)</f>
        <v>0.11354284270791978</v>
      </c>
      <c r="S89" s="4"/>
      <c r="T89" s="4">
        <v>144669.84</v>
      </c>
      <c r="U89" s="4"/>
      <c r="V89" s="12">
        <f>IF(T$12=0,0,T89/T$12)</f>
        <v>0.10395855306521597</v>
      </c>
      <c r="W89" s="4"/>
      <c r="X89" s="4">
        <f>+P89-T89</f>
        <v>-23315.729999999981</v>
      </c>
      <c r="Y89" s="4"/>
      <c r="Z89" s="12">
        <f>IF(T89=0,0,X89/T89)</f>
        <v>-0.16116510531842698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4</v>
      </c>
      <c r="C91" s="28"/>
      <c r="D91" s="30">
        <f>+D87-D89</f>
        <v>-18698.54</v>
      </c>
      <c r="E91" s="14"/>
      <c r="F91" s="36">
        <f>IF(D$12=0,0,D91/D$12)</f>
        <v>0</v>
      </c>
      <c r="G91" s="14"/>
      <c r="H91" s="30">
        <f>+H87-H89</f>
        <v>47909.360000000015</v>
      </c>
      <c r="I91" s="14"/>
      <c r="J91" s="36">
        <f>IF(H$12=0,0,H91/H$12)</f>
        <v>0.25232043364091988</v>
      </c>
      <c r="K91" s="15"/>
      <c r="L91" s="30">
        <f>D91-H91</f>
        <v>-66607.900000000023</v>
      </c>
      <c r="M91" s="15"/>
      <c r="N91" s="36">
        <f>IF(H91=0,0,L91/H91)</f>
        <v>-1.3902899141211655</v>
      </c>
      <c r="O91" s="29"/>
      <c r="P91" s="30">
        <f>+P87-P89</f>
        <v>8871.0000000000873</v>
      </c>
      <c r="Q91" s="14"/>
      <c r="R91" s="36">
        <f>IF(P$12=0,0,P91/P$12)</f>
        <v>8.2999954238217911E-3</v>
      </c>
      <c r="S91" s="14"/>
      <c r="T91" s="30">
        <f>+T87-T89</f>
        <v>204330.24999999997</v>
      </c>
      <c r="U91" s="14"/>
      <c r="V91" s="36">
        <f>IF(T$12=0,0,T91/T$12)</f>
        <v>0.14683003131443184</v>
      </c>
      <c r="W91" s="15"/>
      <c r="X91" s="30">
        <f>P91-T91</f>
        <v>-195459.24999999988</v>
      </c>
      <c r="Y91" s="15"/>
      <c r="Z91" s="36">
        <f>IF(T91=0,0,X91/T91)</f>
        <v>-0.95658498925146873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5</v>
      </c>
      <c r="C94" s="28"/>
      <c r="D94" s="31">
        <f>SUM(D91:D93)</f>
        <v>-18698.54</v>
      </c>
      <c r="E94" s="14"/>
      <c r="F94" s="32">
        <f>IF(D$12=0,0,D94/D$12)</f>
        <v>0</v>
      </c>
      <c r="G94" s="14"/>
      <c r="H94" s="31">
        <f>SUM(H91:H93)</f>
        <v>47909.360000000015</v>
      </c>
      <c r="I94" s="14"/>
      <c r="J94" s="32">
        <f>IF(H$12=0,0,H94/H$12)</f>
        <v>0.25232043364091988</v>
      </c>
      <c r="K94" s="15"/>
      <c r="L94" s="31">
        <f>+D94-H94</f>
        <v>-66607.900000000023</v>
      </c>
      <c r="M94" s="15"/>
      <c r="N94" s="32">
        <f>IF(H94=0,0,L94/H94)</f>
        <v>-1.3902899141211655</v>
      </c>
      <c r="O94" s="29"/>
      <c r="P94" s="31">
        <f>SUM(P91:P93)</f>
        <v>8871.0000000000873</v>
      </c>
      <c r="Q94" s="14"/>
      <c r="R94" s="32">
        <f>IF(P$12=0,0,P94/P$12)</f>
        <v>8.2999954238217911E-3</v>
      </c>
      <c r="S94" s="14"/>
      <c r="T94" s="31">
        <f>SUM(T91:T93)</f>
        <v>204330.24999999997</v>
      </c>
      <c r="U94" s="14"/>
      <c r="V94" s="32">
        <f>IF(T$12=0,0,T94/T$12)</f>
        <v>0.14683003131443184</v>
      </c>
      <c r="W94" s="15"/>
      <c r="X94" s="31">
        <f>+P94-T94</f>
        <v>-195459.24999999988</v>
      </c>
      <c r="Y94" s="15"/>
      <c r="Z94" s="32">
        <f>IF(T94=0,0,X94/T94)</f>
        <v>-0.95658498925146873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4">
        <v>43965.471377627313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9" t="s">
        <v>313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61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","423", " - ", "Contract Revenue")</f>
        <v>Department 423 - Contract Revenue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-729.38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-729.38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-729.38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-729.38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D12-D14</f>
        <v>0</v>
      </c>
      <c r="E17" s="14"/>
      <c r="F17" s="20">
        <f>IF(D$12=0,0,D17/D$12)</f>
        <v>0</v>
      </c>
      <c r="G17" s="14"/>
      <c r="H17" s="21">
        <f>H12-H14</f>
        <v>0</v>
      </c>
      <c r="I17" s="14"/>
      <c r="J17" s="20">
        <f>IF(H$12=0,0,H17/H$12)</f>
        <v>0</v>
      </c>
      <c r="K17" s="15"/>
      <c r="L17" s="21">
        <f>+D17-H17</f>
        <v>0</v>
      </c>
      <c r="M17" s="15"/>
      <c r="N17" s="20">
        <f>IF(H17=0,0,L17/H17)</f>
        <v>0</v>
      </c>
      <c r="O17" s="29"/>
      <c r="P17" s="21">
        <f>P12-P14</f>
        <v>729.38</v>
      </c>
      <c r="Q17" s="14"/>
      <c r="R17" s="20">
        <f>IF(P$12=0,0,P17/P$12)</f>
        <v>0</v>
      </c>
      <c r="S17" s="14"/>
      <c r="T17" s="21">
        <f>T12-T14</f>
        <v>0</v>
      </c>
      <c r="U17" s="14"/>
      <c r="V17" s="20">
        <f>IF(T$12=0,0,T17/T$12)</f>
        <v>0</v>
      </c>
      <c r="W17" s="15"/>
      <c r="X17" s="21">
        <f>+P17-T17</f>
        <v>729.38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2">
        <f>SUM(OSRRefD22x_0)</f>
        <v>18465.259999999995</v>
      </c>
      <c r="E19" s="22"/>
      <c r="F19" s="35">
        <f t="shared" ref="F19:F28" si="8">IF(D$12=0,0,D19/D$12)</f>
        <v>0</v>
      </c>
      <c r="G19" s="22"/>
      <c r="H19" s="22">
        <f>SUM(OSRRefH22x_0)</f>
        <v>6544.7100000000009</v>
      </c>
      <c r="I19" s="22"/>
      <c r="J19" s="35">
        <f t="shared" ref="J19:J28" si="9">IF(H$12=0,0,H19/H$12)</f>
        <v>0</v>
      </c>
      <c r="K19" s="4"/>
      <c r="L19" s="22">
        <f t="shared" ref="L19:L28" si="10">+D19-H19</f>
        <v>11920.549999999994</v>
      </c>
      <c r="M19" s="4"/>
      <c r="N19" s="35">
        <f t="shared" ref="N19:N28" si="11">IF(H19=0,0,L19/H19)</f>
        <v>1.8214023234031749</v>
      </c>
      <c r="O19" s="10"/>
      <c r="P19" s="22">
        <f>SUM(OSRRefP22x_0)</f>
        <v>136728.68999999997</v>
      </c>
      <c r="Q19" s="22"/>
      <c r="R19" s="35">
        <f t="shared" ref="R19:R28" si="12">IF(P$12=0,0,P19/P$12)</f>
        <v>0</v>
      </c>
      <c r="S19" s="22"/>
      <c r="T19" s="22">
        <f>SUM(OSRRefT22x_0)</f>
        <v>90062.319999999992</v>
      </c>
      <c r="U19" s="22"/>
      <c r="V19" s="35">
        <f t="shared" ref="V19:V28" si="13">IF(T$12=0,0,T19/T$12)</f>
        <v>0</v>
      </c>
      <c r="W19" s="4"/>
      <c r="X19" s="22">
        <f t="shared" ref="X19:X28" si="14">+P19-T19</f>
        <v>46666.369999999981</v>
      </c>
      <c r="Y19" s="4"/>
      <c r="Z19" s="35">
        <f t="shared" ref="Z19:Z28" si="15">IF(T19=0,0,X19/T19)</f>
        <v>0.51815642768252013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6718.41</v>
      </c>
      <c r="E20" s="1"/>
      <c r="F20" s="5">
        <f t="shared" si="8"/>
        <v>0</v>
      </c>
      <c r="G20" s="1"/>
      <c r="H20" s="1">
        <f>SUM(OSRRefH22_0x_0)</f>
        <v>2551.04</v>
      </c>
      <c r="I20" s="1"/>
      <c r="J20" s="5">
        <f t="shared" si="9"/>
        <v>0</v>
      </c>
      <c r="K20" s="1"/>
      <c r="L20" s="1">
        <f t="shared" si="10"/>
        <v>4167.37</v>
      </c>
      <c r="M20" s="1"/>
      <c r="N20" s="5">
        <f t="shared" si="11"/>
        <v>1.6335964939789263</v>
      </c>
      <c r="O20" s="13"/>
      <c r="P20" s="1">
        <f>SUM(OSRRefP22_0x_0)</f>
        <v>58737.34</v>
      </c>
      <c r="Q20" s="1"/>
      <c r="R20" s="5">
        <f t="shared" si="12"/>
        <v>0</v>
      </c>
      <c r="S20" s="1"/>
      <c r="T20" s="1">
        <f>SUM(OSRRefT22_0x_0)</f>
        <v>31177.86</v>
      </c>
      <c r="U20" s="1"/>
      <c r="V20" s="5">
        <f t="shared" si="13"/>
        <v>0</v>
      </c>
      <c r="W20" s="1"/>
      <c r="X20" s="1">
        <f t="shared" si="14"/>
        <v>27559.479999999996</v>
      </c>
      <c r="Y20" s="1"/>
      <c r="Z20" s="5">
        <f t="shared" si="15"/>
        <v>0.88394392687631529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1270.2</v>
      </c>
      <c r="E21" s="2"/>
      <c r="F21" s="7">
        <f t="shared" si="8"/>
        <v>0</v>
      </c>
      <c r="G21" s="2"/>
      <c r="H21" s="6">
        <v>339.74</v>
      </c>
      <c r="I21" s="2"/>
      <c r="J21" s="7">
        <f t="shared" si="9"/>
        <v>0</v>
      </c>
      <c r="K21" s="2"/>
      <c r="L21" s="6">
        <f t="shared" si="10"/>
        <v>930.46</v>
      </c>
      <c r="M21" s="2"/>
      <c r="N21" s="7">
        <f t="shared" si="11"/>
        <v>2.7387413904750693</v>
      </c>
      <c r="O21" s="11"/>
      <c r="P21" s="6">
        <v>6676.15</v>
      </c>
      <c r="Q21" s="2"/>
      <c r="R21" s="7">
        <f t="shared" si="12"/>
        <v>0</v>
      </c>
      <c r="S21" s="2"/>
      <c r="T21" s="6">
        <v>4836.42</v>
      </c>
      <c r="U21" s="2"/>
      <c r="V21" s="7">
        <f t="shared" si="13"/>
        <v>0</v>
      </c>
      <c r="W21" s="2"/>
      <c r="X21" s="6">
        <f t="shared" si="14"/>
        <v>1839.7299999999996</v>
      </c>
      <c r="Y21" s="2"/>
      <c r="Z21" s="7">
        <f t="shared" si="15"/>
        <v>0.38039086762522684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37.64</v>
      </c>
      <c r="E22" s="2"/>
      <c r="F22" s="7">
        <f t="shared" si="8"/>
        <v>0</v>
      </c>
      <c r="G22" s="2"/>
      <c r="H22" s="6">
        <v>155.43</v>
      </c>
      <c r="I22" s="2"/>
      <c r="J22" s="7">
        <f t="shared" si="9"/>
        <v>0</v>
      </c>
      <c r="K22" s="2"/>
      <c r="L22" s="6">
        <f t="shared" si="10"/>
        <v>-117.79</v>
      </c>
      <c r="M22" s="2"/>
      <c r="N22" s="7">
        <f t="shared" si="11"/>
        <v>-0.75783310815157945</v>
      </c>
      <c r="O22" s="11"/>
      <c r="P22" s="6">
        <v>234.6</v>
      </c>
      <c r="Q22" s="2"/>
      <c r="R22" s="7">
        <f t="shared" si="12"/>
        <v>0</v>
      </c>
      <c r="S22" s="2"/>
      <c r="T22" s="6">
        <v>1774.32</v>
      </c>
      <c r="U22" s="2"/>
      <c r="V22" s="7">
        <f t="shared" si="13"/>
        <v>0</v>
      </c>
      <c r="W22" s="2"/>
      <c r="X22" s="6">
        <f t="shared" si="14"/>
        <v>-1539.72</v>
      </c>
      <c r="Y22" s="2"/>
      <c r="Z22" s="7">
        <f t="shared" si="15"/>
        <v>-0.86778033274719335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1950.75</v>
      </c>
      <c r="E23" s="2"/>
      <c r="F23" s="7">
        <f t="shared" si="8"/>
        <v>0</v>
      </c>
      <c r="G23" s="2"/>
      <c r="H23" s="6">
        <v>1011.43</v>
      </c>
      <c r="I23" s="2"/>
      <c r="J23" s="7">
        <f t="shared" si="9"/>
        <v>0</v>
      </c>
      <c r="K23" s="2"/>
      <c r="L23" s="6">
        <f t="shared" si="10"/>
        <v>939.32</v>
      </c>
      <c r="M23" s="2"/>
      <c r="N23" s="7">
        <f t="shared" si="11"/>
        <v>0.92870490295917674</v>
      </c>
      <c r="O23" s="11"/>
      <c r="P23" s="6">
        <v>11069.28</v>
      </c>
      <c r="Q23" s="2"/>
      <c r="R23" s="7">
        <f t="shared" si="12"/>
        <v>0</v>
      </c>
      <c r="S23" s="2"/>
      <c r="T23" s="6">
        <v>9583.0300000000007</v>
      </c>
      <c r="U23" s="2"/>
      <c r="V23" s="7">
        <f t="shared" si="13"/>
        <v>0</v>
      </c>
      <c r="W23" s="2"/>
      <c r="X23" s="6">
        <f t="shared" si="14"/>
        <v>1486.25</v>
      </c>
      <c r="Y23" s="2"/>
      <c r="Z23" s="7">
        <f t="shared" si="15"/>
        <v>0.15509186551643894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28.78</v>
      </c>
      <c r="E24" s="2"/>
      <c r="F24" s="7">
        <f t="shared" si="8"/>
        <v>0</v>
      </c>
      <c r="G24" s="2"/>
      <c r="H24" s="6">
        <v>11.55</v>
      </c>
      <c r="I24" s="2"/>
      <c r="J24" s="7">
        <f t="shared" si="9"/>
        <v>0</v>
      </c>
      <c r="K24" s="2"/>
      <c r="L24" s="6">
        <f t="shared" si="10"/>
        <v>17.23</v>
      </c>
      <c r="M24" s="2"/>
      <c r="N24" s="7">
        <f t="shared" si="11"/>
        <v>1.4917748917748916</v>
      </c>
      <c r="O24" s="11"/>
      <c r="P24" s="6">
        <v>191.87</v>
      </c>
      <c r="Q24" s="2"/>
      <c r="R24" s="7">
        <f t="shared" si="12"/>
        <v>0</v>
      </c>
      <c r="S24" s="2"/>
      <c r="T24" s="6">
        <v>149.38</v>
      </c>
      <c r="U24" s="2"/>
      <c r="V24" s="7">
        <f t="shared" si="13"/>
        <v>0</v>
      </c>
      <c r="W24" s="2"/>
      <c r="X24" s="6">
        <f t="shared" si="14"/>
        <v>42.490000000000009</v>
      </c>
      <c r="Y24" s="2"/>
      <c r="Z24" s="7">
        <f t="shared" si="15"/>
        <v>0.28444236176194948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1131.3900000000001</v>
      </c>
      <c r="E25" s="2"/>
      <c r="F25" s="7">
        <f t="shared" si="8"/>
        <v>0</v>
      </c>
      <c r="G25" s="2"/>
      <c r="H25" s="6">
        <v>417.84</v>
      </c>
      <c r="I25" s="2"/>
      <c r="J25" s="7">
        <f t="shared" si="9"/>
        <v>0</v>
      </c>
      <c r="K25" s="2"/>
      <c r="L25" s="6">
        <f t="shared" si="10"/>
        <v>713.55000000000018</v>
      </c>
      <c r="M25" s="2"/>
      <c r="N25" s="7">
        <f t="shared" si="11"/>
        <v>1.7077110855829989</v>
      </c>
      <c r="O25" s="11"/>
      <c r="P25" s="6">
        <v>7543.39</v>
      </c>
      <c r="Q25" s="2"/>
      <c r="R25" s="7">
        <f t="shared" si="12"/>
        <v>0</v>
      </c>
      <c r="S25" s="2"/>
      <c r="T25" s="6">
        <v>5404.95</v>
      </c>
      <c r="U25" s="2"/>
      <c r="V25" s="7">
        <f t="shared" si="13"/>
        <v>0</v>
      </c>
      <c r="W25" s="2"/>
      <c r="X25" s="6">
        <f t="shared" si="14"/>
        <v>2138.4400000000005</v>
      </c>
      <c r="Y25" s="2"/>
      <c r="Z25" s="7">
        <f t="shared" si="15"/>
        <v>0.39564473306876113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1533.78</v>
      </c>
      <c r="E26" s="2"/>
      <c r="F26" s="7">
        <f t="shared" si="8"/>
        <v>0</v>
      </c>
      <c r="G26" s="2"/>
      <c r="H26" s="6">
        <v>410.22</v>
      </c>
      <c r="I26" s="2"/>
      <c r="J26" s="7">
        <f t="shared" si="9"/>
        <v>0</v>
      </c>
      <c r="K26" s="2"/>
      <c r="L26" s="6">
        <f t="shared" si="10"/>
        <v>1123.56</v>
      </c>
      <c r="M26" s="2"/>
      <c r="N26" s="7">
        <f t="shared" si="11"/>
        <v>2.738920579201404</v>
      </c>
      <c r="O26" s="11"/>
      <c r="P26" s="6">
        <v>10220.459999999999</v>
      </c>
      <c r="Q26" s="2"/>
      <c r="R26" s="7">
        <f t="shared" si="12"/>
        <v>0</v>
      </c>
      <c r="S26" s="2"/>
      <c r="T26" s="6">
        <v>4663.0200000000004</v>
      </c>
      <c r="U26" s="2"/>
      <c r="V26" s="7">
        <f t="shared" si="13"/>
        <v>0</v>
      </c>
      <c r="W26" s="2"/>
      <c r="X26" s="6">
        <f t="shared" si="14"/>
        <v>5557.4399999999987</v>
      </c>
      <c r="Y26" s="2"/>
      <c r="Z26" s="7">
        <f t="shared" si="15"/>
        <v>1.1918113154136156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765.87</v>
      </c>
      <c r="E27" s="2"/>
      <c r="F27" s="7">
        <f t="shared" si="8"/>
        <v>0</v>
      </c>
      <c r="G27" s="2"/>
      <c r="H27" s="6">
        <v>204.83</v>
      </c>
      <c r="I27" s="2"/>
      <c r="J27" s="7">
        <f t="shared" si="9"/>
        <v>0</v>
      </c>
      <c r="K27" s="2"/>
      <c r="L27" s="6">
        <f t="shared" si="10"/>
        <v>561.04</v>
      </c>
      <c r="M27" s="2"/>
      <c r="N27" s="7">
        <f t="shared" si="11"/>
        <v>2.7390518966948196</v>
      </c>
      <c r="O27" s="11"/>
      <c r="P27" s="6">
        <v>21519.5</v>
      </c>
      <c r="Q27" s="2"/>
      <c r="R27" s="7">
        <f t="shared" si="12"/>
        <v>0</v>
      </c>
      <c r="S27" s="2"/>
      <c r="T27" s="6">
        <v>3521.07</v>
      </c>
      <c r="U27" s="2"/>
      <c r="V27" s="7">
        <f t="shared" si="13"/>
        <v>0</v>
      </c>
      <c r="W27" s="2"/>
      <c r="X27" s="6">
        <f t="shared" si="14"/>
        <v>17998.43</v>
      </c>
      <c r="Y27" s="2"/>
      <c r="Z27" s="7">
        <f t="shared" si="15"/>
        <v>5.1116365195806956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1"/>
      <c r="P28" s="6">
        <v>1282.0899999999999</v>
      </c>
      <c r="Q28" s="2"/>
      <c r="R28" s="7">
        <f t="shared" si="12"/>
        <v>0</v>
      </c>
      <c r="S28" s="2"/>
      <c r="T28" s="6">
        <v>1245.67</v>
      </c>
      <c r="U28" s="2"/>
      <c r="V28" s="7">
        <f t="shared" si="13"/>
        <v>0</v>
      </c>
      <c r="W28" s="2"/>
      <c r="X28" s="6">
        <f t="shared" si="14"/>
        <v>36.419999999999845</v>
      </c>
      <c r="Y28" s="2"/>
      <c r="Z28" s="7">
        <f t="shared" si="15"/>
        <v>2.9237277930751999E-2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9962.6699999999983</v>
      </c>
      <c r="E29" s="1"/>
      <c r="F29" s="5">
        <f t="shared" ref="F29:F31" si="16">IF(D$12=0,0,D29/D$12)</f>
        <v>0</v>
      </c>
      <c r="G29" s="1"/>
      <c r="H29" s="1">
        <f>SUM(OSRRefH22_1x_0)</f>
        <v>2886.56</v>
      </c>
      <c r="I29" s="1"/>
      <c r="J29" s="5">
        <f t="shared" ref="J29:J31" si="17">IF(H$12=0,0,H29/H$12)</f>
        <v>0</v>
      </c>
      <c r="K29" s="1"/>
      <c r="L29" s="1">
        <f t="shared" ref="L29:L31" si="18">+D29-H29</f>
        <v>7076.1099999999988</v>
      </c>
      <c r="M29" s="1"/>
      <c r="N29" s="5">
        <f t="shared" ref="N29:N31" si="19">IF(H29=0,0,L29/H29)</f>
        <v>2.4513988969569311</v>
      </c>
      <c r="O29" s="13"/>
      <c r="P29" s="1">
        <f>SUM(OSRRefP22_1x_0)</f>
        <v>60986.329999999994</v>
      </c>
      <c r="Q29" s="1"/>
      <c r="R29" s="5">
        <f t="shared" ref="R29:R31" si="20">IF(P$12=0,0,P29/P$12)</f>
        <v>0</v>
      </c>
      <c r="S29" s="1"/>
      <c r="T29" s="1">
        <f>SUM(OSRRefT22_1x_0)</f>
        <v>41521.83</v>
      </c>
      <c r="U29" s="1"/>
      <c r="V29" s="5">
        <f t="shared" ref="V29:V31" si="21">IF(T$12=0,0,T29/T$12)</f>
        <v>0</v>
      </c>
      <c r="W29" s="1"/>
      <c r="X29" s="1">
        <f t="shared" ref="X29:X31" si="22">+P29-T29</f>
        <v>19464.499999999993</v>
      </c>
      <c r="Y29" s="1"/>
      <c r="Z29" s="5">
        <f t="shared" ref="Z29:Z31" si="23">IF(T29=0,0,X29/T29)</f>
        <v>0.46877750812042707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16603.919999999998</v>
      </c>
      <c r="E30" s="2"/>
      <c r="F30" s="7">
        <f t="shared" si="16"/>
        <v>0</v>
      </c>
      <c r="G30" s="2"/>
      <c r="H30" s="6">
        <v>2886.56</v>
      </c>
      <c r="I30" s="2"/>
      <c r="J30" s="7">
        <f t="shared" si="17"/>
        <v>0</v>
      </c>
      <c r="K30" s="2"/>
      <c r="L30" s="6">
        <f t="shared" si="18"/>
        <v>13717.359999999999</v>
      </c>
      <c r="M30" s="2"/>
      <c r="N30" s="7">
        <f t="shared" si="19"/>
        <v>4.7521478853722074</v>
      </c>
      <c r="O30" s="11"/>
      <c r="P30" s="6">
        <v>64860.579999999994</v>
      </c>
      <c r="Q30" s="2"/>
      <c r="R30" s="7">
        <f t="shared" si="20"/>
        <v>0</v>
      </c>
      <c r="S30" s="2"/>
      <c r="T30" s="6">
        <v>41521.83</v>
      </c>
      <c r="U30" s="2"/>
      <c r="V30" s="7">
        <f t="shared" si="21"/>
        <v>0</v>
      </c>
      <c r="W30" s="2"/>
      <c r="X30" s="6">
        <f t="shared" si="22"/>
        <v>23338.749999999993</v>
      </c>
      <c r="Y30" s="2"/>
      <c r="Z30" s="7">
        <f t="shared" si="23"/>
        <v>0.56208384842382886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-6641.25</v>
      </c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-6641.25</v>
      </c>
      <c r="M31" s="2"/>
      <c r="N31" s="7">
        <f t="shared" si="19"/>
        <v>0</v>
      </c>
      <c r="O31" s="11"/>
      <c r="P31" s="6">
        <v>-3874.25</v>
      </c>
      <c r="Q31" s="2"/>
      <c r="R31" s="7">
        <f t="shared" si="20"/>
        <v>0</v>
      </c>
      <c r="S31" s="2"/>
      <c r="T31" s="6"/>
      <c r="U31" s="2"/>
      <c r="V31" s="7">
        <f t="shared" si="21"/>
        <v>0</v>
      </c>
      <c r="W31" s="2"/>
      <c r="X31" s="6">
        <f t="shared" si="22"/>
        <v>-3874.25</v>
      </c>
      <c r="Y31" s="2"/>
      <c r="Z31" s="7">
        <f t="shared" si="23"/>
        <v>0</v>
      </c>
    </row>
    <row r="32" spans="1:26" s="25" customFormat="1" outlineLevel="1" collapsed="1" x14ac:dyDescent="0.25">
      <c r="A32" s="26"/>
      <c r="B32" s="13" t="str">
        <f>CONCATENATE("     ","General                                           ")</f>
        <v xml:space="preserve">     General                                           </v>
      </c>
      <c r="C32" s="13"/>
      <c r="D32" s="1">
        <f>SUM(OSRRefD22_2x_0)</f>
        <v>0</v>
      </c>
      <c r="E32" s="1"/>
      <c r="F32" s="5">
        <f t="shared" ref="F32:F41" si="24">IF(D$12=0,0,D32/D$12)</f>
        <v>0</v>
      </c>
      <c r="G32" s="1"/>
      <c r="H32" s="1">
        <f>SUM(OSRRefH22_2x_0)</f>
        <v>0</v>
      </c>
      <c r="I32" s="1"/>
      <c r="J32" s="5">
        <f t="shared" ref="J32:J41" si="25">IF(H$12=0,0,H32/H$12)</f>
        <v>0</v>
      </c>
      <c r="K32" s="1"/>
      <c r="L32" s="1">
        <f t="shared" ref="L32:L41" si="26">+D32-H32</f>
        <v>0</v>
      </c>
      <c r="M32" s="1"/>
      <c r="N32" s="5">
        <f t="shared" ref="N32:N41" si="27">IF(H32=0,0,L32/H32)</f>
        <v>0</v>
      </c>
      <c r="O32" s="13"/>
      <c r="P32" s="1">
        <f>SUM(OSRRefP22_2x_0)</f>
        <v>2443.65</v>
      </c>
      <c r="Q32" s="1"/>
      <c r="R32" s="5">
        <f t="shared" ref="R32:R41" si="28">IF(P$12=0,0,P32/P$12)</f>
        <v>0</v>
      </c>
      <c r="S32" s="1"/>
      <c r="T32" s="1">
        <f>SUM(OSRRefT22_2x_0)</f>
        <v>2357.6</v>
      </c>
      <c r="U32" s="1"/>
      <c r="V32" s="5">
        <f t="shared" ref="V32:V41" si="29">IF(T$12=0,0,T32/T$12)</f>
        <v>0</v>
      </c>
      <c r="W32" s="1"/>
      <c r="X32" s="1">
        <f t="shared" ref="X32:X41" si="30">+P32-T32</f>
        <v>86.050000000000182</v>
      </c>
      <c r="Y32" s="1"/>
      <c r="Z32" s="5">
        <f t="shared" ref="Z32:Z41" si="31">IF(T32=0,0,X32/T32)</f>
        <v>3.6498982015609173E-2</v>
      </c>
    </row>
    <row r="33" spans="1:26" s="24" customFormat="1" hidden="1" outlineLevel="2" x14ac:dyDescent="0.25">
      <c r="A33" s="27"/>
      <c r="B33" s="11" t="str">
        <f>CONCATENATE("          ", "6279", " - ", "GENERAL EXPENSE")</f>
        <v xml:space="preserve">          6279 - GENERAL EXPENSE</v>
      </c>
      <c r="C33" s="11"/>
      <c r="D33" s="6"/>
      <c r="E33" s="2"/>
      <c r="F33" s="7">
        <f t="shared" si="24"/>
        <v>0</v>
      </c>
      <c r="G33" s="2"/>
      <c r="H33" s="6"/>
      <c r="I33" s="2"/>
      <c r="J33" s="7">
        <f t="shared" si="25"/>
        <v>0</v>
      </c>
      <c r="K33" s="2"/>
      <c r="L33" s="6">
        <f t="shared" si="26"/>
        <v>0</v>
      </c>
      <c r="M33" s="2"/>
      <c r="N33" s="7">
        <f t="shared" si="27"/>
        <v>0</v>
      </c>
      <c r="O33" s="11"/>
      <c r="P33" s="6">
        <v>2443.65</v>
      </c>
      <c r="Q33" s="2"/>
      <c r="R33" s="7">
        <f t="shared" si="28"/>
        <v>0</v>
      </c>
      <c r="S33" s="2"/>
      <c r="T33" s="6">
        <v>2357.6</v>
      </c>
      <c r="U33" s="2"/>
      <c r="V33" s="7">
        <f t="shared" si="29"/>
        <v>0</v>
      </c>
      <c r="W33" s="2"/>
      <c r="X33" s="6">
        <f t="shared" si="30"/>
        <v>86.050000000000182</v>
      </c>
      <c r="Y33" s="2"/>
      <c r="Z33" s="7">
        <f t="shared" si="31"/>
        <v>3.6498982015609173E-2</v>
      </c>
    </row>
    <row r="34" spans="1:26" s="25" customFormat="1" outlineLevel="1" collapsed="1" x14ac:dyDescent="0.25">
      <c r="A34" s="26"/>
      <c r="B34" s="13" t="str">
        <f>CONCATENATE("     ","Royalty &amp; Commissions                             ")</f>
        <v xml:space="preserve">     Royalty &amp; Commissions                             </v>
      </c>
      <c r="C34" s="13"/>
      <c r="D34" s="1">
        <f>SUM(OSRRefD22_3x_0)</f>
        <v>0</v>
      </c>
      <c r="E34" s="1"/>
      <c r="F34" s="5">
        <f t="shared" si="24"/>
        <v>0</v>
      </c>
      <c r="G34" s="1"/>
      <c r="H34" s="1">
        <f>SUM(OSRRefH22_3x_0)</f>
        <v>990.51</v>
      </c>
      <c r="I34" s="1"/>
      <c r="J34" s="5">
        <f t="shared" si="25"/>
        <v>0</v>
      </c>
      <c r="K34" s="1"/>
      <c r="L34" s="1">
        <f t="shared" si="26"/>
        <v>-990.51</v>
      </c>
      <c r="M34" s="1"/>
      <c r="N34" s="5">
        <f t="shared" si="27"/>
        <v>-1</v>
      </c>
      <c r="O34" s="13"/>
      <c r="P34" s="1">
        <f>SUM(OSRRefP22_3x_0)</f>
        <v>10393.31</v>
      </c>
      <c r="Q34" s="1"/>
      <c r="R34" s="5">
        <f t="shared" si="28"/>
        <v>0</v>
      </c>
      <c r="S34" s="1"/>
      <c r="T34" s="1">
        <f>SUM(OSRRefT22_3x_0)</f>
        <v>11506.26</v>
      </c>
      <c r="U34" s="1"/>
      <c r="V34" s="5">
        <f t="shared" si="29"/>
        <v>0</v>
      </c>
      <c r="W34" s="1"/>
      <c r="X34" s="1">
        <f t="shared" si="30"/>
        <v>-1112.9500000000007</v>
      </c>
      <c r="Y34" s="1"/>
      <c r="Z34" s="5">
        <f t="shared" si="31"/>
        <v>-9.6725608494854162E-2</v>
      </c>
    </row>
    <row r="35" spans="1:26" s="24" customFormat="1" hidden="1" outlineLevel="2" x14ac:dyDescent="0.25">
      <c r="A35" s="27"/>
      <c r="B35" s="11" t="str">
        <f>CONCATENATE("          ", "6254", " - ", "ROYALTY &amp; COMMISSIONS")</f>
        <v xml:space="preserve">          6254 - ROYALTY &amp; COMMISSIONS</v>
      </c>
      <c r="C35" s="11"/>
      <c r="D35" s="6"/>
      <c r="E35" s="2"/>
      <c r="F35" s="7">
        <f t="shared" si="24"/>
        <v>0</v>
      </c>
      <c r="G35" s="2"/>
      <c r="H35" s="6">
        <v>990.51</v>
      </c>
      <c r="I35" s="2"/>
      <c r="J35" s="7">
        <f t="shared" si="25"/>
        <v>0</v>
      </c>
      <c r="K35" s="2"/>
      <c r="L35" s="6">
        <f t="shared" si="26"/>
        <v>-990.51</v>
      </c>
      <c r="M35" s="2"/>
      <c r="N35" s="7">
        <f t="shared" si="27"/>
        <v>-1</v>
      </c>
      <c r="O35" s="11"/>
      <c r="P35" s="6">
        <v>10393.31</v>
      </c>
      <c r="Q35" s="2"/>
      <c r="R35" s="7">
        <f t="shared" si="28"/>
        <v>0</v>
      </c>
      <c r="S35" s="2"/>
      <c r="T35" s="6">
        <v>11506.26</v>
      </c>
      <c r="U35" s="2"/>
      <c r="V35" s="7">
        <f t="shared" si="29"/>
        <v>0</v>
      </c>
      <c r="W35" s="2"/>
      <c r="X35" s="6">
        <f t="shared" si="30"/>
        <v>-1112.9500000000007</v>
      </c>
      <c r="Y35" s="2"/>
      <c r="Z35" s="7">
        <f t="shared" si="31"/>
        <v>-9.6725608494854162E-2</v>
      </c>
    </row>
    <row r="36" spans="1:26" s="25" customFormat="1" outlineLevel="1" collapsed="1" x14ac:dyDescent="0.25">
      <c r="A36" s="26"/>
      <c r="B36" s="13" t="str">
        <f>CONCATENATE("     ","Supplies                                          ")</f>
        <v xml:space="preserve">     Supplies                                          </v>
      </c>
      <c r="C36" s="13"/>
      <c r="D36" s="1">
        <f>SUM(OSRRefD22_4x_0)</f>
        <v>0</v>
      </c>
      <c r="E36" s="1"/>
      <c r="F36" s="5">
        <f t="shared" si="24"/>
        <v>0</v>
      </c>
      <c r="G36" s="1"/>
      <c r="H36" s="1">
        <f>SUM(OSRRefH22_4x_0)</f>
        <v>0</v>
      </c>
      <c r="I36" s="1"/>
      <c r="J36" s="5">
        <f t="shared" si="25"/>
        <v>0</v>
      </c>
      <c r="K36" s="1"/>
      <c r="L36" s="1">
        <f t="shared" si="26"/>
        <v>0</v>
      </c>
      <c r="M36" s="1"/>
      <c r="N36" s="5">
        <f t="shared" si="27"/>
        <v>0</v>
      </c>
      <c r="O36" s="13"/>
      <c r="P36" s="1">
        <f>SUM(OSRRefP22_4x_0)</f>
        <v>140.55000000000001</v>
      </c>
      <c r="Q36" s="1"/>
      <c r="R36" s="5">
        <f t="shared" si="28"/>
        <v>0</v>
      </c>
      <c r="S36" s="1"/>
      <c r="T36" s="1">
        <f>SUM(OSRRefT22_4x_0)</f>
        <v>2649.37</v>
      </c>
      <c r="U36" s="1"/>
      <c r="V36" s="5">
        <f t="shared" si="29"/>
        <v>0</v>
      </c>
      <c r="W36" s="1"/>
      <c r="X36" s="1">
        <f t="shared" si="30"/>
        <v>-2508.8199999999997</v>
      </c>
      <c r="Y36" s="1"/>
      <c r="Z36" s="5">
        <f t="shared" si="31"/>
        <v>-0.94694965218146199</v>
      </c>
    </row>
    <row r="37" spans="1:26" s="24" customFormat="1" hidden="1" outlineLevel="2" x14ac:dyDescent="0.25">
      <c r="A37" s="27"/>
      <c r="B37" s="11" t="str">
        <f>CONCATENATE("          ", "6241", " - ", "OFFICE EXPENSE")</f>
        <v xml:space="preserve">          6241 - OFFICE EXPENSE</v>
      </c>
      <c r="C37" s="11"/>
      <c r="D37" s="6"/>
      <c r="E37" s="2"/>
      <c r="F37" s="7">
        <f t="shared" si="24"/>
        <v>0</v>
      </c>
      <c r="G37" s="2"/>
      <c r="H37" s="6"/>
      <c r="I37" s="2"/>
      <c r="J37" s="7">
        <f t="shared" si="25"/>
        <v>0</v>
      </c>
      <c r="K37" s="2"/>
      <c r="L37" s="6">
        <f t="shared" si="26"/>
        <v>0</v>
      </c>
      <c r="M37" s="2"/>
      <c r="N37" s="7">
        <f t="shared" si="27"/>
        <v>0</v>
      </c>
      <c r="O37" s="11"/>
      <c r="P37" s="6">
        <v>140.55000000000001</v>
      </c>
      <c r="Q37" s="2"/>
      <c r="R37" s="7">
        <f t="shared" si="28"/>
        <v>0</v>
      </c>
      <c r="S37" s="2"/>
      <c r="T37" s="6">
        <v>2649.37</v>
      </c>
      <c r="U37" s="2"/>
      <c r="V37" s="7">
        <f t="shared" si="29"/>
        <v>0</v>
      </c>
      <c r="W37" s="2"/>
      <c r="X37" s="6">
        <f t="shared" si="30"/>
        <v>-2508.8199999999997</v>
      </c>
      <c r="Y37" s="2"/>
      <c r="Z37" s="7">
        <f t="shared" si="31"/>
        <v>-0.94694965218146199</v>
      </c>
    </row>
    <row r="38" spans="1:26" s="25" customFormat="1" outlineLevel="1" collapsed="1" x14ac:dyDescent="0.25">
      <c r="A38" s="26"/>
      <c r="B38" s="13" t="str">
        <f>CONCATENATE("     ","Telephone/Data Lines                              ")</f>
        <v xml:space="preserve">     Telephone/Data Lines                              </v>
      </c>
      <c r="C38" s="13"/>
      <c r="D38" s="1">
        <f>SUM(OSRRefD22_5x_0)</f>
        <v>237.1</v>
      </c>
      <c r="E38" s="1"/>
      <c r="F38" s="5">
        <f t="shared" si="24"/>
        <v>0</v>
      </c>
      <c r="G38" s="1"/>
      <c r="H38" s="1">
        <f>SUM(OSRRefH22_5x_0)</f>
        <v>116.6</v>
      </c>
      <c r="I38" s="1"/>
      <c r="J38" s="5">
        <f t="shared" si="25"/>
        <v>0</v>
      </c>
      <c r="K38" s="1"/>
      <c r="L38" s="1">
        <f t="shared" si="26"/>
        <v>120.5</v>
      </c>
      <c r="M38" s="1"/>
      <c r="N38" s="5">
        <f t="shared" si="27"/>
        <v>1.0334476843910807</v>
      </c>
      <c r="O38" s="13"/>
      <c r="P38" s="1">
        <f>SUM(OSRRefP22_5x_0)</f>
        <v>1267.7</v>
      </c>
      <c r="Q38" s="1"/>
      <c r="R38" s="5">
        <f t="shared" si="28"/>
        <v>0</v>
      </c>
      <c r="S38" s="1"/>
      <c r="T38" s="1">
        <f>SUM(OSRRefT22_5x_0)</f>
        <v>849.4</v>
      </c>
      <c r="U38" s="1"/>
      <c r="V38" s="5">
        <f t="shared" si="29"/>
        <v>0</v>
      </c>
      <c r="W38" s="1"/>
      <c r="X38" s="1">
        <f t="shared" si="30"/>
        <v>418.30000000000007</v>
      </c>
      <c r="Y38" s="1"/>
      <c r="Z38" s="5">
        <f t="shared" si="31"/>
        <v>0.49246526960207215</v>
      </c>
    </row>
    <row r="39" spans="1:26" s="24" customFormat="1" hidden="1" outlineLevel="2" x14ac:dyDescent="0.25">
      <c r="A39" s="27"/>
      <c r="B39" s="11" t="str">
        <f>CONCATENATE("          ", "6309", " - ", "TELEPHONE")</f>
        <v xml:space="preserve">          6309 - TELEPHONE</v>
      </c>
      <c r="C39" s="11"/>
      <c r="D39" s="6">
        <v>237.1</v>
      </c>
      <c r="E39" s="2"/>
      <c r="F39" s="7">
        <f t="shared" si="24"/>
        <v>0</v>
      </c>
      <c r="G39" s="2"/>
      <c r="H39" s="6">
        <v>116.6</v>
      </c>
      <c r="I39" s="2"/>
      <c r="J39" s="7">
        <f t="shared" si="25"/>
        <v>0</v>
      </c>
      <c r="K39" s="2"/>
      <c r="L39" s="6">
        <f t="shared" si="26"/>
        <v>120.5</v>
      </c>
      <c r="M39" s="2"/>
      <c r="N39" s="7">
        <f t="shared" si="27"/>
        <v>1.0334476843910807</v>
      </c>
      <c r="O39" s="11"/>
      <c r="P39" s="6">
        <v>1267.7</v>
      </c>
      <c r="Q39" s="2"/>
      <c r="R39" s="7">
        <f t="shared" si="28"/>
        <v>0</v>
      </c>
      <c r="S39" s="2"/>
      <c r="T39" s="6">
        <v>849.4</v>
      </c>
      <c r="U39" s="2"/>
      <c r="V39" s="7">
        <f t="shared" si="29"/>
        <v>0</v>
      </c>
      <c r="W39" s="2"/>
      <c r="X39" s="6">
        <f t="shared" si="30"/>
        <v>418.30000000000007</v>
      </c>
      <c r="Y39" s="2"/>
      <c r="Z39" s="7">
        <f t="shared" si="31"/>
        <v>0.49246526960207215</v>
      </c>
    </row>
    <row r="40" spans="1:26" s="25" customFormat="1" outlineLevel="1" collapsed="1" x14ac:dyDescent="0.25">
      <c r="A40" s="26"/>
      <c r="B40" s="13" t="str">
        <f>CONCATENATE("     ","Travel                                            ")</f>
        <v xml:space="preserve">     Travel                                            </v>
      </c>
      <c r="C40" s="13"/>
      <c r="D40" s="1">
        <f>SUM(OSRRefD22_6x_0)</f>
        <v>1547.08</v>
      </c>
      <c r="E40" s="1"/>
      <c r="F40" s="5">
        <f t="shared" si="24"/>
        <v>0</v>
      </c>
      <c r="G40" s="1"/>
      <c r="H40" s="1">
        <f>SUM(OSRRefH22_6x_0)</f>
        <v>0</v>
      </c>
      <c r="I40" s="1"/>
      <c r="J40" s="5">
        <f t="shared" si="25"/>
        <v>0</v>
      </c>
      <c r="K40" s="1"/>
      <c r="L40" s="1">
        <f t="shared" si="26"/>
        <v>1547.08</v>
      </c>
      <c r="M40" s="1"/>
      <c r="N40" s="5">
        <f t="shared" si="27"/>
        <v>0</v>
      </c>
      <c r="O40" s="13"/>
      <c r="P40" s="1">
        <f>SUM(OSRRefP22_6x_0)</f>
        <v>2759.81</v>
      </c>
      <c r="Q40" s="1"/>
      <c r="R40" s="5">
        <f t="shared" si="28"/>
        <v>0</v>
      </c>
      <c r="S40" s="1"/>
      <c r="T40" s="1">
        <f>SUM(OSRRefT22_6x_0)</f>
        <v>0</v>
      </c>
      <c r="U40" s="1"/>
      <c r="V40" s="5">
        <f t="shared" si="29"/>
        <v>0</v>
      </c>
      <c r="W40" s="1"/>
      <c r="X40" s="1">
        <f t="shared" si="30"/>
        <v>2759.81</v>
      </c>
      <c r="Y40" s="1"/>
      <c r="Z40" s="5">
        <f t="shared" si="31"/>
        <v>0</v>
      </c>
    </row>
    <row r="41" spans="1:26" s="24" customFormat="1" hidden="1" outlineLevel="2" x14ac:dyDescent="0.25">
      <c r="A41" s="27"/>
      <c r="B41" s="11" t="str">
        <f>CONCATENATE("          ", "6292", " - ", "TRAVEL/CONFERENCE")</f>
        <v xml:space="preserve">          6292 - TRAVEL/CONFERENCE</v>
      </c>
      <c r="C41" s="11"/>
      <c r="D41" s="6">
        <v>1547.08</v>
      </c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1547.08</v>
      </c>
      <c r="M41" s="2"/>
      <c r="N41" s="7">
        <f t="shared" si="27"/>
        <v>0</v>
      </c>
      <c r="O41" s="11"/>
      <c r="P41" s="6">
        <v>2759.81</v>
      </c>
      <c r="Q41" s="2"/>
      <c r="R41" s="7">
        <f t="shared" si="28"/>
        <v>0</v>
      </c>
      <c r="S41" s="2"/>
      <c r="T41" s="6"/>
      <c r="U41" s="2"/>
      <c r="V41" s="7">
        <f t="shared" si="29"/>
        <v>0</v>
      </c>
      <c r="W41" s="2"/>
      <c r="X41" s="6">
        <f t="shared" si="30"/>
        <v>2759.81</v>
      </c>
      <c r="Y41" s="2"/>
      <c r="Z41" s="7">
        <f t="shared" si="31"/>
        <v>0</v>
      </c>
    </row>
    <row r="42" spans="1:26" s="53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collapsed="1" x14ac:dyDescent="0.25">
      <c r="A43" s="10"/>
      <c r="B43" s="29" t="s">
        <v>0</v>
      </c>
      <c r="C43" s="10"/>
      <c r="D43" s="4">
        <f>SUM(OSRRefD25x_0)</f>
        <v>12874.51</v>
      </c>
      <c r="E43" s="4"/>
      <c r="F43" s="12">
        <f t="shared" ref="F43:F44" si="32">IF(D$12=0,0,D43/D$12)</f>
        <v>0</v>
      </c>
      <c r="G43" s="4"/>
      <c r="H43" s="4">
        <f>SUM(OSRRefH25x_0)</f>
        <v>17041.09</v>
      </c>
      <c r="I43" s="4"/>
      <c r="J43" s="12">
        <f t="shared" ref="J43:J44" si="33">IF(H$12=0,0,H43/H$12)</f>
        <v>0</v>
      </c>
      <c r="K43" s="4"/>
      <c r="L43" s="4">
        <f t="shared" ref="L43:L44" si="34">+D43-H43</f>
        <v>-4166.58</v>
      </c>
      <c r="M43" s="4"/>
      <c r="N43" s="12">
        <f t="shared" ref="N43:N44" si="35">IF(H43=0,0,L43/H43)</f>
        <v>-0.24450196554328391</v>
      </c>
      <c r="O43" s="10"/>
      <c r="P43" s="4">
        <f>SUM(OSRRefP25x_0)</f>
        <v>155658.1</v>
      </c>
      <c r="Q43" s="4"/>
      <c r="R43" s="12">
        <f t="shared" ref="R43:R44" si="36">IF(P$12=0,0,P43/P$12)</f>
        <v>0</v>
      </c>
      <c r="S43" s="4"/>
      <c r="T43" s="4">
        <f>SUM(OSRRefT25x_0)</f>
        <v>156485.17000000001</v>
      </c>
      <c r="U43" s="4"/>
      <c r="V43" s="12">
        <f t="shared" ref="V43:V44" si="37">IF(T$12=0,0,T43/T$12)</f>
        <v>0</v>
      </c>
      <c r="W43" s="4"/>
      <c r="X43" s="4">
        <f t="shared" ref="X43:X44" si="38">+P43-T43</f>
        <v>-827.07000000000698</v>
      </c>
      <c r="Y43" s="4"/>
      <c r="Z43" s="12">
        <f t="shared" ref="Z43:Z44" si="39">IF(T43=0,0,X43/T43)</f>
        <v>-5.2852931686753887E-3</v>
      </c>
    </row>
    <row r="44" spans="1:26" s="24" customFormat="1" hidden="1" outlineLevel="1" x14ac:dyDescent="0.25">
      <c r="A44" s="44"/>
      <c r="B44" s="11" t="str">
        <f>CONCATENATE("          ", "9150", " - ", "MISC. INCOME")</f>
        <v xml:space="preserve">          9150 - MISC. INCOME</v>
      </c>
      <c r="C44" s="11"/>
      <c r="D44" s="2">
        <f>--12874.51</f>
        <v>12874.51</v>
      </c>
      <c r="E44" s="2"/>
      <c r="F44" s="19">
        <f t="shared" si="32"/>
        <v>0</v>
      </c>
      <c r="G44" s="2"/>
      <c r="H44" s="2">
        <f>--17041.09</f>
        <v>17041.09</v>
      </c>
      <c r="I44" s="2"/>
      <c r="J44" s="19">
        <f t="shared" si="33"/>
        <v>0</v>
      </c>
      <c r="K44" s="2"/>
      <c r="L44" s="2">
        <f t="shared" si="34"/>
        <v>-4166.58</v>
      </c>
      <c r="M44" s="2"/>
      <c r="N44" s="19">
        <f t="shared" si="35"/>
        <v>-0.24450196554328391</v>
      </c>
      <c r="O44" s="11"/>
      <c r="P44" s="2">
        <f>--155658.1</f>
        <v>155658.1</v>
      </c>
      <c r="Q44" s="2"/>
      <c r="R44" s="19">
        <f t="shared" si="36"/>
        <v>0</v>
      </c>
      <c r="S44" s="2"/>
      <c r="T44" s="2">
        <f>--156485.17</f>
        <v>156485.17000000001</v>
      </c>
      <c r="U44" s="2"/>
      <c r="V44" s="19">
        <f t="shared" si="37"/>
        <v>0</v>
      </c>
      <c r="W44" s="2"/>
      <c r="X44" s="2">
        <f t="shared" si="38"/>
        <v>-827.07000000000698</v>
      </c>
      <c r="Y44" s="2"/>
      <c r="Z44" s="19">
        <f t="shared" si="39"/>
        <v>-5.2852931686753887E-3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8" t="s">
        <v>3</v>
      </c>
      <c r="C46" s="28"/>
      <c r="D46" s="21">
        <f>+D17-D19+D43</f>
        <v>-5590.7499999999945</v>
      </c>
      <c r="E46" s="14"/>
      <c r="F46" s="20">
        <f>IF(D$12=0,0,D46/D$12)</f>
        <v>0</v>
      </c>
      <c r="G46" s="14"/>
      <c r="H46" s="21">
        <f>+H17-H19+H43</f>
        <v>10496.38</v>
      </c>
      <c r="I46" s="14"/>
      <c r="J46" s="20">
        <f>IF(H$12=0,0,H46/H$12)</f>
        <v>0</v>
      </c>
      <c r="K46" s="15"/>
      <c r="L46" s="21">
        <f>+D46-H46</f>
        <v>-16087.129999999994</v>
      </c>
      <c r="M46" s="15"/>
      <c r="N46" s="20">
        <f>IF(H46=0,0,L46/H46)</f>
        <v>-1.5326360135589598</v>
      </c>
      <c r="O46" s="29"/>
      <c r="P46" s="21">
        <f>+P17-P19+P43</f>
        <v>19658.790000000037</v>
      </c>
      <c r="Q46" s="14"/>
      <c r="R46" s="20">
        <f>IF(P$12=0,0,P46/P$12)</f>
        <v>0</v>
      </c>
      <c r="S46" s="14"/>
      <c r="T46" s="21">
        <f>+T17-T19+T43</f>
        <v>66422.85000000002</v>
      </c>
      <c r="U46" s="14"/>
      <c r="V46" s="20">
        <f>IF(T$12=0,0,T46/T$12)</f>
        <v>0</v>
      </c>
      <c r="W46" s="15"/>
      <c r="X46" s="21">
        <f>+P46-T46</f>
        <v>-46764.059999999983</v>
      </c>
      <c r="Y46" s="15"/>
      <c r="Z46" s="20">
        <f>IF(T46=0,0,X46/T46)</f>
        <v>-0.70403573469069713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4</v>
      </c>
      <c r="C50" s="28"/>
      <c r="D50" s="30">
        <f>+D46-D48</f>
        <v>-5590.7499999999945</v>
      </c>
      <c r="E50" s="14"/>
      <c r="F50" s="36">
        <f>IF(D$12=0,0,D50/D$12)</f>
        <v>0</v>
      </c>
      <c r="G50" s="14"/>
      <c r="H50" s="30">
        <f>+H46-H48</f>
        <v>10496.38</v>
      </c>
      <c r="I50" s="14"/>
      <c r="J50" s="36">
        <f>IF(H$12=0,0,H50/H$12)</f>
        <v>0</v>
      </c>
      <c r="K50" s="15"/>
      <c r="L50" s="30">
        <f>D50-H50</f>
        <v>-16087.129999999994</v>
      </c>
      <c r="M50" s="15"/>
      <c r="N50" s="36">
        <f>IF(H50=0,0,L50/H50)</f>
        <v>-1.5326360135589598</v>
      </c>
      <c r="O50" s="29"/>
      <c r="P50" s="30">
        <f>+P46-P48</f>
        <v>19658.790000000037</v>
      </c>
      <c r="Q50" s="14"/>
      <c r="R50" s="36">
        <f>IF(P$12=0,0,P50/P$12)</f>
        <v>0</v>
      </c>
      <c r="S50" s="14"/>
      <c r="T50" s="30">
        <f>+T46-T48</f>
        <v>66422.85000000002</v>
      </c>
      <c r="U50" s="14"/>
      <c r="V50" s="36">
        <f>IF(T$12=0,0,T50/T$12)</f>
        <v>0</v>
      </c>
      <c r="W50" s="15"/>
      <c r="X50" s="30">
        <f>P50-T50</f>
        <v>-46764.059999999983</v>
      </c>
      <c r="Y50" s="15"/>
      <c r="Z50" s="36">
        <f>IF(T50=0,0,X50/T50)</f>
        <v>-0.70403573469069713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5</v>
      </c>
      <c r="C53" s="28"/>
      <c r="D53" s="31">
        <f>SUM(D50:D52)</f>
        <v>-5590.7499999999945</v>
      </c>
      <c r="E53" s="14"/>
      <c r="F53" s="32">
        <f>IF(D$12=0,0,D53/D$12)</f>
        <v>0</v>
      </c>
      <c r="G53" s="14"/>
      <c r="H53" s="31">
        <f>SUM(H50:H52)</f>
        <v>10496.38</v>
      </c>
      <c r="I53" s="14"/>
      <c r="J53" s="32">
        <f>IF(H$12=0,0,H53/H$12)</f>
        <v>0</v>
      </c>
      <c r="K53" s="15"/>
      <c r="L53" s="31">
        <f>+D53-H53</f>
        <v>-16087.129999999994</v>
      </c>
      <c r="M53" s="15"/>
      <c r="N53" s="32">
        <f>IF(H53=0,0,L53/H53)</f>
        <v>-1.5326360135589598</v>
      </c>
      <c r="O53" s="29"/>
      <c r="P53" s="31">
        <f>SUM(P50:P52)</f>
        <v>19658.790000000037</v>
      </c>
      <c r="Q53" s="14"/>
      <c r="R53" s="32">
        <f>IF(P$12=0,0,P53/P$12)</f>
        <v>0</v>
      </c>
      <c r="S53" s="14"/>
      <c r="T53" s="31">
        <f>SUM(T50:T52)</f>
        <v>66422.85000000002</v>
      </c>
      <c r="U53" s="14"/>
      <c r="V53" s="32">
        <f>IF(T$12=0,0,T53/T$12)</f>
        <v>0</v>
      </c>
      <c r="W53" s="15"/>
      <c r="X53" s="31">
        <f>+P53-T53</f>
        <v>-46764.059999999983</v>
      </c>
      <c r="Y53" s="15"/>
      <c r="Z53" s="32">
        <f>IF(T53=0,0,X53/T53)</f>
        <v>-0.70403573469069713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4">
        <v>43965.471409027778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59" t="s">
        <v>313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61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","424", " - ", "Blair Field")</f>
        <v>Department 424 - Blair Field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57578.34</v>
      </c>
      <c r="I12" s="4"/>
      <c r="J12" s="12"/>
      <c r="K12" s="4"/>
      <c r="L12" s="4">
        <f t="shared" ref="L12:L16" si="0">+D12-H12</f>
        <v>-57578.34</v>
      </c>
      <c r="M12" s="4"/>
      <c r="N12" s="12">
        <f t="shared" ref="N12:N16" si="1">IF(H12=0,0,L12/H12)</f>
        <v>-1</v>
      </c>
      <c r="O12" s="10"/>
      <c r="P12" s="4">
        <f>SUM(OSRRefP13x_0)</f>
        <v>157290.23000000001</v>
      </c>
      <c r="Q12" s="4"/>
      <c r="R12" s="12"/>
      <c r="S12" s="4"/>
      <c r="T12" s="4">
        <f>SUM(OSRRefT13x_0)</f>
        <v>193647.93999999997</v>
      </c>
      <c r="U12" s="4"/>
      <c r="V12" s="12"/>
      <c r="W12" s="4"/>
      <c r="X12" s="4">
        <f t="shared" ref="X12:X16" si="2">+P12-T12</f>
        <v>-36357.709999999963</v>
      </c>
      <c r="Y12" s="4"/>
      <c r="Z12" s="12">
        <f t="shared" ref="Z12:Z16" si="3">IF(T12=0,0,X12/T12)</f>
        <v>-0.18775159704771435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>
        <f>--57578.34</f>
        <v>57578.34</v>
      </c>
      <c r="I13" s="2"/>
      <c r="J13" s="19"/>
      <c r="K13" s="2"/>
      <c r="L13" s="2">
        <f t="shared" si="0"/>
        <v>-57578.34</v>
      </c>
      <c r="M13" s="2"/>
      <c r="N13" s="19">
        <f t="shared" si="1"/>
        <v>-1</v>
      </c>
      <c r="O13" s="11"/>
      <c r="P13" s="2">
        <f>--157788.64</f>
        <v>157788.64000000001</v>
      </c>
      <c r="Q13" s="2"/>
      <c r="R13" s="19"/>
      <c r="S13" s="2"/>
      <c r="T13" s="2">
        <f>--181933.86</f>
        <v>181933.86</v>
      </c>
      <c r="U13" s="2"/>
      <c r="V13" s="19"/>
      <c r="W13" s="2"/>
      <c r="X13" s="2">
        <f t="shared" si="2"/>
        <v>-24145.219999999972</v>
      </c>
      <c r="Y13" s="2"/>
      <c r="Z13" s="19">
        <f t="shared" si="3"/>
        <v>-0.13271427319796311</v>
      </c>
    </row>
    <row r="14" spans="1:26" s="24" customFormat="1" hidden="1" outlineLevel="1" x14ac:dyDescent="0.2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 t="shared" si="4"/>
        <v>0</v>
      </c>
      <c r="E14" s="2"/>
      <c r="F14" s="19"/>
      <c r="G14" s="2"/>
      <c r="H14" s="2">
        <f t="shared" ref="H14:H16" si="5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-498.41</f>
        <v>-498.41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-498.41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"4157", " - ", "NON-TAXABLE SALES-FOOD")</f>
        <v xml:space="preserve">          4157 - NON-TAXABLE SALES-FOOD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--208</f>
        <v>208</v>
      </c>
      <c r="U16" s="2"/>
      <c r="V16" s="19"/>
      <c r="W16" s="2"/>
      <c r="X16" s="2">
        <f t="shared" si="2"/>
        <v>-208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4159</v>
      </c>
      <c r="E18" s="4"/>
      <c r="F18" s="12">
        <f t="shared" ref="F18:F20" si="6">IF(D$12=0,0,D18/D$12)</f>
        <v>0</v>
      </c>
      <c r="G18" s="4"/>
      <c r="H18" s="4">
        <f>SUM(OSRRefH16x_0)</f>
        <v>11608.48</v>
      </c>
      <c r="I18" s="4"/>
      <c r="J18" s="12">
        <f t="shared" ref="J18:J20" si="7">IF(H$12=0,0,H18/H$12)</f>
        <v>0.20161192559563199</v>
      </c>
      <c r="K18" s="4"/>
      <c r="L18" s="4">
        <f t="shared" ref="L18:L20" si="8">+D18-H18</f>
        <v>-7449.48</v>
      </c>
      <c r="M18" s="4"/>
      <c r="N18" s="12">
        <f t="shared" ref="N18:N20" si="9">IF(H18=0,0,L18/H18)</f>
        <v>-0.64172742684658113</v>
      </c>
      <c r="O18" s="10"/>
      <c r="P18" s="4">
        <f>SUM(OSRRefP16x_0)</f>
        <v>43321.25</v>
      </c>
      <c r="Q18" s="4"/>
      <c r="R18" s="12">
        <f t="shared" ref="R18:R20" si="10">IF(P$12=0,0,P18/P$12)</f>
        <v>0.27542238319570134</v>
      </c>
      <c r="S18" s="4"/>
      <c r="T18" s="4">
        <f>SUM(OSRRefT16x_0)</f>
        <v>46347.13</v>
      </c>
      <c r="U18" s="4"/>
      <c r="V18" s="12">
        <f t="shared" ref="V18:V20" si="11">IF(T$12=0,0,T18/T$12)</f>
        <v>0.23933706705064875</v>
      </c>
      <c r="W18" s="4"/>
      <c r="X18" s="4">
        <f t="shared" ref="X18:X20" si="12">+P18-T18</f>
        <v>-3025.8799999999974</v>
      </c>
      <c r="Y18" s="4"/>
      <c r="Z18" s="12">
        <f t="shared" ref="Z18:Z20" si="13">IF(T18=0,0,X18/T18)</f>
        <v>-6.5287321998147407E-2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6"/>
        <v>0</v>
      </c>
      <c r="G19" s="2"/>
      <c r="H19" s="2">
        <v>14173.48</v>
      </c>
      <c r="I19" s="2"/>
      <c r="J19" s="19">
        <f t="shared" si="7"/>
        <v>0.24615992750051496</v>
      </c>
      <c r="K19" s="2"/>
      <c r="L19" s="2">
        <f t="shared" si="8"/>
        <v>-14173.48</v>
      </c>
      <c r="M19" s="2"/>
      <c r="N19" s="19">
        <f t="shared" si="9"/>
        <v>-1</v>
      </c>
      <c r="O19" s="11"/>
      <c r="P19" s="2">
        <v>43126.25</v>
      </c>
      <c r="Q19" s="2"/>
      <c r="R19" s="19">
        <f t="shared" si="10"/>
        <v>0.27418263677279892</v>
      </c>
      <c r="S19" s="2"/>
      <c r="T19" s="2">
        <v>52302.13</v>
      </c>
      <c r="U19" s="2"/>
      <c r="V19" s="19">
        <f t="shared" si="11"/>
        <v>0.27008874971765773</v>
      </c>
      <c r="W19" s="2"/>
      <c r="X19" s="2">
        <f t="shared" si="12"/>
        <v>-9175.8799999999974</v>
      </c>
      <c r="Y19" s="2"/>
      <c r="Z19" s="19">
        <f t="shared" si="13"/>
        <v>-0.17543989126255466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4159</v>
      </c>
      <c r="E20" s="2"/>
      <c r="F20" s="19">
        <f t="shared" si="6"/>
        <v>0</v>
      </c>
      <c r="G20" s="2"/>
      <c r="H20" s="2">
        <v>-2565</v>
      </c>
      <c r="I20" s="2"/>
      <c r="J20" s="19">
        <f t="shared" si="7"/>
        <v>-4.4548001904882985E-2</v>
      </c>
      <c r="K20" s="2"/>
      <c r="L20" s="2">
        <f t="shared" si="8"/>
        <v>6724</v>
      </c>
      <c r="M20" s="2"/>
      <c r="N20" s="19">
        <f t="shared" si="9"/>
        <v>-2.6214424951267055</v>
      </c>
      <c r="O20" s="11"/>
      <c r="P20" s="2">
        <v>195</v>
      </c>
      <c r="Q20" s="2"/>
      <c r="R20" s="19">
        <f t="shared" si="10"/>
        <v>1.239746422902427E-3</v>
      </c>
      <c r="S20" s="2"/>
      <c r="T20" s="2">
        <v>-5955</v>
      </c>
      <c r="U20" s="2"/>
      <c r="V20" s="19">
        <f t="shared" si="11"/>
        <v>-3.0751682667009009E-2</v>
      </c>
      <c r="W20" s="2"/>
      <c r="X20" s="2">
        <f t="shared" si="12"/>
        <v>6150</v>
      </c>
      <c r="Y20" s="2"/>
      <c r="Z20" s="19">
        <f t="shared" si="13"/>
        <v>-1.0327455919395465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D12-D18</f>
        <v>-4159</v>
      </c>
      <c r="E22" s="14"/>
      <c r="F22" s="20">
        <f>IF(D$12=0,0,D22/D$12)</f>
        <v>0</v>
      </c>
      <c r="G22" s="14"/>
      <c r="H22" s="21">
        <f>H12-H18</f>
        <v>45969.86</v>
      </c>
      <c r="I22" s="14"/>
      <c r="J22" s="20">
        <f>IF(H$12=0,0,H22/H$12)</f>
        <v>0.7983880744043681</v>
      </c>
      <c r="K22" s="15"/>
      <c r="L22" s="21">
        <f>+D22-H22</f>
        <v>-50128.86</v>
      </c>
      <c r="M22" s="15"/>
      <c r="N22" s="20">
        <f>IF(H22=0,0,L22/H22)</f>
        <v>-1.090472322517406</v>
      </c>
      <c r="O22" s="29"/>
      <c r="P22" s="21">
        <f>P12-P18</f>
        <v>113968.98000000001</v>
      </c>
      <c r="Q22" s="14"/>
      <c r="R22" s="20">
        <f>IF(P$12=0,0,P22/P$12)</f>
        <v>0.72457761680429866</v>
      </c>
      <c r="S22" s="14"/>
      <c r="T22" s="21">
        <f>T12-T18</f>
        <v>147300.80999999997</v>
      </c>
      <c r="U22" s="14"/>
      <c r="V22" s="20">
        <f>IF(T$12=0,0,T22/T$12)</f>
        <v>0.76066293294935128</v>
      </c>
      <c r="W22" s="15"/>
      <c r="X22" s="21">
        <f>+P22-T22</f>
        <v>-33331.829999999958</v>
      </c>
      <c r="Y22" s="15"/>
      <c r="Z22" s="20">
        <f>IF(T22=0,0,X22/T22)</f>
        <v>-0.22628409171680702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2">
        <f>SUM(OSRRefD22x_0)</f>
        <v>1291.0800000000002</v>
      </c>
      <c r="E24" s="22"/>
      <c r="F24" s="35">
        <f t="shared" ref="F24:F28" si="14">IF(D$12=0,0,D24/D$12)</f>
        <v>0</v>
      </c>
      <c r="G24" s="22"/>
      <c r="H24" s="22">
        <f>SUM(OSRRefH22x_0)</f>
        <v>23614.160000000003</v>
      </c>
      <c r="I24" s="22"/>
      <c r="J24" s="35">
        <f t="shared" ref="J24:J28" si="15">IF(H$12=0,0,H24/H$12)</f>
        <v>0.4101222786207453</v>
      </c>
      <c r="K24" s="4"/>
      <c r="L24" s="22">
        <f t="shared" ref="L24:L28" si="16">+D24-H24</f>
        <v>-22323.08</v>
      </c>
      <c r="M24" s="4"/>
      <c r="N24" s="35">
        <f t="shared" ref="N24:N28" si="17">IF(H24=0,0,L24/H24)</f>
        <v>-0.94532602472414851</v>
      </c>
      <c r="O24" s="10"/>
      <c r="P24" s="22">
        <f>SUM(OSRRefP22x_0)</f>
        <v>89538.939999999988</v>
      </c>
      <c r="Q24" s="22"/>
      <c r="R24" s="35">
        <f t="shared" ref="R24:R28" si="18">IF(P$12=0,0,P24/P$12)</f>
        <v>0.56925938756653849</v>
      </c>
      <c r="S24" s="22"/>
      <c r="T24" s="22">
        <f>SUM(OSRRefT22x_0)</f>
        <v>100445.37000000002</v>
      </c>
      <c r="U24" s="22"/>
      <c r="V24" s="35">
        <f t="shared" ref="V24:V28" si="19">IF(T$12=0,0,T24/T$12)</f>
        <v>0.51870094770953945</v>
      </c>
      <c r="W24" s="4"/>
      <c r="X24" s="22">
        <f t="shared" ref="X24:X28" si="20">+P24-T24</f>
        <v>-10906.430000000037</v>
      </c>
      <c r="Y24" s="4"/>
      <c r="Z24" s="35">
        <f t="shared" ref="Z24:Z28" si="21">IF(T24=0,0,X24/T24)</f>
        <v>-0.10858071407373017</v>
      </c>
    </row>
    <row r="25" spans="1:26" s="25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4"/>
        <v>0</v>
      </c>
      <c r="G25" s="1"/>
      <c r="H25" s="1">
        <f>SUM(OSRRefH22_0x_0)</f>
        <v>224.42</v>
      </c>
      <c r="I25" s="1"/>
      <c r="J25" s="5">
        <f t="shared" si="15"/>
        <v>3.8976462329410677E-3</v>
      </c>
      <c r="K25" s="1"/>
      <c r="L25" s="1">
        <f t="shared" si="16"/>
        <v>-224.42</v>
      </c>
      <c r="M25" s="1"/>
      <c r="N25" s="5">
        <f t="shared" si="17"/>
        <v>-1</v>
      </c>
      <c r="O25" s="13"/>
      <c r="P25" s="1">
        <f>SUM(OSRRefP22_0x_0)</f>
        <v>1171.8399999999999</v>
      </c>
      <c r="Q25" s="1"/>
      <c r="R25" s="5">
        <f t="shared" si="18"/>
        <v>7.4501766575075885E-3</v>
      </c>
      <c r="S25" s="1"/>
      <c r="T25" s="1">
        <f>SUM(OSRRefT22_0x_0)</f>
        <v>628.49</v>
      </c>
      <c r="U25" s="1"/>
      <c r="V25" s="5">
        <f t="shared" si="19"/>
        <v>3.2455289738687644E-3</v>
      </c>
      <c r="W25" s="1"/>
      <c r="X25" s="1">
        <f t="shared" si="20"/>
        <v>543.34999999999991</v>
      </c>
      <c r="Y25" s="1"/>
      <c r="Z25" s="5">
        <f t="shared" si="21"/>
        <v>0.86453245079476193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4"/>
        <v>0</v>
      </c>
      <c r="G26" s="2"/>
      <c r="H26" s="6">
        <v>224.42</v>
      </c>
      <c r="I26" s="2"/>
      <c r="J26" s="7">
        <f t="shared" si="15"/>
        <v>3.8976462329410677E-3</v>
      </c>
      <c r="K26" s="2"/>
      <c r="L26" s="6">
        <f t="shared" si="16"/>
        <v>-224.42</v>
      </c>
      <c r="M26" s="2"/>
      <c r="N26" s="7">
        <f t="shared" si="17"/>
        <v>-1</v>
      </c>
      <c r="O26" s="11"/>
      <c r="P26" s="6">
        <v>1182.24</v>
      </c>
      <c r="Q26" s="2"/>
      <c r="R26" s="7">
        <f t="shared" si="18"/>
        <v>7.5162964667290517E-3</v>
      </c>
      <c r="S26" s="2"/>
      <c r="T26" s="6">
        <v>674.64</v>
      </c>
      <c r="U26" s="2"/>
      <c r="V26" s="7">
        <f t="shared" si="19"/>
        <v>3.48384805952493E-3</v>
      </c>
      <c r="W26" s="2"/>
      <c r="X26" s="6">
        <f t="shared" si="20"/>
        <v>507.6</v>
      </c>
      <c r="Y26" s="2"/>
      <c r="Z26" s="7">
        <f t="shared" si="21"/>
        <v>0.75240128068303103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4"/>
        <v>0</v>
      </c>
      <c r="G27" s="2"/>
      <c r="H27" s="6"/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>
        <v>-10.4</v>
      </c>
      <c r="Q27" s="2"/>
      <c r="R27" s="7">
        <f t="shared" si="18"/>
        <v>-6.6119809221462769E-5</v>
      </c>
      <c r="S27" s="2"/>
      <c r="T27" s="6">
        <v>-51.59</v>
      </c>
      <c r="U27" s="2"/>
      <c r="V27" s="7">
        <f t="shared" si="19"/>
        <v>-2.6641130290360956E-4</v>
      </c>
      <c r="W27" s="2"/>
      <c r="X27" s="6">
        <f t="shared" si="20"/>
        <v>41.190000000000005</v>
      </c>
      <c r="Y27" s="2"/>
      <c r="Z27" s="7">
        <f t="shared" si="21"/>
        <v>-0.79841054467920147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5.44</v>
      </c>
      <c r="U28" s="2"/>
      <c r="V28" s="7">
        <f t="shared" si="19"/>
        <v>2.8092217247444001E-5</v>
      </c>
      <c r="W28" s="2"/>
      <c r="X28" s="6">
        <f t="shared" si="20"/>
        <v>-5.44</v>
      </c>
      <c r="Y28" s="2"/>
      <c r="Z28" s="7">
        <f t="shared" si="21"/>
        <v>-1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4" si="22">IF(D$12=0,0,D29/D$12)</f>
        <v>0</v>
      </c>
      <c r="G29" s="1"/>
      <c r="H29" s="1">
        <f>SUM(OSRRefH22_1x_0)</f>
        <v>8282.52</v>
      </c>
      <c r="I29" s="1"/>
      <c r="J29" s="5">
        <f t="shared" ref="J29:J34" si="23">IF(H$12=0,0,H29/H$12)</f>
        <v>0.14384784278254636</v>
      </c>
      <c r="K29" s="1"/>
      <c r="L29" s="1">
        <f t="shared" ref="L29:L34" si="24">+D29-H29</f>
        <v>-8282.52</v>
      </c>
      <c r="M29" s="1"/>
      <c r="N29" s="5">
        <f t="shared" ref="N29:N34" si="25">IF(H29=0,0,L29/H29)</f>
        <v>-1</v>
      </c>
      <c r="O29" s="13"/>
      <c r="P29" s="1">
        <f>SUM(OSRRefP22_1x_0)</f>
        <v>29540.829999999998</v>
      </c>
      <c r="Q29" s="1"/>
      <c r="R29" s="5">
        <f t="shared" ref="R29:R34" si="26">IF(P$12=0,0,P29/P$12)</f>
        <v>0.18781096575419845</v>
      </c>
      <c r="S29" s="1"/>
      <c r="T29" s="1">
        <f>SUM(OSRRefT22_1x_0)</f>
        <v>29339.21</v>
      </c>
      <c r="U29" s="1"/>
      <c r="V29" s="5">
        <f t="shared" ref="V29:V34" si="27">IF(T$12=0,0,T29/T$12)</f>
        <v>0.15150798918904071</v>
      </c>
      <c r="W29" s="1"/>
      <c r="X29" s="1">
        <f t="shared" ref="X29:X34" si="28">+P29-T29</f>
        <v>201.61999999999898</v>
      </c>
      <c r="Y29" s="1"/>
      <c r="Z29" s="5">
        <f t="shared" ref="Z29:Z34" si="29">IF(T29=0,0,X29/T29)</f>
        <v>6.8720323417024174E-3</v>
      </c>
    </row>
    <row r="30" spans="1:26" s="24" customFormat="1" hidden="1" outlineLevel="2" x14ac:dyDescent="0.25">
      <c r="A30" s="27"/>
      <c r="B30" s="11" t="str">
        <f>CONCATENATE("          ", "6004", " - ", "STAFF HOURLY")</f>
        <v xml:space="preserve">          6004 - STAFF HOURLY</v>
      </c>
      <c r="C30" s="11"/>
      <c r="D30" s="6"/>
      <c r="E30" s="2"/>
      <c r="F30" s="7">
        <f t="shared" si="22"/>
        <v>0</v>
      </c>
      <c r="G30" s="2"/>
      <c r="H30" s="6"/>
      <c r="I30" s="2"/>
      <c r="J30" s="7">
        <f t="shared" si="23"/>
        <v>0</v>
      </c>
      <c r="K30" s="2"/>
      <c r="L30" s="6">
        <f t="shared" si="24"/>
        <v>0</v>
      </c>
      <c r="M30" s="2"/>
      <c r="N30" s="7">
        <f t="shared" si="25"/>
        <v>0</v>
      </c>
      <c r="O30" s="11"/>
      <c r="P30" s="6">
        <v>3193.41</v>
      </c>
      <c r="Q30" s="2"/>
      <c r="R30" s="7">
        <f t="shared" si="26"/>
        <v>2.0302659612106866E-2</v>
      </c>
      <c r="S30" s="2"/>
      <c r="T30" s="6"/>
      <c r="U30" s="2"/>
      <c r="V30" s="7">
        <f t="shared" si="27"/>
        <v>0</v>
      </c>
      <c r="W30" s="2"/>
      <c r="X30" s="6">
        <f t="shared" si="28"/>
        <v>3193.41</v>
      </c>
      <c r="Y30" s="2"/>
      <c r="Z30" s="7">
        <f t="shared" si="29"/>
        <v>0</v>
      </c>
    </row>
    <row r="31" spans="1:26" s="24" customFormat="1" hidden="1" outlineLevel="2" x14ac:dyDescent="0.25">
      <c r="A31" s="27"/>
      <c r="B31" s="11" t="str">
        <f>CONCATENATE("          ", "6005", " - ", "TEMPORARY WAGES-HOURLY")</f>
        <v xml:space="preserve">          6005 - TEMPORARY WAGES-HOURLY</v>
      </c>
      <c r="C31" s="11"/>
      <c r="D31" s="6"/>
      <c r="E31" s="2"/>
      <c r="F31" s="7">
        <f t="shared" si="22"/>
        <v>0</v>
      </c>
      <c r="G31" s="2"/>
      <c r="H31" s="6">
        <v>4659.1400000000003</v>
      </c>
      <c r="I31" s="2"/>
      <c r="J31" s="7">
        <f t="shared" si="23"/>
        <v>8.0918275865542511E-2</v>
      </c>
      <c r="K31" s="2"/>
      <c r="L31" s="6">
        <f t="shared" si="24"/>
        <v>-4659.1400000000003</v>
      </c>
      <c r="M31" s="2"/>
      <c r="N31" s="7">
        <f t="shared" si="25"/>
        <v>-1</v>
      </c>
      <c r="O31" s="11"/>
      <c r="P31" s="6">
        <v>9782.57</v>
      </c>
      <c r="Q31" s="2"/>
      <c r="R31" s="7">
        <f t="shared" si="26"/>
        <v>6.2194390586115866E-2</v>
      </c>
      <c r="S31" s="2"/>
      <c r="T31" s="6">
        <v>9614.15</v>
      </c>
      <c r="U31" s="2"/>
      <c r="V31" s="7">
        <f t="shared" si="27"/>
        <v>4.9647571773807665E-2</v>
      </c>
      <c r="W31" s="2"/>
      <c r="X31" s="6">
        <f t="shared" si="28"/>
        <v>168.42000000000007</v>
      </c>
      <c r="Y31" s="2"/>
      <c r="Z31" s="7">
        <f t="shared" si="29"/>
        <v>1.7517929302122402E-2</v>
      </c>
    </row>
    <row r="32" spans="1:26" s="24" customFormat="1" hidden="1" outlineLevel="2" x14ac:dyDescent="0.25">
      <c r="A32" s="27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22"/>
        <v>0</v>
      </c>
      <c r="G32" s="2"/>
      <c r="H32" s="6"/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>
        <v>247.5</v>
      </c>
      <c r="Q32" s="2"/>
      <c r="R32" s="7">
        <f t="shared" si="26"/>
        <v>1.5735243059915418E-3</v>
      </c>
      <c r="S32" s="2"/>
      <c r="T32" s="6"/>
      <c r="U32" s="2"/>
      <c r="V32" s="7">
        <f t="shared" si="27"/>
        <v>0</v>
      </c>
      <c r="W32" s="2"/>
      <c r="X32" s="6">
        <f t="shared" si="28"/>
        <v>247.5</v>
      </c>
      <c r="Y32" s="2"/>
      <c r="Z32" s="7">
        <f t="shared" si="29"/>
        <v>0</v>
      </c>
    </row>
    <row r="33" spans="1:26" s="24" customFormat="1" hidden="1" outlineLevel="2" x14ac:dyDescent="0.25">
      <c r="A33" s="27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22"/>
        <v>0</v>
      </c>
      <c r="G33" s="2"/>
      <c r="H33" s="6">
        <v>3326.38</v>
      </c>
      <c r="I33" s="2"/>
      <c r="J33" s="7">
        <f t="shared" si="23"/>
        <v>5.7771377222754258E-2</v>
      </c>
      <c r="K33" s="2"/>
      <c r="L33" s="6">
        <f t="shared" si="24"/>
        <v>-3326.38</v>
      </c>
      <c r="M33" s="2"/>
      <c r="N33" s="7">
        <f t="shared" si="25"/>
        <v>-1</v>
      </c>
      <c r="O33" s="11"/>
      <c r="P33" s="6">
        <v>13228</v>
      </c>
      <c r="Q33" s="2"/>
      <c r="R33" s="7">
        <f t="shared" si="26"/>
        <v>8.4099311190529755E-2</v>
      </c>
      <c r="S33" s="2"/>
      <c r="T33" s="6">
        <v>18927.060000000001</v>
      </c>
      <c r="U33" s="2"/>
      <c r="V33" s="7">
        <f t="shared" si="27"/>
        <v>9.7739537017538139E-2</v>
      </c>
      <c r="W33" s="2"/>
      <c r="X33" s="6">
        <f t="shared" si="28"/>
        <v>-5699.0600000000013</v>
      </c>
      <c r="Y33" s="2"/>
      <c r="Z33" s="7">
        <f t="shared" si="29"/>
        <v>-0.30110645816096115</v>
      </c>
    </row>
    <row r="34" spans="1:26" s="24" customFormat="1" hidden="1" outlineLevel="2" x14ac:dyDescent="0.25">
      <c r="A34" s="27"/>
      <c r="B34" s="11" t="str">
        <f>CONCATENATE("          ", "6008", " - ", "STUDENT HOURLY-FICA EXEMPT")</f>
        <v xml:space="preserve">          6008 - STUDENT HOURLY-FICA EXEMPT</v>
      </c>
      <c r="C34" s="11"/>
      <c r="D34" s="6"/>
      <c r="E34" s="2"/>
      <c r="F34" s="7">
        <f t="shared" si="22"/>
        <v>0</v>
      </c>
      <c r="G34" s="2"/>
      <c r="H34" s="6">
        <v>297</v>
      </c>
      <c r="I34" s="2"/>
      <c r="J34" s="7">
        <f t="shared" si="23"/>
        <v>5.1581896942496088E-3</v>
      </c>
      <c r="K34" s="2"/>
      <c r="L34" s="6">
        <f t="shared" si="24"/>
        <v>-297</v>
      </c>
      <c r="M34" s="2"/>
      <c r="N34" s="7">
        <f t="shared" si="25"/>
        <v>-1</v>
      </c>
      <c r="O34" s="11"/>
      <c r="P34" s="6">
        <v>3089.35</v>
      </c>
      <c r="Q34" s="2"/>
      <c r="R34" s="7">
        <f t="shared" si="26"/>
        <v>1.9641080059454422E-2</v>
      </c>
      <c r="S34" s="2"/>
      <c r="T34" s="6">
        <v>798</v>
      </c>
      <c r="U34" s="2"/>
      <c r="V34" s="7">
        <f t="shared" si="27"/>
        <v>4.1208803976949104E-3</v>
      </c>
      <c r="W34" s="2"/>
      <c r="X34" s="6">
        <f t="shared" si="28"/>
        <v>2291.35</v>
      </c>
      <c r="Y34" s="2"/>
      <c r="Z34" s="7">
        <f t="shared" si="29"/>
        <v>2.8713659147869675</v>
      </c>
    </row>
    <row r="35" spans="1:26" s="25" customFormat="1" outlineLevel="1" collapsed="1" x14ac:dyDescent="0.25">
      <c r="A35" s="26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51" si="30">IF(D$12=0,0,D35/D$12)</f>
        <v>0</v>
      </c>
      <c r="G35" s="1"/>
      <c r="H35" s="1">
        <f>SUM(OSRRefH22_2x_0)</f>
        <v>194.93</v>
      </c>
      <c r="I35" s="1"/>
      <c r="J35" s="5">
        <f t="shared" ref="J35:J51" si="31">IF(H$12=0,0,H35/H$12)</f>
        <v>3.3854744683504251E-3</v>
      </c>
      <c r="K35" s="1"/>
      <c r="L35" s="1">
        <f t="shared" ref="L35:L51" si="32">+D35-H35</f>
        <v>-194.93</v>
      </c>
      <c r="M35" s="1"/>
      <c r="N35" s="5">
        <f t="shared" ref="N35:N51" si="33">IF(H35=0,0,L35/H35)</f>
        <v>-1</v>
      </c>
      <c r="O35" s="13"/>
      <c r="P35" s="1">
        <f>SUM(OSRRefP22_2x_0)</f>
        <v>3023.77</v>
      </c>
      <c r="Q35" s="1"/>
      <c r="R35" s="5">
        <f t="shared" ref="R35:R51" si="34">IF(P$12=0,0,P35/P$12)</f>
        <v>1.9224143800921391E-2</v>
      </c>
      <c r="S35" s="1"/>
      <c r="T35" s="1">
        <f>SUM(OSRRefT22_2x_0)</f>
        <v>2515.6</v>
      </c>
      <c r="U35" s="1"/>
      <c r="V35" s="5">
        <f t="shared" ref="V35:V51" si="35">IF(T$12=0,0,T35/T$12)</f>
        <v>1.2990584872733479E-2</v>
      </c>
      <c r="W35" s="1"/>
      <c r="X35" s="1">
        <f t="shared" ref="X35:X51" si="36">+P35-T35</f>
        <v>508.17000000000007</v>
      </c>
      <c r="Y35" s="1"/>
      <c r="Z35" s="5">
        <f t="shared" ref="Z35:Z51" si="37">IF(T35=0,0,X35/T35)</f>
        <v>0.20200747336619498</v>
      </c>
    </row>
    <row r="36" spans="1:26" s="24" customFormat="1" hidden="1" outlineLevel="2" x14ac:dyDescent="0.25">
      <c r="A36" s="27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30"/>
        <v>0</v>
      </c>
      <c r="G36" s="2"/>
      <c r="H36" s="6">
        <v>194.93</v>
      </c>
      <c r="I36" s="2"/>
      <c r="J36" s="7">
        <f t="shared" si="31"/>
        <v>3.3854744683504251E-3</v>
      </c>
      <c r="K36" s="2"/>
      <c r="L36" s="6">
        <f t="shared" si="32"/>
        <v>-194.93</v>
      </c>
      <c r="M36" s="2"/>
      <c r="N36" s="7">
        <f t="shared" si="33"/>
        <v>-1</v>
      </c>
      <c r="O36" s="11"/>
      <c r="P36" s="6">
        <v>3023.77</v>
      </c>
      <c r="Q36" s="2"/>
      <c r="R36" s="7">
        <f t="shared" si="34"/>
        <v>1.9224143800921391E-2</v>
      </c>
      <c r="S36" s="2"/>
      <c r="T36" s="6">
        <v>2515.6</v>
      </c>
      <c r="U36" s="2"/>
      <c r="V36" s="7">
        <f t="shared" si="35"/>
        <v>1.2990584872733479E-2</v>
      </c>
      <c r="W36" s="2"/>
      <c r="X36" s="6">
        <f t="shared" si="36"/>
        <v>508.17000000000007</v>
      </c>
      <c r="Y36" s="2"/>
      <c r="Z36" s="7">
        <f t="shared" si="37"/>
        <v>0.20200747336619498</v>
      </c>
    </row>
    <row r="37" spans="1:26" s="25" customFormat="1" outlineLevel="1" collapsed="1" x14ac:dyDescent="0.25">
      <c r="A37" s="26"/>
      <c r="B37" s="13" t="str">
        <f>CONCATENATE("     ","Bad Debts/Over/Short                              ")</f>
        <v xml:space="preserve">     Bad Debts/Over/Short                              </v>
      </c>
      <c r="C37" s="13"/>
      <c r="D37" s="1">
        <f>SUM(OSRRefD22_3x_0)</f>
        <v>0</v>
      </c>
      <c r="E37" s="1"/>
      <c r="F37" s="5">
        <f t="shared" si="30"/>
        <v>0</v>
      </c>
      <c r="G37" s="1"/>
      <c r="H37" s="1">
        <f>SUM(OSRRefH22_3x_0)</f>
        <v>-44.56</v>
      </c>
      <c r="I37" s="1"/>
      <c r="J37" s="5">
        <f t="shared" si="31"/>
        <v>-7.7390213055812316E-4</v>
      </c>
      <c r="K37" s="1"/>
      <c r="L37" s="1">
        <f t="shared" si="32"/>
        <v>44.56</v>
      </c>
      <c r="M37" s="1"/>
      <c r="N37" s="5">
        <f t="shared" si="33"/>
        <v>-1</v>
      </c>
      <c r="O37" s="13"/>
      <c r="P37" s="1">
        <f>SUM(OSRRefP22_3x_0)</f>
        <v>19.399999999999999</v>
      </c>
      <c r="Q37" s="1"/>
      <c r="R37" s="5">
        <f t="shared" si="34"/>
        <v>1.2333887489388246E-4</v>
      </c>
      <c r="S37" s="1"/>
      <c r="T37" s="1">
        <f>SUM(OSRRefT22_3x_0)</f>
        <v>-104.89</v>
      </c>
      <c r="U37" s="1"/>
      <c r="V37" s="5">
        <f t="shared" si="35"/>
        <v>-5.4165306380227966E-4</v>
      </c>
      <c r="W37" s="1"/>
      <c r="X37" s="1">
        <f t="shared" si="36"/>
        <v>124.28999999999999</v>
      </c>
      <c r="Y37" s="1"/>
      <c r="Z37" s="5">
        <f t="shared" si="37"/>
        <v>-1.1849556678425015</v>
      </c>
    </row>
    <row r="38" spans="1:26" s="24" customFormat="1" hidden="1" outlineLevel="2" x14ac:dyDescent="0.25">
      <c r="A38" s="27"/>
      <c r="B38" s="11" t="str">
        <f>CONCATENATE("          ", "6272", " - ", "CASH (OVER/SHORT)")</f>
        <v xml:space="preserve">          6272 - CASH (OVER/SHORT)</v>
      </c>
      <c r="C38" s="11"/>
      <c r="D38" s="6"/>
      <c r="E38" s="2"/>
      <c r="F38" s="7">
        <f t="shared" si="30"/>
        <v>0</v>
      </c>
      <c r="G38" s="2"/>
      <c r="H38" s="6">
        <v>-44.56</v>
      </c>
      <c r="I38" s="2"/>
      <c r="J38" s="7">
        <f t="shared" si="31"/>
        <v>-7.7390213055812316E-4</v>
      </c>
      <c r="K38" s="2"/>
      <c r="L38" s="6">
        <f t="shared" si="32"/>
        <v>44.56</v>
      </c>
      <c r="M38" s="2"/>
      <c r="N38" s="7">
        <f t="shared" si="33"/>
        <v>-1</v>
      </c>
      <c r="O38" s="11"/>
      <c r="P38" s="6">
        <v>19.399999999999999</v>
      </c>
      <c r="Q38" s="2"/>
      <c r="R38" s="7">
        <f t="shared" si="34"/>
        <v>1.2333887489388246E-4</v>
      </c>
      <c r="S38" s="2"/>
      <c r="T38" s="6">
        <v>-104.89</v>
      </c>
      <c r="U38" s="2"/>
      <c r="V38" s="7">
        <f t="shared" si="35"/>
        <v>-5.4165306380227966E-4</v>
      </c>
      <c r="W38" s="2"/>
      <c r="X38" s="6">
        <f t="shared" si="36"/>
        <v>124.28999999999999</v>
      </c>
      <c r="Y38" s="2"/>
      <c r="Z38" s="7">
        <f t="shared" si="37"/>
        <v>-1.1849556678425015</v>
      </c>
    </row>
    <row r="39" spans="1:26" s="25" customFormat="1" outlineLevel="1" collapsed="1" x14ac:dyDescent="0.25">
      <c r="A39" s="26"/>
      <c r="B39" s="13" t="str">
        <f>CONCATENATE("     ","Bank/card Fees                                    ")</f>
        <v xml:space="preserve">     Bank/card Fees                                    </v>
      </c>
      <c r="C39" s="13"/>
      <c r="D39" s="1">
        <f>SUM(OSRRefD22_4x_0)</f>
        <v>0</v>
      </c>
      <c r="E39" s="1"/>
      <c r="F39" s="5">
        <f t="shared" si="30"/>
        <v>0</v>
      </c>
      <c r="G39" s="1"/>
      <c r="H39" s="1">
        <f>SUM(OSRRefH22_4x_0)</f>
        <v>966.53</v>
      </c>
      <c r="I39" s="1"/>
      <c r="J39" s="5">
        <f t="shared" si="31"/>
        <v>1.6786347088158498E-2</v>
      </c>
      <c r="K39" s="1"/>
      <c r="L39" s="1">
        <f t="shared" si="32"/>
        <v>-966.53</v>
      </c>
      <c r="M39" s="1"/>
      <c r="N39" s="5">
        <f t="shared" si="33"/>
        <v>-1</v>
      </c>
      <c r="O39" s="13"/>
      <c r="P39" s="1">
        <f>SUM(OSRRefP22_4x_0)</f>
        <v>4064.54</v>
      </c>
      <c r="Q39" s="1"/>
      <c r="R39" s="5">
        <f t="shared" si="34"/>
        <v>2.5841020132019641E-2</v>
      </c>
      <c r="S39" s="1"/>
      <c r="T39" s="1">
        <f>SUM(OSRRefT22_4x_0)</f>
        <v>4337.9799999999996</v>
      </c>
      <c r="U39" s="1"/>
      <c r="V39" s="5">
        <f t="shared" si="35"/>
        <v>2.2401374370416748E-2</v>
      </c>
      <c r="W39" s="1"/>
      <c r="X39" s="1">
        <f t="shared" si="36"/>
        <v>-273.4399999999996</v>
      </c>
      <c r="Y39" s="1"/>
      <c r="Z39" s="5">
        <f t="shared" si="37"/>
        <v>-6.3033946675641578E-2</v>
      </c>
    </row>
    <row r="40" spans="1:26" s="24" customFormat="1" hidden="1" outlineLevel="2" x14ac:dyDescent="0.25">
      <c r="A40" s="27"/>
      <c r="B40" s="11" t="str">
        <f>CONCATENATE("          ", "6381", " - ", "BANK/CREDIT CARD FEES")</f>
        <v xml:space="preserve">          6381 - BANK/CREDIT CARD FEES</v>
      </c>
      <c r="C40" s="11"/>
      <c r="D40" s="6"/>
      <c r="E40" s="2"/>
      <c r="F40" s="7">
        <f t="shared" si="30"/>
        <v>0</v>
      </c>
      <c r="G40" s="2"/>
      <c r="H40" s="6">
        <v>966.53</v>
      </c>
      <c r="I40" s="2"/>
      <c r="J40" s="7">
        <f t="shared" si="31"/>
        <v>1.6786347088158498E-2</v>
      </c>
      <c r="K40" s="2"/>
      <c r="L40" s="6">
        <f t="shared" si="32"/>
        <v>-966.53</v>
      </c>
      <c r="M40" s="2"/>
      <c r="N40" s="7">
        <f t="shared" si="33"/>
        <v>-1</v>
      </c>
      <c r="O40" s="11"/>
      <c r="P40" s="6">
        <v>4064.54</v>
      </c>
      <c r="Q40" s="2"/>
      <c r="R40" s="7">
        <f t="shared" si="34"/>
        <v>2.5841020132019641E-2</v>
      </c>
      <c r="S40" s="2"/>
      <c r="T40" s="6">
        <v>4337.9799999999996</v>
      </c>
      <c r="U40" s="2"/>
      <c r="V40" s="7">
        <f t="shared" si="35"/>
        <v>2.2401374370416748E-2</v>
      </c>
      <c r="W40" s="2"/>
      <c r="X40" s="6">
        <f t="shared" si="36"/>
        <v>-273.4399999999996</v>
      </c>
      <c r="Y40" s="2"/>
      <c r="Z40" s="7">
        <f t="shared" si="37"/>
        <v>-6.3033946675641578E-2</v>
      </c>
    </row>
    <row r="41" spans="1:26" s="25" customFormat="1" outlineLevel="1" collapsed="1" x14ac:dyDescent="0.25">
      <c r="A41" s="26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SUM(OSRRefD22_5x_0)</f>
        <v>479.29</v>
      </c>
      <c r="E41" s="1"/>
      <c r="F41" s="5">
        <f t="shared" si="30"/>
        <v>0</v>
      </c>
      <c r="G41" s="1"/>
      <c r="H41" s="1">
        <f>SUM(OSRRefH22_5x_0)</f>
        <v>0</v>
      </c>
      <c r="I41" s="1"/>
      <c r="J41" s="5">
        <f t="shared" si="31"/>
        <v>0</v>
      </c>
      <c r="K41" s="1"/>
      <c r="L41" s="1">
        <f t="shared" si="32"/>
        <v>479.29</v>
      </c>
      <c r="M41" s="1"/>
      <c r="N41" s="5">
        <f t="shared" si="33"/>
        <v>0</v>
      </c>
      <c r="O41" s="13"/>
      <c r="P41" s="1">
        <f>SUM(OSRRefP22_5x_0)</f>
        <v>958.58</v>
      </c>
      <c r="Q41" s="1"/>
      <c r="R41" s="5">
        <f t="shared" si="34"/>
        <v>6.0943391080297863E-3</v>
      </c>
      <c r="S41" s="1"/>
      <c r="T41" s="1">
        <f>SUM(OSRRefT22_5x_0)</f>
        <v>0</v>
      </c>
      <c r="U41" s="1"/>
      <c r="V41" s="5">
        <f t="shared" si="35"/>
        <v>0</v>
      </c>
      <c r="W41" s="1"/>
      <c r="X41" s="1">
        <f t="shared" si="36"/>
        <v>958.58</v>
      </c>
      <c r="Y41" s="1"/>
      <c r="Z41" s="5">
        <f t="shared" si="37"/>
        <v>0</v>
      </c>
    </row>
    <row r="42" spans="1:26" s="24" customFormat="1" hidden="1" outlineLevel="2" x14ac:dyDescent="0.25">
      <c r="A42" s="27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479.29</v>
      </c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479.29</v>
      </c>
      <c r="M42" s="2"/>
      <c r="N42" s="7">
        <f t="shared" si="33"/>
        <v>0</v>
      </c>
      <c r="O42" s="11"/>
      <c r="P42" s="6">
        <v>958.58</v>
      </c>
      <c r="Q42" s="2"/>
      <c r="R42" s="7">
        <f t="shared" si="34"/>
        <v>6.0943391080297863E-3</v>
      </c>
      <c r="S42" s="2"/>
      <c r="T42" s="6"/>
      <c r="U42" s="2"/>
      <c r="V42" s="7">
        <f t="shared" si="35"/>
        <v>0</v>
      </c>
      <c r="W42" s="2"/>
      <c r="X42" s="6">
        <f t="shared" si="36"/>
        <v>958.58</v>
      </c>
      <c r="Y42" s="2"/>
      <c r="Z42" s="7">
        <f t="shared" si="37"/>
        <v>0</v>
      </c>
    </row>
    <row r="43" spans="1:26" s="25" customFormat="1" outlineLevel="1" collapsed="1" x14ac:dyDescent="0.25">
      <c r="A43" s="26"/>
      <c r="B43" s="13" t="str">
        <f>CONCATENATE("     ","Employees' Appreciation                           ")</f>
        <v xml:space="preserve">     Employees' Appreciation                           </v>
      </c>
      <c r="C43" s="13"/>
      <c r="D43" s="1">
        <f>SUM(OSRRefD22_6x_0)</f>
        <v>0</v>
      </c>
      <c r="E43" s="1"/>
      <c r="F43" s="5">
        <f t="shared" si="30"/>
        <v>0</v>
      </c>
      <c r="G43" s="1"/>
      <c r="H43" s="1">
        <f>SUM(OSRRefH22_6x_0)</f>
        <v>15.54</v>
      </c>
      <c r="I43" s="1"/>
      <c r="J43" s="5">
        <f t="shared" si="31"/>
        <v>2.6989315773952495E-4</v>
      </c>
      <c r="K43" s="1"/>
      <c r="L43" s="1">
        <f t="shared" si="32"/>
        <v>-15.54</v>
      </c>
      <c r="M43" s="1"/>
      <c r="N43" s="5">
        <f t="shared" si="33"/>
        <v>-1</v>
      </c>
      <c r="O43" s="13"/>
      <c r="P43" s="1">
        <f>SUM(OSRRefP22_6x_0)</f>
        <v>307.2</v>
      </c>
      <c r="Q43" s="1"/>
      <c r="R43" s="5">
        <f t="shared" si="34"/>
        <v>1.9530774416185923E-3</v>
      </c>
      <c r="S43" s="1"/>
      <c r="T43" s="1">
        <f>SUM(OSRRefT22_6x_0)</f>
        <v>121.93</v>
      </c>
      <c r="U43" s="1"/>
      <c r="V43" s="5">
        <f t="shared" si="35"/>
        <v>6.2964780312147926E-4</v>
      </c>
      <c r="W43" s="1"/>
      <c r="X43" s="1">
        <f t="shared" si="36"/>
        <v>185.26999999999998</v>
      </c>
      <c r="Y43" s="1"/>
      <c r="Z43" s="5">
        <f t="shared" si="37"/>
        <v>1.5194783892397274</v>
      </c>
    </row>
    <row r="44" spans="1:26" s="24" customFormat="1" hidden="1" outlineLevel="2" x14ac:dyDescent="0.25">
      <c r="A44" s="27"/>
      <c r="B44" s="11" t="str">
        <f>CONCATENATE("          ", "6277", " - ", "EMPLOYEE APPRECIATION")</f>
        <v xml:space="preserve">          6277 - EMPLOYEE APPRECIATION</v>
      </c>
      <c r="C44" s="11"/>
      <c r="D44" s="6"/>
      <c r="E44" s="2"/>
      <c r="F44" s="7">
        <f t="shared" si="30"/>
        <v>0</v>
      </c>
      <c r="G44" s="2"/>
      <c r="H44" s="6">
        <v>15.54</v>
      </c>
      <c r="I44" s="2"/>
      <c r="J44" s="7">
        <f t="shared" si="31"/>
        <v>2.6989315773952495E-4</v>
      </c>
      <c r="K44" s="2"/>
      <c r="L44" s="6">
        <f t="shared" si="32"/>
        <v>-15.54</v>
      </c>
      <c r="M44" s="2"/>
      <c r="N44" s="7">
        <f t="shared" si="33"/>
        <v>-1</v>
      </c>
      <c r="O44" s="11"/>
      <c r="P44" s="6">
        <v>307.2</v>
      </c>
      <c r="Q44" s="2"/>
      <c r="R44" s="7">
        <f t="shared" si="34"/>
        <v>1.9530774416185923E-3</v>
      </c>
      <c r="S44" s="2"/>
      <c r="T44" s="6">
        <v>121.93</v>
      </c>
      <c r="U44" s="2"/>
      <c r="V44" s="7">
        <f t="shared" si="35"/>
        <v>6.2964780312147926E-4</v>
      </c>
      <c r="W44" s="2"/>
      <c r="X44" s="6">
        <f t="shared" si="36"/>
        <v>185.26999999999998</v>
      </c>
      <c r="Y44" s="2"/>
      <c r="Z44" s="7">
        <f t="shared" si="37"/>
        <v>1.5194783892397274</v>
      </c>
    </row>
    <row r="45" spans="1:26" s="25" customFormat="1" outlineLevel="1" collapsed="1" x14ac:dyDescent="0.25">
      <c r="A45" s="26"/>
      <c r="B45" s="13" t="str">
        <f>CONCATENATE("     ","Equipment Rental                                  ")</f>
        <v xml:space="preserve">     Equipment Rental                                  </v>
      </c>
      <c r="C45" s="13"/>
      <c r="D45" s="1">
        <f>SUM(OSRRefD22_7x_0)</f>
        <v>0</v>
      </c>
      <c r="E45" s="1"/>
      <c r="F45" s="5">
        <f t="shared" si="30"/>
        <v>0</v>
      </c>
      <c r="G45" s="1"/>
      <c r="H45" s="1">
        <f>SUM(OSRRefH22_7x_0)</f>
        <v>100</v>
      </c>
      <c r="I45" s="1"/>
      <c r="J45" s="5">
        <f t="shared" si="31"/>
        <v>1.7367642068180501E-3</v>
      </c>
      <c r="K45" s="1"/>
      <c r="L45" s="1">
        <f t="shared" si="32"/>
        <v>-100</v>
      </c>
      <c r="M45" s="1"/>
      <c r="N45" s="5">
        <f t="shared" si="33"/>
        <v>-1</v>
      </c>
      <c r="O45" s="13"/>
      <c r="P45" s="1">
        <f>SUM(OSRRefP22_7x_0)</f>
        <v>0</v>
      </c>
      <c r="Q45" s="1"/>
      <c r="R45" s="5">
        <f t="shared" si="34"/>
        <v>0</v>
      </c>
      <c r="S45" s="1"/>
      <c r="T45" s="1">
        <f>SUM(OSRRefT22_7x_0)</f>
        <v>100</v>
      </c>
      <c r="U45" s="1"/>
      <c r="V45" s="5">
        <f t="shared" si="35"/>
        <v>5.1640105234272054E-4</v>
      </c>
      <c r="W45" s="1"/>
      <c r="X45" s="1">
        <f t="shared" si="36"/>
        <v>-100</v>
      </c>
      <c r="Y45" s="1"/>
      <c r="Z45" s="5">
        <f t="shared" si="37"/>
        <v>-1</v>
      </c>
    </row>
    <row r="46" spans="1:26" s="24" customFormat="1" hidden="1" outlineLevel="2" x14ac:dyDescent="0.25">
      <c r="A46" s="27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30"/>
        <v>0</v>
      </c>
      <c r="G46" s="2"/>
      <c r="H46" s="6">
        <v>100</v>
      </c>
      <c r="I46" s="2"/>
      <c r="J46" s="7">
        <f t="shared" si="31"/>
        <v>1.7367642068180501E-3</v>
      </c>
      <c r="K46" s="2"/>
      <c r="L46" s="6">
        <f t="shared" si="32"/>
        <v>-100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100</v>
      </c>
      <c r="U46" s="2"/>
      <c r="V46" s="7">
        <f t="shared" si="35"/>
        <v>5.1640105234272054E-4</v>
      </c>
      <c r="W46" s="2"/>
      <c r="X46" s="6">
        <f t="shared" si="36"/>
        <v>-100</v>
      </c>
      <c r="Y46" s="2"/>
      <c r="Z46" s="7">
        <f t="shared" si="37"/>
        <v>-1</v>
      </c>
    </row>
    <row r="47" spans="1:26" s="25" customFormat="1" outlineLevel="1" collapsed="1" x14ac:dyDescent="0.25">
      <c r="A47" s="26"/>
      <c r="B47" s="13" t="str">
        <f>CONCATENATE("     ","General                                           ")</f>
        <v xml:space="preserve">     General                                           </v>
      </c>
      <c r="C47" s="13"/>
      <c r="D47" s="1">
        <f>SUM(OSRRefD22_8x_0)</f>
        <v>314.43</v>
      </c>
      <c r="E47" s="1"/>
      <c r="F47" s="5">
        <f t="shared" si="30"/>
        <v>0</v>
      </c>
      <c r="G47" s="1"/>
      <c r="H47" s="1">
        <f>SUM(OSRRefH22_8x_0)</f>
        <v>54.01</v>
      </c>
      <c r="I47" s="1"/>
      <c r="J47" s="5">
        <f t="shared" si="31"/>
        <v>9.3802634810242883E-4</v>
      </c>
      <c r="K47" s="1"/>
      <c r="L47" s="1">
        <f t="shared" si="32"/>
        <v>260.42</v>
      </c>
      <c r="M47" s="1"/>
      <c r="N47" s="5">
        <f t="shared" si="33"/>
        <v>4.8216996852434741</v>
      </c>
      <c r="O47" s="13"/>
      <c r="P47" s="1">
        <f>SUM(OSRRefP22_8x_0)</f>
        <v>5005.68</v>
      </c>
      <c r="Q47" s="1"/>
      <c r="R47" s="5">
        <f t="shared" si="34"/>
        <v>3.1824481406124205E-2</v>
      </c>
      <c r="S47" s="1"/>
      <c r="T47" s="1">
        <f>SUM(OSRRefT22_8x_0)</f>
        <v>2412.66</v>
      </c>
      <c r="U47" s="1"/>
      <c r="V47" s="5">
        <f t="shared" si="35"/>
        <v>1.2459001629451882E-2</v>
      </c>
      <c r="W47" s="1"/>
      <c r="X47" s="1">
        <f t="shared" si="36"/>
        <v>2593.0200000000004</v>
      </c>
      <c r="Y47" s="1"/>
      <c r="Z47" s="5">
        <f t="shared" si="37"/>
        <v>1.0747556638730698</v>
      </c>
    </row>
    <row r="48" spans="1:26" s="24" customFormat="1" hidden="1" outlineLevel="2" x14ac:dyDescent="0.25">
      <c r="A48" s="27"/>
      <c r="B48" s="11" t="str">
        <f>CONCATENATE("          ", "6279", " - ", "GENERAL EXPENSE")</f>
        <v xml:space="preserve">          6279 - GENERAL EXPENSE</v>
      </c>
      <c r="C48" s="11"/>
      <c r="D48" s="6">
        <v>314.43</v>
      </c>
      <c r="E48" s="2"/>
      <c r="F48" s="7">
        <f t="shared" si="30"/>
        <v>0</v>
      </c>
      <c r="G48" s="2"/>
      <c r="H48" s="6">
        <v>54.01</v>
      </c>
      <c r="I48" s="2"/>
      <c r="J48" s="7">
        <f t="shared" si="31"/>
        <v>9.3802634810242883E-4</v>
      </c>
      <c r="K48" s="2"/>
      <c r="L48" s="6">
        <f t="shared" si="32"/>
        <v>260.42</v>
      </c>
      <c r="M48" s="2"/>
      <c r="N48" s="7">
        <f t="shared" si="33"/>
        <v>4.8216996852434741</v>
      </c>
      <c r="O48" s="11"/>
      <c r="P48" s="6">
        <v>5005.68</v>
      </c>
      <c r="Q48" s="2"/>
      <c r="R48" s="7">
        <f t="shared" si="34"/>
        <v>3.1824481406124205E-2</v>
      </c>
      <c r="S48" s="2"/>
      <c r="T48" s="6">
        <v>2412.66</v>
      </c>
      <c r="U48" s="2"/>
      <c r="V48" s="7">
        <f t="shared" si="35"/>
        <v>1.2459001629451882E-2</v>
      </c>
      <c r="W48" s="2"/>
      <c r="X48" s="6">
        <f t="shared" si="36"/>
        <v>2593.0200000000004</v>
      </c>
      <c r="Y48" s="2"/>
      <c r="Z48" s="7">
        <f t="shared" si="37"/>
        <v>1.0747556638730698</v>
      </c>
    </row>
    <row r="49" spans="1:26" s="25" customFormat="1" outlineLevel="1" collapsed="1" x14ac:dyDescent="0.25">
      <c r="A49" s="26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SUM(OSRRefD22_9x_0)</f>
        <v>0</v>
      </c>
      <c r="E49" s="1"/>
      <c r="F49" s="5">
        <f t="shared" si="30"/>
        <v>0</v>
      </c>
      <c r="G49" s="1"/>
      <c r="H49" s="1">
        <f>SUM(OSRRefH22_9x_0)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3"/>
      <c r="P49" s="1">
        <f>SUM(OSRRefP22_9x_0)</f>
        <v>1797.2199999999998</v>
      </c>
      <c r="Q49" s="1"/>
      <c r="R49" s="5">
        <f t="shared" si="34"/>
        <v>1.1426138800865125E-2</v>
      </c>
      <c r="S49" s="1"/>
      <c r="T49" s="1">
        <f>SUM(OSRRefT22_9x_0)</f>
        <v>2683.5099999999998</v>
      </c>
      <c r="U49" s="1"/>
      <c r="V49" s="5">
        <f t="shared" si="35"/>
        <v>1.385767387972214E-2</v>
      </c>
      <c r="W49" s="1"/>
      <c r="X49" s="1">
        <f t="shared" si="36"/>
        <v>-886.29</v>
      </c>
      <c r="Y49" s="1"/>
      <c r="Z49" s="5">
        <f t="shared" si="37"/>
        <v>-0.33027266527793825</v>
      </c>
    </row>
    <row r="50" spans="1:26" s="24" customFormat="1" hidden="1" outlineLevel="2" x14ac:dyDescent="0.25">
      <c r="A50" s="27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1"/>
      <c r="P50" s="6">
        <v>296.64</v>
      </c>
      <c r="Q50" s="2"/>
      <c r="R50" s="7">
        <f t="shared" si="34"/>
        <v>1.8859404045629532E-3</v>
      </c>
      <c r="S50" s="2"/>
      <c r="T50" s="6">
        <v>580.14</v>
      </c>
      <c r="U50" s="2"/>
      <c r="V50" s="7">
        <f t="shared" si="35"/>
        <v>2.9958490650610591E-3</v>
      </c>
      <c r="W50" s="2"/>
      <c r="X50" s="6">
        <f t="shared" si="36"/>
        <v>-283.5</v>
      </c>
      <c r="Y50" s="2"/>
      <c r="Z50" s="7">
        <f t="shared" si="37"/>
        <v>-0.48867514737821904</v>
      </c>
    </row>
    <row r="51" spans="1:26" s="24" customFormat="1" hidden="1" outlineLevel="2" x14ac:dyDescent="0.25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>
        <v>1500.58</v>
      </c>
      <c r="Q51" s="2"/>
      <c r="R51" s="7">
        <f t="shared" si="34"/>
        <v>9.5401983963021731E-3</v>
      </c>
      <c r="S51" s="2"/>
      <c r="T51" s="6">
        <v>2103.37</v>
      </c>
      <c r="U51" s="2"/>
      <c r="V51" s="7">
        <f t="shared" si="35"/>
        <v>1.0861824814661081E-2</v>
      </c>
      <c r="W51" s="2"/>
      <c r="X51" s="6">
        <f t="shared" si="36"/>
        <v>-602.79</v>
      </c>
      <c r="Y51" s="2"/>
      <c r="Z51" s="7">
        <f t="shared" si="37"/>
        <v>-0.28658295972653408</v>
      </c>
    </row>
    <row r="52" spans="1:26" s="25" customFormat="1" outlineLevel="1" collapsed="1" x14ac:dyDescent="0.25">
      <c r="A52" s="26"/>
      <c r="B52" s="13" t="str">
        <f>CONCATENATE("     ","Royalty &amp; Commissions                             ")</f>
        <v xml:space="preserve">     Royalty &amp; Commissions                             </v>
      </c>
      <c r="C52" s="13"/>
      <c r="D52" s="1">
        <f>SUM(OSRRefD22_10x_0)</f>
        <v>0</v>
      </c>
      <c r="E52" s="1"/>
      <c r="F52" s="5">
        <f t="shared" ref="F52:F62" si="38">IF(D$12=0,0,D52/D$12)</f>
        <v>0</v>
      </c>
      <c r="G52" s="1"/>
      <c r="H52" s="1">
        <f>SUM(OSRRefH22_10x_0)</f>
        <v>12241.39</v>
      </c>
      <c r="I52" s="1"/>
      <c r="J52" s="5">
        <f t="shared" ref="J52:J62" si="39">IF(H$12=0,0,H52/H$12)</f>
        <v>0.21260407993700409</v>
      </c>
      <c r="K52" s="1"/>
      <c r="L52" s="1">
        <f t="shared" ref="L52:L62" si="40">+D52-H52</f>
        <v>-12241.39</v>
      </c>
      <c r="M52" s="1"/>
      <c r="N52" s="5">
        <f t="shared" ref="N52:N62" si="41">IF(H52=0,0,L52/H52)</f>
        <v>-1</v>
      </c>
      <c r="O52" s="13"/>
      <c r="P52" s="1">
        <f>SUM(OSRRefP22_10x_0)</f>
        <v>35313.08</v>
      </c>
      <c r="Q52" s="1"/>
      <c r="R52" s="5">
        <f t="shared" ref="R52:R62" si="42">IF(P$12=0,0,P52/P$12)</f>
        <v>0.2245090492906012</v>
      </c>
      <c r="S52" s="1"/>
      <c r="T52" s="1">
        <f>SUM(OSRRefT22_10x_0)</f>
        <v>47806.55</v>
      </c>
      <c r="U52" s="1"/>
      <c r="V52" s="5">
        <f t="shared" ref="V52:V62" si="43">IF(T$12=0,0,T52/T$12)</f>
        <v>0.2468735272887489</v>
      </c>
      <c r="W52" s="1"/>
      <c r="X52" s="1">
        <f t="shared" ref="X52:X62" si="44">+P52-T52</f>
        <v>-12493.470000000001</v>
      </c>
      <c r="Y52" s="1"/>
      <c r="Z52" s="5">
        <f t="shared" ref="Z52:Z62" si="45">IF(T52=0,0,X52/T52)</f>
        <v>-0.26133385487971839</v>
      </c>
    </row>
    <row r="53" spans="1:26" s="24" customFormat="1" hidden="1" outlineLevel="2" x14ac:dyDescent="0.25">
      <c r="A53" s="27"/>
      <c r="B53" s="11" t="str">
        <f>CONCATENATE("          ", "6254", " - ", "ROYALTY &amp; COMMISSIONS")</f>
        <v xml:space="preserve">          6254 - ROYALTY &amp; COMMISSIONS</v>
      </c>
      <c r="C53" s="11"/>
      <c r="D53" s="6"/>
      <c r="E53" s="2"/>
      <c r="F53" s="7">
        <f t="shared" si="38"/>
        <v>0</v>
      </c>
      <c r="G53" s="2"/>
      <c r="H53" s="6">
        <v>12241.39</v>
      </c>
      <c r="I53" s="2"/>
      <c r="J53" s="7">
        <f t="shared" si="39"/>
        <v>0.21260407993700409</v>
      </c>
      <c r="K53" s="2"/>
      <c r="L53" s="6">
        <f t="shared" si="40"/>
        <v>-12241.39</v>
      </c>
      <c r="M53" s="2"/>
      <c r="N53" s="7">
        <f t="shared" si="41"/>
        <v>-1</v>
      </c>
      <c r="O53" s="11"/>
      <c r="P53" s="6">
        <v>35313.08</v>
      </c>
      <c r="Q53" s="2"/>
      <c r="R53" s="7">
        <f t="shared" si="42"/>
        <v>0.2245090492906012</v>
      </c>
      <c r="S53" s="2"/>
      <c r="T53" s="6">
        <v>47806.55</v>
      </c>
      <c r="U53" s="2"/>
      <c r="V53" s="7">
        <f t="shared" si="43"/>
        <v>0.2468735272887489</v>
      </c>
      <c r="W53" s="2"/>
      <c r="X53" s="6">
        <f t="shared" si="44"/>
        <v>-12493.470000000001</v>
      </c>
      <c r="Y53" s="2"/>
      <c r="Z53" s="7">
        <f t="shared" si="45"/>
        <v>-0.26133385487971839</v>
      </c>
    </row>
    <row r="54" spans="1:26" s="25" customFormat="1" outlineLevel="1" collapsed="1" x14ac:dyDescent="0.25">
      <c r="A54" s="26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SUM(OSRRefD22_11x_0)</f>
        <v>0</v>
      </c>
      <c r="E54" s="1"/>
      <c r="F54" s="5">
        <f t="shared" si="38"/>
        <v>0</v>
      </c>
      <c r="G54" s="1"/>
      <c r="H54" s="1">
        <f>SUM(OSRRefH22_11x_0)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3"/>
      <c r="P54" s="1">
        <f>SUM(OSRRefP22_11x_0)</f>
        <v>126</v>
      </c>
      <c r="Q54" s="1"/>
      <c r="R54" s="5">
        <f t="shared" si="42"/>
        <v>8.0106691941387578E-4</v>
      </c>
      <c r="S54" s="1"/>
      <c r="T54" s="1">
        <f>SUM(OSRRefT22_11x_0)</f>
        <v>123.5</v>
      </c>
      <c r="U54" s="1"/>
      <c r="V54" s="5">
        <f t="shared" si="43"/>
        <v>6.3775529964325991E-4</v>
      </c>
      <c r="W54" s="1"/>
      <c r="X54" s="1">
        <f t="shared" si="44"/>
        <v>2.5</v>
      </c>
      <c r="Y54" s="1"/>
      <c r="Z54" s="5">
        <f t="shared" si="45"/>
        <v>2.0242914979757085E-2</v>
      </c>
    </row>
    <row r="55" spans="1:26" s="24" customFormat="1" hidden="1" outlineLevel="2" x14ac:dyDescent="0.25">
      <c r="A55" s="27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/>
      <c r="I55" s="2"/>
      <c r="J55" s="7">
        <f t="shared" si="39"/>
        <v>0</v>
      </c>
      <c r="K55" s="2"/>
      <c r="L55" s="6">
        <f t="shared" si="40"/>
        <v>0</v>
      </c>
      <c r="M55" s="2"/>
      <c r="N55" s="7">
        <f t="shared" si="41"/>
        <v>0</v>
      </c>
      <c r="O55" s="11"/>
      <c r="P55" s="6">
        <v>126</v>
      </c>
      <c r="Q55" s="2"/>
      <c r="R55" s="7">
        <f t="shared" si="42"/>
        <v>8.0106691941387578E-4</v>
      </c>
      <c r="S55" s="2"/>
      <c r="T55" s="6">
        <v>123.5</v>
      </c>
      <c r="U55" s="2"/>
      <c r="V55" s="7">
        <f t="shared" si="43"/>
        <v>6.3775529964325991E-4</v>
      </c>
      <c r="W55" s="2"/>
      <c r="X55" s="6">
        <f t="shared" si="44"/>
        <v>2.5</v>
      </c>
      <c r="Y55" s="2"/>
      <c r="Z55" s="7">
        <f t="shared" si="45"/>
        <v>2.0242914979757085E-2</v>
      </c>
    </row>
    <row r="56" spans="1:26" s="25" customFormat="1" outlineLevel="1" collapsed="1" x14ac:dyDescent="0.25">
      <c r="A56" s="26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SUM(OSRRefD22_12x_0)</f>
        <v>283.35000000000002</v>
      </c>
      <c r="E56" s="1"/>
      <c r="F56" s="5">
        <f t="shared" si="38"/>
        <v>0</v>
      </c>
      <c r="G56" s="1"/>
      <c r="H56" s="1">
        <f>SUM(OSRRefH22_12x_0)</f>
        <v>1365.3700000000001</v>
      </c>
      <c r="I56" s="1"/>
      <c r="J56" s="5">
        <f t="shared" si="39"/>
        <v>2.3713257450631613E-2</v>
      </c>
      <c r="K56" s="1"/>
      <c r="L56" s="1">
        <f t="shared" si="40"/>
        <v>-1082.02</v>
      </c>
      <c r="M56" s="1"/>
      <c r="N56" s="5">
        <f t="shared" si="41"/>
        <v>-0.79247383493119072</v>
      </c>
      <c r="O56" s="13"/>
      <c r="P56" s="1">
        <f>SUM(OSRRefP22_12x_0)</f>
        <v>6070.7100000000009</v>
      </c>
      <c r="Q56" s="1"/>
      <c r="R56" s="5">
        <f t="shared" si="42"/>
        <v>3.8595594907579453E-2</v>
      </c>
      <c r="S56" s="1"/>
      <c r="T56" s="1">
        <f>SUM(OSRRefT22_12x_0)</f>
        <v>8052.7300000000005</v>
      </c>
      <c r="U56" s="1"/>
      <c r="V56" s="5">
        <f t="shared" si="43"/>
        <v>4.1584382462317965E-2</v>
      </c>
      <c r="W56" s="1"/>
      <c r="X56" s="1">
        <f t="shared" si="44"/>
        <v>-1982.0199999999995</v>
      </c>
      <c r="Y56" s="1"/>
      <c r="Z56" s="5">
        <f t="shared" si="45"/>
        <v>-0.24613019435644798</v>
      </c>
    </row>
    <row r="57" spans="1:26" s="24" customFormat="1" hidden="1" outlineLevel="2" x14ac:dyDescent="0.25">
      <c r="A57" s="27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/>
      <c r="Q57" s="2"/>
      <c r="R57" s="7">
        <f t="shared" si="42"/>
        <v>0</v>
      </c>
      <c r="S57" s="2"/>
      <c r="T57" s="6">
        <v>106.94</v>
      </c>
      <c r="U57" s="2"/>
      <c r="V57" s="7">
        <f t="shared" si="43"/>
        <v>5.5223928537530536E-4</v>
      </c>
      <c r="W57" s="2"/>
      <c r="X57" s="6">
        <f t="shared" si="44"/>
        <v>-106.94</v>
      </c>
      <c r="Y57" s="2"/>
      <c r="Z57" s="7">
        <f t="shared" si="45"/>
        <v>-1</v>
      </c>
    </row>
    <row r="58" spans="1:26" s="24" customFormat="1" hidden="1" outlineLevel="2" x14ac:dyDescent="0.25">
      <c r="A58" s="27"/>
      <c r="B58" s="11" t="str">
        <f>CONCATENATE("          ", "6237", " - ", "JANITORIAL SUPPLIES")</f>
        <v xml:space="preserve">          6237 - JANITORIAL SUPPLIES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>
        <v>78.81</v>
      </c>
      <c r="Q58" s="2"/>
      <c r="R58" s="7">
        <f t="shared" si="42"/>
        <v>5.0104828507148858E-4</v>
      </c>
      <c r="S58" s="2"/>
      <c r="T58" s="6">
        <v>505.41</v>
      </c>
      <c r="U58" s="2"/>
      <c r="V58" s="7">
        <f t="shared" si="43"/>
        <v>2.609942558645344E-3</v>
      </c>
      <c r="W58" s="2"/>
      <c r="X58" s="6">
        <f t="shared" si="44"/>
        <v>-426.6</v>
      </c>
      <c r="Y58" s="2"/>
      <c r="Z58" s="7">
        <f t="shared" si="45"/>
        <v>-0.84406719297204247</v>
      </c>
    </row>
    <row r="59" spans="1:26" s="24" customFormat="1" hidden="1" outlineLevel="2" x14ac:dyDescent="0.25">
      <c r="A59" s="27"/>
      <c r="B59" s="11" t="str">
        <f>CONCATENATE("          ", "6239", " - ", "KITCHEN SUPPLIES")</f>
        <v xml:space="preserve">          6239 - KITCHEN SUPPLIES</v>
      </c>
      <c r="C59" s="11"/>
      <c r="D59" s="6">
        <v>283.35000000000002</v>
      </c>
      <c r="E59" s="2"/>
      <c r="F59" s="7">
        <f t="shared" si="38"/>
        <v>0</v>
      </c>
      <c r="G59" s="2"/>
      <c r="H59" s="6">
        <v>1069.4000000000001</v>
      </c>
      <c r="I59" s="2"/>
      <c r="J59" s="7">
        <f t="shared" si="39"/>
        <v>1.8572956427712228E-2</v>
      </c>
      <c r="K59" s="2"/>
      <c r="L59" s="6">
        <f t="shared" si="40"/>
        <v>-786.05000000000007</v>
      </c>
      <c r="M59" s="2"/>
      <c r="N59" s="7">
        <f t="shared" si="41"/>
        <v>-0.73503833925565742</v>
      </c>
      <c r="O59" s="11"/>
      <c r="P59" s="6">
        <v>4802.42</v>
      </c>
      <c r="Q59" s="2"/>
      <c r="R59" s="7">
        <f t="shared" si="42"/>
        <v>3.0532220596282425E-2</v>
      </c>
      <c r="S59" s="2"/>
      <c r="T59" s="6">
        <v>5288.35</v>
      </c>
      <c r="U59" s="2"/>
      <c r="V59" s="7">
        <f t="shared" si="43"/>
        <v>2.7309095051566267E-2</v>
      </c>
      <c r="W59" s="2"/>
      <c r="X59" s="6">
        <f t="shared" si="44"/>
        <v>-485.93000000000029</v>
      </c>
      <c r="Y59" s="2"/>
      <c r="Z59" s="7">
        <f t="shared" si="45"/>
        <v>-9.188688343245062E-2</v>
      </c>
    </row>
    <row r="60" spans="1:26" s="24" customFormat="1" hidden="1" outlineLevel="2" x14ac:dyDescent="0.25">
      <c r="A60" s="27"/>
      <c r="B60" s="11" t="str">
        <f>CONCATENATE("          ", "6241", " - ", "OFFICE EXPENSE")</f>
        <v xml:space="preserve">          6241 - OFFICE EXPENSE</v>
      </c>
      <c r="C60" s="11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>
        <v>135.93</v>
      </c>
      <c r="Q60" s="2"/>
      <c r="R60" s="7">
        <f t="shared" si="42"/>
        <v>8.6419862187244562E-4</v>
      </c>
      <c r="S60" s="2"/>
      <c r="T60" s="6">
        <v>147.29</v>
      </c>
      <c r="U60" s="2"/>
      <c r="V60" s="7">
        <f t="shared" si="43"/>
        <v>7.606071099955931E-4</v>
      </c>
      <c r="W60" s="2"/>
      <c r="X60" s="6">
        <f t="shared" si="44"/>
        <v>-11.359999999999985</v>
      </c>
      <c r="Y60" s="2"/>
      <c r="Z60" s="7">
        <f t="shared" si="45"/>
        <v>-7.7126756738407132E-2</v>
      </c>
    </row>
    <row r="61" spans="1:26" s="24" customFormat="1" hidden="1" outlineLevel="2" x14ac:dyDescent="0.25">
      <c r="A61" s="27"/>
      <c r="B61" s="11" t="str">
        <f>CONCATENATE("          ", "6243", " - ", "PAPER SUPPLIES")</f>
        <v xml:space="preserve">          6243 - PAPER SUPPLIES</v>
      </c>
      <c r="C61" s="11"/>
      <c r="D61" s="6"/>
      <c r="E61" s="2"/>
      <c r="F61" s="7">
        <f t="shared" si="38"/>
        <v>0</v>
      </c>
      <c r="G61" s="2"/>
      <c r="H61" s="6">
        <v>295.97000000000003</v>
      </c>
      <c r="I61" s="2"/>
      <c r="J61" s="7">
        <f t="shared" si="39"/>
        <v>5.1403010229193833E-3</v>
      </c>
      <c r="K61" s="2"/>
      <c r="L61" s="6">
        <f t="shared" si="40"/>
        <v>-295.97000000000003</v>
      </c>
      <c r="M61" s="2"/>
      <c r="N61" s="7">
        <f t="shared" si="41"/>
        <v>-1</v>
      </c>
      <c r="O61" s="11"/>
      <c r="P61" s="6">
        <v>-642.03</v>
      </c>
      <c r="Q61" s="2"/>
      <c r="R61" s="7">
        <f t="shared" si="42"/>
        <v>-4.0818174148515131E-3</v>
      </c>
      <c r="S61" s="2"/>
      <c r="T61" s="6">
        <v>2004.74</v>
      </c>
      <c r="U61" s="2"/>
      <c r="V61" s="7">
        <f t="shared" si="43"/>
        <v>1.0352498456735457E-2</v>
      </c>
      <c r="W61" s="2"/>
      <c r="X61" s="6">
        <f t="shared" si="44"/>
        <v>-2646.77</v>
      </c>
      <c r="Y61" s="2"/>
      <c r="Z61" s="7">
        <f t="shared" si="45"/>
        <v>-1.3202559932958888</v>
      </c>
    </row>
    <row r="62" spans="1:26" s="24" customFormat="1" hidden="1" outlineLevel="2" x14ac:dyDescent="0.25">
      <c r="A62" s="27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38"/>
        <v>0</v>
      </c>
      <c r="G62" s="2"/>
      <c r="H62" s="6"/>
      <c r="I62" s="2"/>
      <c r="J62" s="7">
        <f t="shared" si="39"/>
        <v>0</v>
      </c>
      <c r="K62" s="2"/>
      <c r="L62" s="6">
        <f t="shared" si="40"/>
        <v>0</v>
      </c>
      <c r="M62" s="2"/>
      <c r="N62" s="7">
        <f t="shared" si="41"/>
        <v>0</v>
      </c>
      <c r="O62" s="11"/>
      <c r="P62" s="6">
        <v>1695.58</v>
      </c>
      <c r="Q62" s="2"/>
      <c r="R62" s="7">
        <f t="shared" si="42"/>
        <v>1.07799448192046E-2</v>
      </c>
      <c r="S62" s="2"/>
      <c r="T62" s="6"/>
      <c r="U62" s="2"/>
      <c r="V62" s="7">
        <f t="shared" si="43"/>
        <v>0</v>
      </c>
      <c r="W62" s="2"/>
      <c r="X62" s="6">
        <f t="shared" si="44"/>
        <v>1695.58</v>
      </c>
      <c r="Y62" s="2"/>
      <c r="Z62" s="7">
        <f t="shared" si="45"/>
        <v>0</v>
      </c>
    </row>
    <row r="63" spans="1:26" s="25" customFormat="1" outlineLevel="1" collapsed="1" x14ac:dyDescent="0.25">
      <c r="A63" s="26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SUM(OSRRefD22_13x_0)</f>
        <v>214.01</v>
      </c>
      <c r="E63" s="1"/>
      <c r="F63" s="5">
        <f t="shared" ref="F63:F64" si="46">IF(D$12=0,0,D63/D$12)</f>
        <v>0</v>
      </c>
      <c r="G63" s="1"/>
      <c r="H63" s="1">
        <f>SUM(OSRRefH22_13x_0)</f>
        <v>214.01</v>
      </c>
      <c r="I63" s="1"/>
      <c r="J63" s="5">
        <f t="shared" ref="J63:J64" si="47">IF(H$12=0,0,H63/H$12)</f>
        <v>3.7168490790113087E-3</v>
      </c>
      <c r="K63" s="1"/>
      <c r="L63" s="1">
        <f t="shared" ref="L63:L64" si="48">+D63-H63</f>
        <v>0</v>
      </c>
      <c r="M63" s="1"/>
      <c r="N63" s="5">
        <f t="shared" ref="N63:N64" si="49">IF(H63=0,0,L63/H63)</f>
        <v>0</v>
      </c>
      <c r="O63" s="13"/>
      <c r="P63" s="1">
        <f>SUM(OSRRefP22_13x_0)</f>
        <v>2140.09</v>
      </c>
      <c r="Q63" s="1"/>
      <c r="R63" s="5">
        <f t="shared" ref="R63:R64" si="50">IF(P$12=0,0,P63/P$12)</f>
        <v>1.360599447276541E-2</v>
      </c>
      <c r="S63" s="1"/>
      <c r="T63" s="1">
        <f>SUM(OSRRefT22_13x_0)</f>
        <v>2428.1</v>
      </c>
      <c r="U63" s="1"/>
      <c r="V63" s="5">
        <f t="shared" ref="V63:V64" si="51">IF(T$12=0,0,T63/T$12)</f>
        <v>1.2538733951933598E-2</v>
      </c>
      <c r="W63" s="1"/>
      <c r="X63" s="1">
        <f t="shared" ref="X63:X64" si="52">+P63-T63</f>
        <v>-288.00999999999976</v>
      </c>
      <c r="Y63" s="1"/>
      <c r="Z63" s="5">
        <f t="shared" ref="Z63:Z64" si="53">IF(T63=0,0,X63/T63)</f>
        <v>-0.11861537827931296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6">
        <v>214.01</v>
      </c>
      <c r="E64" s="2"/>
      <c r="F64" s="7">
        <f t="shared" si="46"/>
        <v>0</v>
      </c>
      <c r="G64" s="2"/>
      <c r="H64" s="6">
        <v>214.01</v>
      </c>
      <c r="I64" s="2"/>
      <c r="J64" s="7">
        <f t="shared" si="47"/>
        <v>3.7168490790113087E-3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>
        <v>2140.09</v>
      </c>
      <c r="Q64" s="2"/>
      <c r="R64" s="7">
        <f t="shared" si="50"/>
        <v>1.360599447276541E-2</v>
      </c>
      <c r="S64" s="2"/>
      <c r="T64" s="6">
        <v>2428.1</v>
      </c>
      <c r="U64" s="2"/>
      <c r="V64" s="7">
        <f t="shared" si="51"/>
        <v>1.2538733951933598E-2</v>
      </c>
      <c r="W64" s="2"/>
      <c r="X64" s="6">
        <f t="shared" si="52"/>
        <v>-288.00999999999976</v>
      </c>
      <c r="Y64" s="2"/>
      <c r="Z64" s="7">
        <f t="shared" si="53"/>
        <v>-0.11861537827931296</v>
      </c>
    </row>
    <row r="65" spans="1:26" s="53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9" t="s">
        <v>0</v>
      </c>
      <c r="C66" s="10"/>
      <c r="D66" s="4">
        <f>SUM(OSRRefD25x_0)</f>
        <v>0</v>
      </c>
      <c r="E66" s="4"/>
      <c r="F66" s="12">
        <f t="shared" ref="F66:F67" si="54">IF(D$12=0,0,D66/D$12)</f>
        <v>0</v>
      </c>
      <c r="G66" s="4"/>
      <c r="H66" s="4">
        <f>SUM(OSRRefH25x_0)</f>
        <v>1451.44</v>
      </c>
      <c r="I66" s="4"/>
      <c r="J66" s="12">
        <f t="shared" ref="J66:J67" si="55">IF(H$12=0,0,H66/H$12)</f>
        <v>2.5208090403439905E-2</v>
      </c>
      <c r="K66" s="4"/>
      <c r="L66" s="4">
        <f t="shared" ref="L66:L67" si="56">+D66-H66</f>
        <v>-1451.44</v>
      </c>
      <c r="M66" s="4"/>
      <c r="N66" s="12">
        <f t="shared" ref="N66:N67" si="57">IF(H66=0,0,L66/H66)</f>
        <v>-1</v>
      </c>
      <c r="O66" s="10"/>
      <c r="P66" s="4">
        <f>SUM(OSRRefP25x_0)</f>
        <v>8452.17</v>
      </c>
      <c r="Q66" s="4"/>
      <c r="R66" s="12">
        <f t="shared" ref="R66:R67" si="58">IF(P$12=0,0,P66/P$12)</f>
        <v>5.3736141144939513E-2</v>
      </c>
      <c r="S66" s="4"/>
      <c r="T66" s="4">
        <f>SUM(OSRRefT25x_0)</f>
        <v>6399.83</v>
      </c>
      <c r="U66" s="4"/>
      <c r="V66" s="12">
        <f t="shared" ref="V66:V67" si="59">IF(T$12=0,0,T66/T$12)</f>
        <v>3.3048789468145136E-2</v>
      </c>
      <c r="W66" s="4"/>
      <c r="X66" s="4">
        <f t="shared" ref="X66:X67" si="60">+P66-T66</f>
        <v>2052.34</v>
      </c>
      <c r="Y66" s="4"/>
      <c r="Z66" s="12">
        <f t="shared" ref="Z66:Z67" si="61">IF(T66=0,0,X66/T66)</f>
        <v>0.32068664323896107</v>
      </c>
    </row>
    <row r="67" spans="1:26" s="24" customFormat="1" hidden="1" outlineLevel="1" x14ac:dyDescent="0.25">
      <c r="A67" s="44"/>
      <c r="B67" s="11" t="str">
        <f>CONCATENATE("          ", "9150", " - ", "MISC. INCOME")</f>
        <v xml:space="preserve">          9150 - MISC. INCOME</v>
      </c>
      <c r="C67" s="11"/>
      <c r="D67" s="2">
        <f>0</f>
        <v>0</v>
      </c>
      <c r="E67" s="2"/>
      <c r="F67" s="19">
        <f t="shared" si="54"/>
        <v>0</v>
      </c>
      <c r="G67" s="2"/>
      <c r="H67" s="2">
        <f>--1451.44</f>
        <v>1451.44</v>
      </c>
      <c r="I67" s="2"/>
      <c r="J67" s="19">
        <f t="shared" si="55"/>
        <v>2.5208090403439905E-2</v>
      </c>
      <c r="K67" s="2"/>
      <c r="L67" s="2">
        <f t="shared" si="56"/>
        <v>-1451.44</v>
      </c>
      <c r="M67" s="2"/>
      <c r="N67" s="19">
        <f t="shared" si="57"/>
        <v>-1</v>
      </c>
      <c r="O67" s="11"/>
      <c r="P67" s="2">
        <f>--8452.17</f>
        <v>8452.17</v>
      </c>
      <c r="Q67" s="2"/>
      <c r="R67" s="19">
        <f t="shared" si="58"/>
        <v>5.3736141144939513E-2</v>
      </c>
      <c r="S67" s="2"/>
      <c r="T67" s="2">
        <f>--6399.83</f>
        <v>6399.83</v>
      </c>
      <c r="U67" s="2"/>
      <c r="V67" s="19">
        <f t="shared" si="59"/>
        <v>3.3048789468145136E-2</v>
      </c>
      <c r="W67" s="2"/>
      <c r="X67" s="2">
        <f t="shared" si="60"/>
        <v>2052.34</v>
      </c>
      <c r="Y67" s="2"/>
      <c r="Z67" s="19">
        <f t="shared" si="61"/>
        <v>0.32068664323896107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8" t="s">
        <v>3</v>
      </c>
      <c r="C69" s="28"/>
      <c r="D69" s="21">
        <f>+D22-D24+D66</f>
        <v>-5450.08</v>
      </c>
      <c r="E69" s="14"/>
      <c r="F69" s="20">
        <f>IF(D$12=0,0,D69/D$12)</f>
        <v>0</v>
      </c>
      <c r="G69" s="14"/>
      <c r="H69" s="21">
        <f>+H22-H24+H66</f>
        <v>23807.139999999996</v>
      </c>
      <c r="I69" s="14"/>
      <c r="J69" s="20">
        <f>IF(H$12=0,0,H69/H$12)</f>
        <v>0.41347388618706266</v>
      </c>
      <c r="K69" s="15"/>
      <c r="L69" s="21">
        <f>+D69-H69</f>
        <v>-29257.219999999994</v>
      </c>
      <c r="M69" s="15"/>
      <c r="N69" s="20">
        <f>IF(H69=0,0,L69/H69)</f>
        <v>-1.2289262800991634</v>
      </c>
      <c r="O69" s="29"/>
      <c r="P69" s="21">
        <f>+P22-P24+P66</f>
        <v>32882.210000000021</v>
      </c>
      <c r="Q69" s="14"/>
      <c r="R69" s="20">
        <f>IF(P$12=0,0,P69/P$12)</f>
        <v>0.20905437038269967</v>
      </c>
      <c r="S69" s="14"/>
      <c r="T69" s="21">
        <f>+T22-T24+T66</f>
        <v>53255.269999999946</v>
      </c>
      <c r="U69" s="14"/>
      <c r="V69" s="20">
        <f>IF(T$12=0,0,T69/T$12)</f>
        <v>0.27501077470795687</v>
      </c>
      <c r="W69" s="15"/>
      <c r="X69" s="21">
        <f>+P69-T69</f>
        <v>-20373.059999999925</v>
      </c>
      <c r="Y69" s="15"/>
      <c r="Z69" s="20">
        <f>IF(T69=0,0,X69/T69)</f>
        <v>-0.38255481570180649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>
        <v>1005.15</v>
      </c>
      <c r="E71" s="4"/>
      <c r="F71" s="12">
        <f>IF(D$12=0,0,D71/D$12)</f>
        <v>0</v>
      </c>
      <c r="G71" s="4"/>
      <c r="H71" s="4">
        <v>6119.94</v>
      </c>
      <c r="I71" s="4"/>
      <c r="J71" s="12">
        <f>IF(H$12=0,0,H71/H$12)</f>
        <v>0.10628892739874057</v>
      </c>
      <c r="K71" s="4"/>
      <c r="L71" s="4">
        <f>+D71-H71</f>
        <v>-5114.79</v>
      </c>
      <c r="M71" s="4"/>
      <c r="N71" s="12">
        <f>IF(H71=0,0,L71/H71)</f>
        <v>-0.83575819370778148</v>
      </c>
      <c r="O71" s="10"/>
      <c r="P71" s="4">
        <v>17859.18</v>
      </c>
      <c r="Q71" s="4"/>
      <c r="R71" s="12">
        <f>IF(P$12=0,0,P71/P$12)</f>
        <v>0.11354284369728494</v>
      </c>
      <c r="S71" s="4"/>
      <c r="T71" s="4">
        <v>20131.36</v>
      </c>
      <c r="U71" s="4"/>
      <c r="V71" s="12">
        <f>IF(T$12=0,0,T71/T$12)</f>
        <v>0.10395855489090151</v>
      </c>
      <c r="W71" s="4"/>
      <c r="X71" s="4">
        <f>+P71-T71</f>
        <v>-2272.1800000000003</v>
      </c>
      <c r="Y71" s="4"/>
      <c r="Z71" s="12">
        <f>IF(T71=0,0,X71/T71)</f>
        <v>-0.11286768504462691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8" t="s">
        <v>4</v>
      </c>
      <c r="C73" s="28"/>
      <c r="D73" s="30">
        <f>+D69-D71</f>
        <v>-6455.23</v>
      </c>
      <c r="E73" s="14"/>
      <c r="F73" s="36">
        <f>IF(D$12=0,0,D73/D$12)</f>
        <v>0</v>
      </c>
      <c r="G73" s="14"/>
      <c r="H73" s="30">
        <f>+H69-H71</f>
        <v>17687.199999999997</v>
      </c>
      <c r="I73" s="14"/>
      <c r="J73" s="36">
        <f>IF(H$12=0,0,H73/H$12)</f>
        <v>0.30718495878832208</v>
      </c>
      <c r="K73" s="15"/>
      <c r="L73" s="30">
        <f>D73-H73</f>
        <v>-24142.429999999997</v>
      </c>
      <c r="M73" s="15"/>
      <c r="N73" s="36">
        <f>IF(H73=0,0,L73/H73)</f>
        <v>-1.3649661902392691</v>
      </c>
      <c r="O73" s="29"/>
      <c r="P73" s="30">
        <f>+P69-P71</f>
        <v>15023.030000000021</v>
      </c>
      <c r="Q73" s="14"/>
      <c r="R73" s="36">
        <f>IF(P$12=0,0,P73/P$12)</f>
        <v>9.5511526685414724E-2</v>
      </c>
      <c r="S73" s="14"/>
      <c r="T73" s="30">
        <f>+T69-T71</f>
        <v>33123.909999999945</v>
      </c>
      <c r="U73" s="14"/>
      <c r="V73" s="36">
        <f>IF(T$12=0,0,T73/T$12)</f>
        <v>0.17105221981705537</v>
      </c>
      <c r="W73" s="15"/>
      <c r="X73" s="30">
        <f>P73-T73</f>
        <v>-18100.879999999925</v>
      </c>
      <c r="Y73" s="15"/>
      <c r="Z73" s="36">
        <f>IF(T73=0,0,X73/T73)</f>
        <v>-0.54645964199274644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5</v>
      </c>
      <c r="C76" s="28"/>
      <c r="D76" s="31">
        <f>SUM(D73:D75)</f>
        <v>-6455.23</v>
      </c>
      <c r="E76" s="14"/>
      <c r="F76" s="32">
        <f>IF(D$12=0,0,D76/D$12)</f>
        <v>0</v>
      </c>
      <c r="G76" s="14"/>
      <c r="H76" s="31">
        <f>SUM(H73:H75)</f>
        <v>17687.199999999997</v>
      </c>
      <c r="I76" s="14"/>
      <c r="J76" s="32">
        <f>IF(H$12=0,0,H76/H$12)</f>
        <v>0.30718495878832208</v>
      </c>
      <c r="K76" s="15"/>
      <c r="L76" s="31">
        <f>+D76-H76</f>
        <v>-24142.429999999997</v>
      </c>
      <c r="M76" s="15"/>
      <c r="N76" s="32">
        <f>IF(H76=0,0,L76/H76)</f>
        <v>-1.3649661902392691</v>
      </c>
      <c r="O76" s="29"/>
      <c r="P76" s="31">
        <f>SUM(P73:P75)</f>
        <v>15023.030000000021</v>
      </c>
      <c r="Q76" s="14"/>
      <c r="R76" s="32">
        <f>IF(P$12=0,0,P76/P$12)</f>
        <v>9.5511526685414724E-2</v>
      </c>
      <c r="S76" s="14"/>
      <c r="T76" s="31">
        <f>SUM(T73:T75)</f>
        <v>33123.909999999945</v>
      </c>
      <c r="U76" s="14"/>
      <c r="V76" s="32">
        <f>IF(T$12=0,0,T76/T$12)</f>
        <v>0.17105221981705537</v>
      </c>
      <c r="W76" s="15"/>
      <c r="X76" s="31">
        <f>+P76-T76</f>
        <v>-18100.879999999925</v>
      </c>
      <c r="Y76" s="15"/>
      <c r="Z76" s="32">
        <f>IF(T76=0,0,X76/T76)</f>
        <v>-0.54645964199274644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4">
        <v>43965.471423993054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9" t="s">
        <v>313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61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4:24" x14ac:dyDescent="0.25"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","425", " - ", "Events Center")</f>
        <v>Department 425 - Events Center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106679.79</v>
      </c>
      <c r="I12" s="4"/>
      <c r="J12" s="12"/>
      <c r="K12" s="4"/>
      <c r="L12" s="4">
        <f t="shared" ref="L12:L17" si="0">+D12-H12</f>
        <v>-106679.79</v>
      </c>
      <c r="M12" s="4"/>
      <c r="N12" s="12">
        <f t="shared" ref="N12:N17" si="1">IF(H12=0,0,L12/H12)</f>
        <v>-1</v>
      </c>
      <c r="O12" s="10"/>
      <c r="P12" s="4">
        <f>SUM(OSRRefP13x_0)</f>
        <v>392328.46</v>
      </c>
      <c r="Q12" s="4"/>
      <c r="R12" s="12"/>
      <c r="S12" s="4"/>
      <c r="T12" s="4">
        <f>SUM(OSRRefT13x_0)</f>
        <v>612405.05999999994</v>
      </c>
      <c r="U12" s="4"/>
      <c r="V12" s="12"/>
      <c r="W12" s="4"/>
      <c r="X12" s="4">
        <f t="shared" ref="X12:X17" si="2">+P12-T12</f>
        <v>-220076.59999999992</v>
      </c>
      <c r="Y12" s="4"/>
      <c r="Z12" s="12">
        <f t="shared" ref="Z12:Z17" si="3">IF(T12=0,0,X12/T12)</f>
        <v>-0.35936443764850662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7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--704.37</f>
        <v>704.37</v>
      </c>
      <c r="U13" s="2"/>
      <c r="V13" s="19"/>
      <c r="W13" s="2"/>
      <c r="X13" s="2">
        <f t="shared" si="2"/>
        <v>-704.37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>
        <f>--91967.76</f>
        <v>91967.76</v>
      </c>
      <c r="I14" s="2"/>
      <c r="J14" s="19"/>
      <c r="K14" s="2"/>
      <c r="L14" s="2">
        <f t="shared" si="0"/>
        <v>-91967.76</v>
      </c>
      <c r="M14" s="2"/>
      <c r="N14" s="19">
        <f t="shared" si="1"/>
        <v>-1</v>
      </c>
      <c r="O14" s="11"/>
      <c r="P14" s="2">
        <f>--296449.41</f>
        <v>296449.40999999997</v>
      </c>
      <c r="Q14" s="2"/>
      <c r="R14" s="19"/>
      <c r="S14" s="2"/>
      <c r="T14" s="2">
        <f>--504617.98</f>
        <v>504617.98</v>
      </c>
      <c r="U14" s="2"/>
      <c r="V14" s="19"/>
      <c r="W14" s="2"/>
      <c r="X14" s="2">
        <f t="shared" si="2"/>
        <v>-208168.57</v>
      </c>
      <c r="Y14" s="2"/>
      <c r="Z14" s="19">
        <f t="shared" si="3"/>
        <v>-0.41252705660626682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>
        <f>--14712.03</f>
        <v>14712.03</v>
      </c>
      <c r="I15" s="2"/>
      <c r="J15" s="19"/>
      <c r="K15" s="2"/>
      <c r="L15" s="2">
        <f t="shared" si="0"/>
        <v>-14712.03</v>
      </c>
      <c r="M15" s="2"/>
      <c r="N15" s="19">
        <f t="shared" si="1"/>
        <v>-1</v>
      </c>
      <c r="O15" s="11"/>
      <c r="P15" s="2">
        <f>--95481.76</f>
        <v>95481.76</v>
      </c>
      <c r="Q15" s="2"/>
      <c r="R15" s="19"/>
      <c r="S15" s="2"/>
      <c r="T15" s="2">
        <f>--106553.04</f>
        <v>106553.04</v>
      </c>
      <c r="U15" s="2"/>
      <c r="V15" s="19"/>
      <c r="W15" s="2"/>
      <c r="X15" s="2">
        <f t="shared" si="2"/>
        <v>-11071.279999999999</v>
      </c>
      <c r="Y15" s="2"/>
      <c r="Z15" s="19">
        <f t="shared" si="3"/>
        <v>-0.103903933665337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19"/>
      <c r="G16" s="2"/>
      <c r="H16" s="2">
        <f t="shared" ref="H16:H17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--0.08</f>
        <v>0.08</v>
      </c>
      <c r="Q16" s="2"/>
      <c r="R16" s="19"/>
      <c r="S16" s="2"/>
      <c r="T16" s="2">
        <f>--396.83</f>
        <v>396.83</v>
      </c>
      <c r="U16" s="2"/>
      <c r="V16" s="19"/>
      <c r="W16" s="2"/>
      <c r="X16" s="2">
        <f t="shared" si="2"/>
        <v>-396.75</v>
      </c>
      <c r="Y16" s="2"/>
      <c r="Z16" s="19">
        <f t="shared" si="3"/>
        <v>-0.9997984023385329</v>
      </c>
    </row>
    <row r="17" spans="1:26" s="24" customFormat="1" hidden="1" outlineLevel="1" x14ac:dyDescent="0.25">
      <c r="A17" s="44"/>
      <c r="B17" s="11" t="str">
        <f>CONCATENATE("          ", "4152", " - ", "NON-TAXABLE SALES-FOOD")</f>
        <v xml:space="preserve">          4152 - NON-TAXABLE SALES-FOOD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--397.21</f>
        <v>397.21</v>
      </c>
      <c r="Q17" s="2"/>
      <c r="R17" s="19"/>
      <c r="S17" s="2"/>
      <c r="T17" s="2">
        <f>--132.84</f>
        <v>132.84</v>
      </c>
      <c r="U17" s="2"/>
      <c r="V17" s="19"/>
      <c r="W17" s="2"/>
      <c r="X17" s="2">
        <f t="shared" si="2"/>
        <v>264.37</v>
      </c>
      <c r="Y17" s="2"/>
      <c r="Z17" s="19">
        <f t="shared" si="3"/>
        <v>1.9901385124962361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39084.400000000001</v>
      </c>
      <c r="E19" s="4"/>
      <c r="F19" s="12">
        <f t="shared" ref="F19:F21" si="6">IF(D$12=0,0,D19/D$12)</f>
        <v>0</v>
      </c>
      <c r="G19" s="4"/>
      <c r="H19" s="4">
        <f>SUM(OSRRefH16x_0)</f>
        <v>24855.769999999997</v>
      </c>
      <c r="I19" s="4"/>
      <c r="J19" s="12">
        <f t="shared" ref="J19:J21" si="7">IF(H$12=0,0,H19/H$12)</f>
        <v>0.23299417818501517</v>
      </c>
      <c r="K19" s="4"/>
      <c r="L19" s="4">
        <f t="shared" ref="L19:L21" si="8">+D19-H19</f>
        <v>14228.630000000005</v>
      </c>
      <c r="M19" s="4"/>
      <c r="N19" s="12">
        <f t="shared" ref="N19:N21" si="9">IF(H19=0,0,L19/H19)</f>
        <v>0.57244776564958588</v>
      </c>
      <c r="O19" s="10"/>
      <c r="P19" s="4">
        <f>SUM(OSRRefP16x_0)</f>
        <v>141393.09</v>
      </c>
      <c r="Q19" s="4"/>
      <c r="R19" s="12">
        <f t="shared" ref="R19:R21" si="10">IF(P$12=0,0,P19/P$12)</f>
        <v>0.36039468051846146</v>
      </c>
      <c r="S19" s="4"/>
      <c r="T19" s="4">
        <f>SUM(OSRRefT16x_0)</f>
        <v>146575.63999999998</v>
      </c>
      <c r="U19" s="4"/>
      <c r="V19" s="12">
        <f t="shared" ref="V19:V21" si="11">IF(T$12=0,0,T19/T$12)</f>
        <v>0.23934426668519035</v>
      </c>
      <c r="W19" s="4"/>
      <c r="X19" s="4">
        <f t="shared" ref="X19:X21" si="12">+P19-T19</f>
        <v>-5182.5499999999884</v>
      </c>
      <c r="Y19" s="4"/>
      <c r="Z19" s="12">
        <f t="shared" ref="Z19:Z21" si="13">IF(T19=0,0,X19/T19)</f>
        <v>-3.5357512339703849E-2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-580.6</v>
      </c>
      <c r="E20" s="2"/>
      <c r="F20" s="19">
        <f t="shared" si="6"/>
        <v>0</v>
      </c>
      <c r="G20" s="2"/>
      <c r="H20" s="2">
        <v>25819.769999999997</v>
      </c>
      <c r="I20" s="2"/>
      <c r="J20" s="19">
        <f t="shared" si="7"/>
        <v>0.24203056642687429</v>
      </c>
      <c r="K20" s="2"/>
      <c r="L20" s="2">
        <f t="shared" si="8"/>
        <v>-26400.369999999995</v>
      </c>
      <c r="M20" s="2"/>
      <c r="N20" s="19">
        <f t="shared" si="9"/>
        <v>-1.0224866449236378</v>
      </c>
      <c r="O20" s="11"/>
      <c r="P20" s="2">
        <v>115476.09</v>
      </c>
      <c r="Q20" s="2"/>
      <c r="R20" s="19">
        <f t="shared" si="10"/>
        <v>0.29433523634762565</v>
      </c>
      <c r="S20" s="2"/>
      <c r="T20" s="2">
        <v>164880.34</v>
      </c>
      <c r="U20" s="2"/>
      <c r="V20" s="19">
        <f t="shared" si="11"/>
        <v>0.26923412422490439</v>
      </c>
      <c r="W20" s="2"/>
      <c r="X20" s="2">
        <f t="shared" si="12"/>
        <v>-49404.25</v>
      </c>
      <c r="Y20" s="2"/>
      <c r="Z20" s="19">
        <f t="shared" si="13"/>
        <v>-0.29963699735214033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39665</v>
      </c>
      <c r="E21" s="2"/>
      <c r="F21" s="19">
        <f t="shared" si="6"/>
        <v>0</v>
      </c>
      <c r="G21" s="2"/>
      <c r="H21" s="2">
        <v>-964</v>
      </c>
      <c r="I21" s="2"/>
      <c r="J21" s="19">
        <f t="shared" si="7"/>
        <v>-9.0363882418591189E-3</v>
      </c>
      <c r="K21" s="2"/>
      <c r="L21" s="2">
        <f t="shared" si="8"/>
        <v>40629</v>
      </c>
      <c r="M21" s="2"/>
      <c r="N21" s="19">
        <f t="shared" si="9"/>
        <v>-42.146265560165972</v>
      </c>
      <c r="O21" s="11"/>
      <c r="P21" s="2">
        <v>25917</v>
      </c>
      <c r="Q21" s="2"/>
      <c r="R21" s="19">
        <f t="shared" si="10"/>
        <v>6.6059444170835827E-2</v>
      </c>
      <c r="S21" s="2"/>
      <c r="T21" s="2">
        <v>-18304.7</v>
      </c>
      <c r="U21" s="2"/>
      <c r="V21" s="19">
        <f t="shared" si="11"/>
        <v>-2.9889857539713998E-2</v>
      </c>
      <c r="W21" s="2"/>
      <c r="X21" s="2">
        <f t="shared" si="12"/>
        <v>44221.7</v>
      </c>
      <c r="Y21" s="2"/>
      <c r="Z21" s="19">
        <f t="shared" si="13"/>
        <v>-2.4158658705141298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D12-D19</f>
        <v>-39084.400000000001</v>
      </c>
      <c r="E23" s="14"/>
      <c r="F23" s="20">
        <f>IF(D$12=0,0,D23/D$12)</f>
        <v>0</v>
      </c>
      <c r="G23" s="14"/>
      <c r="H23" s="21">
        <f>H12-H19</f>
        <v>81824.01999999999</v>
      </c>
      <c r="I23" s="14"/>
      <c r="J23" s="20">
        <f>IF(H$12=0,0,H23/H$12)</f>
        <v>0.76700582181498478</v>
      </c>
      <c r="K23" s="15"/>
      <c r="L23" s="21">
        <f>+D23-H23</f>
        <v>-120908.41999999998</v>
      </c>
      <c r="M23" s="15"/>
      <c r="N23" s="20">
        <f>IF(H23=0,0,L23/H23)</f>
        <v>-1.4776641382322697</v>
      </c>
      <c r="O23" s="29"/>
      <c r="P23" s="21">
        <f>P12-P19</f>
        <v>250935.37000000002</v>
      </c>
      <c r="Q23" s="14"/>
      <c r="R23" s="20">
        <f>IF(P$12=0,0,P23/P$12)</f>
        <v>0.63960531948153854</v>
      </c>
      <c r="S23" s="14"/>
      <c r="T23" s="21">
        <f>T12-T19</f>
        <v>465829.41999999993</v>
      </c>
      <c r="U23" s="14"/>
      <c r="V23" s="20">
        <f>IF(T$12=0,0,T23/T$12)</f>
        <v>0.76065573331480962</v>
      </c>
      <c r="W23" s="15"/>
      <c r="X23" s="21">
        <f>+P23-T23</f>
        <v>-214894.0499999999</v>
      </c>
      <c r="Y23" s="15"/>
      <c r="Z23" s="20">
        <f>IF(T23=0,0,X23/T23)</f>
        <v>-0.46131489505321482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2">
        <f>SUM(OSRRefD22x_0)</f>
        <v>6467.9199999999992</v>
      </c>
      <c r="E25" s="22"/>
      <c r="F25" s="35">
        <f t="shared" ref="F25:F35" si="14">IF(D$12=0,0,D25/D$12)</f>
        <v>0</v>
      </c>
      <c r="G25" s="22"/>
      <c r="H25" s="22">
        <f>SUM(OSRRefH22x_0)</f>
        <v>49421.259999999995</v>
      </c>
      <c r="I25" s="22"/>
      <c r="J25" s="35">
        <f t="shared" ref="J25:J35" si="15">IF(H$12=0,0,H25/H$12)</f>
        <v>0.46326731614301075</v>
      </c>
      <c r="K25" s="4"/>
      <c r="L25" s="22">
        <f t="shared" ref="L25:L35" si="16">+D25-H25</f>
        <v>-42953.34</v>
      </c>
      <c r="M25" s="4"/>
      <c r="N25" s="35">
        <f t="shared" ref="N25:N35" si="17">IF(H25=0,0,L25/H25)</f>
        <v>-0.86912676852026838</v>
      </c>
      <c r="O25" s="10"/>
      <c r="P25" s="22">
        <f>SUM(OSRRefP22x_0)</f>
        <v>324306.27999999991</v>
      </c>
      <c r="Q25" s="22"/>
      <c r="R25" s="35">
        <f t="shared" ref="R25:R35" si="18">IF(P$12=0,0,P25/P$12)</f>
        <v>0.82661930770966729</v>
      </c>
      <c r="S25" s="22"/>
      <c r="T25" s="22">
        <f>SUM(OSRRefT22x_0)</f>
        <v>364613.58999999997</v>
      </c>
      <c r="U25" s="22"/>
      <c r="V25" s="35">
        <f t="shared" ref="V25:V35" si="19">IF(T$12=0,0,T25/T$12)</f>
        <v>0.59537978017359949</v>
      </c>
      <c r="W25" s="4"/>
      <c r="X25" s="22">
        <f t="shared" ref="X25:X35" si="20">+P25-T25</f>
        <v>-40307.310000000056</v>
      </c>
      <c r="Y25" s="4"/>
      <c r="Z25" s="35">
        <f t="shared" ref="Z25:Z35" si="21">IF(T25=0,0,X25/T25)</f>
        <v>-0.11054801879436271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2374.8200000000002</v>
      </c>
      <c r="E26" s="1"/>
      <c r="F26" s="5">
        <f t="shared" si="14"/>
        <v>0</v>
      </c>
      <c r="G26" s="1"/>
      <c r="H26" s="1">
        <f>SUM(OSRRefH22_0x_0)</f>
        <v>2933.1500000000005</v>
      </c>
      <c r="I26" s="1"/>
      <c r="J26" s="5">
        <f t="shared" si="15"/>
        <v>2.749489851826668E-2</v>
      </c>
      <c r="K26" s="1"/>
      <c r="L26" s="1">
        <f t="shared" si="16"/>
        <v>-558.33000000000038</v>
      </c>
      <c r="M26" s="1"/>
      <c r="N26" s="5">
        <f t="shared" si="17"/>
        <v>-0.19035166970662948</v>
      </c>
      <c r="O26" s="13"/>
      <c r="P26" s="1">
        <f>SUM(OSRRefP22_0x_0)</f>
        <v>34366.06</v>
      </c>
      <c r="Q26" s="1"/>
      <c r="R26" s="5">
        <f t="shared" si="18"/>
        <v>8.7595123738920172E-2</v>
      </c>
      <c r="S26" s="1"/>
      <c r="T26" s="1">
        <f>SUM(OSRRefT22_0x_0)</f>
        <v>26432.32</v>
      </c>
      <c r="U26" s="1"/>
      <c r="V26" s="5">
        <f t="shared" si="19"/>
        <v>4.3161498371682303E-2</v>
      </c>
      <c r="W26" s="1"/>
      <c r="X26" s="1">
        <f t="shared" si="20"/>
        <v>7933.739999999998</v>
      </c>
      <c r="Y26" s="1"/>
      <c r="Z26" s="5">
        <f t="shared" si="21"/>
        <v>0.30015299451580479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523.19000000000005</v>
      </c>
      <c r="E27" s="2"/>
      <c r="F27" s="7">
        <f t="shared" si="14"/>
        <v>0</v>
      </c>
      <c r="G27" s="2"/>
      <c r="H27" s="6">
        <v>640.35</v>
      </c>
      <c r="I27" s="2"/>
      <c r="J27" s="7">
        <f t="shared" si="15"/>
        <v>6.0025427496623309E-3</v>
      </c>
      <c r="K27" s="2"/>
      <c r="L27" s="6">
        <f t="shared" si="16"/>
        <v>-117.15999999999997</v>
      </c>
      <c r="M27" s="2"/>
      <c r="N27" s="7">
        <f t="shared" si="17"/>
        <v>-0.18296244241430462</v>
      </c>
      <c r="O27" s="11"/>
      <c r="P27" s="6">
        <v>7981.21</v>
      </c>
      <c r="Q27" s="2"/>
      <c r="R27" s="7">
        <f t="shared" si="18"/>
        <v>2.0343183872003574E-2</v>
      </c>
      <c r="S27" s="2"/>
      <c r="T27" s="6">
        <v>7539.27</v>
      </c>
      <c r="U27" s="2"/>
      <c r="V27" s="7">
        <f t="shared" si="19"/>
        <v>1.2310920487822228E-2</v>
      </c>
      <c r="W27" s="2"/>
      <c r="X27" s="6">
        <f t="shared" si="20"/>
        <v>441.9399999999996</v>
      </c>
      <c r="Y27" s="2"/>
      <c r="Z27" s="7">
        <f t="shared" si="21"/>
        <v>5.8618407352435925E-2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173.25</v>
      </c>
      <c r="E28" s="2"/>
      <c r="F28" s="7">
        <f t="shared" si="14"/>
        <v>0</v>
      </c>
      <c r="G28" s="2"/>
      <c r="H28" s="6">
        <v>696.16</v>
      </c>
      <c r="I28" s="2"/>
      <c r="J28" s="7">
        <f t="shared" si="15"/>
        <v>6.5256971353243199E-3</v>
      </c>
      <c r="K28" s="2"/>
      <c r="L28" s="6">
        <f t="shared" si="16"/>
        <v>-522.91</v>
      </c>
      <c r="M28" s="2"/>
      <c r="N28" s="7">
        <f t="shared" si="17"/>
        <v>-0.75113479659848315</v>
      </c>
      <c r="O28" s="11"/>
      <c r="P28" s="6">
        <v>6317.59</v>
      </c>
      <c r="Q28" s="2"/>
      <c r="R28" s="7">
        <f t="shared" si="18"/>
        <v>1.6102808345843683E-2</v>
      </c>
      <c r="S28" s="2"/>
      <c r="T28" s="6">
        <v>5515.66</v>
      </c>
      <c r="U28" s="2"/>
      <c r="V28" s="7">
        <f t="shared" si="19"/>
        <v>9.006555236496577E-3</v>
      </c>
      <c r="W28" s="2"/>
      <c r="X28" s="6">
        <f t="shared" si="20"/>
        <v>801.93000000000029</v>
      </c>
      <c r="Y28" s="2"/>
      <c r="Z28" s="7">
        <f t="shared" si="21"/>
        <v>0.14539148533448407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699.3</v>
      </c>
      <c r="E29" s="2"/>
      <c r="F29" s="7">
        <f t="shared" si="14"/>
        <v>0</v>
      </c>
      <c r="G29" s="2"/>
      <c r="H29" s="6">
        <v>698.2</v>
      </c>
      <c r="I29" s="2"/>
      <c r="J29" s="7">
        <f t="shared" si="15"/>
        <v>6.544819782641118E-3</v>
      </c>
      <c r="K29" s="2"/>
      <c r="L29" s="6">
        <f t="shared" si="16"/>
        <v>1.0999999999999091</v>
      </c>
      <c r="M29" s="2"/>
      <c r="N29" s="7">
        <f t="shared" si="17"/>
        <v>1.5754798052132755E-3</v>
      </c>
      <c r="O29" s="11"/>
      <c r="P29" s="6">
        <v>8374.83</v>
      </c>
      <c r="Q29" s="2"/>
      <c r="R29" s="7">
        <f t="shared" si="18"/>
        <v>2.1346475858519159E-2</v>
      </c>
      <c r="S29" s="2"/>
      <c r="T29" s="6">
        <v>9685.15</v>
      </c>
      <c r="U29" s="2"/>
      <c r="V29" s="7">
        <f t="shared" si="19"/>
        <v>1.5814941176351485E-2</v>
      </c>
      <c r="W29" s="2"/>
      <c r="X29" s="6">
        <f t="shared" si="20"/>
        <v>-1310.3199999999997</v>
      </c>
      <c r="Y29" s="2"/>
      <c r="Z29" s="7">
        <f t="shared" si="21"/>
        <v>-0.13529165784732294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11.61</v>
      </c>
      <c r="E30" s="2"/>
      <c r="F30" s="7">
        <f t="shared" si="14"/>
        <v>0</v>
      </c>
      <c r="G30" s="2"/>
      <c r="H30" s="6">
        <v>51.71</v>
      </c>
      <c r="I30" s="2"/>
      <c r="J30" s="7">
        <f t="shared" si="15"/>
        <v>4.8472161409391604E-4</v>
      </c>
      <c r="K30" s="2"/>
      <c r="L30" s="6">
        <f t="shared" si="16"/>
        <v>-40.1</v>
      </c>
      <c r="M30" s="2"/>
      <c r="N30" s="7">
        <f t="shared" si="17"/>
        <v>-0.77547863082575907</v>
      </c>
      <c r="O30" s="11"/>
      <c r="P30" s="6">
        <v>496.8</v>
      </c>
      <c r="Q30" s="2"/>
      <c r="R30" s="7">
        <f t="shared" si="18"/>
        <v>1.2662859074766078E-3</v>
      </c>
      <c r="S30" s="2"/>
      <c r="T30" s="6">
        <v>448.34</v>
      </c>
      <c r="U30" s="2"/>
      <c r="V30" s="7">
        <f t="shared" si="19"/>
        <v>7.3209715151602436E-4</v>
      </c>
      <c r="W30" s="2"/>
      <c r="X30" s="6">
        <f t="shared" si="20"/>
        <v>48.460000000000036</v>
      </c>
      <c r="Y30" s="2"/>
      <c r="Z30" s="7">
        <f t="shared" si="21"/>
        <v>0.10808761208011786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320.99</v>
      </c>
      <c r="E31" s="2"/>
      <c r="F31" s="7">
        <f t="shared" si="14"/>
        <v>0</v>
      </c>
      <c r="G31" s="2"/>
      <c r="H31" s="6">
        <v>305.26</v>
      </c>
      <c r="I31" s="2"/>
      <c r="J31" s="7">
        <f t="shared" si="15"/>
        <v>2.8614604509438948E-3</v>
      </c>
      <c r="K31" s="2"/>
      <c r="L31" s="6">
        <f t="shared" si="16"/>
        <v>15.730000000000018</v>
      </c>
      <c r="M31" s="2"/>
      <c r="N31" s="7">
        <f t="shared" si="17"/>
        <v>5.1529843412173287E-2</v>
      </c>
      <c r="O31" s="11"/>
      <c r="P31" s="6">
        <v>3370.39</v>
      </c>
      <c r="Q31" s="2"/>
      <c r="R31" s="7">
        <f t="shared" si="18"/>
        <v>8.590735426127382E-3</v>
      </c>
      <c r="S31" s="2"/>
      <c r="T31" s="6">
        <v>3679.76</v>
      </c>
      <c r="U31" s="2"/>
      <c r="V31" s="7">
        <f t="shared" si="19"/>
        <v>6.0087028020310617E-3</v>
      </c>
      <c r="W31" s="2"/>
      <c r="X31" s="6">
        <f t="shared" si="20"/>
        <v>-309.37000000000035</v>
      </c>
      <c r="Y31" s="2"/>
      <c r="Z31" s="7">
        <f t="shared" si="21"/>
        <v>-8.4073417831597802E-2</v>
      </c>
    </row>
    <row r="32" spans="1:26" s="24" customFormat="1" hidden="1" outlineLevel="2" x14ac:dyDescent="0.25">
      <c r="A32" s="27"/>
      <c r="B32" s="11" t="str">
        <f>CONCATENATE("          ", "6117", " - ", "RETIREMENT STAFF HOURLY")</f>
        <v xml:space="preserve">          6117 - RETIREMENT STAFF HOURLY</v>
      </c>
      <c r="C32" s="11"/>
      <c r="D32" s="6">
        <v>421.87</v>
      </c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421.87</v>
      </c>
      <c r="M32" s="2"/>
      <c r="N32" s="7">
        <f t="shared" si="17"/>
        <v>0</v>
      </c>
      <c r="O32" s="11"/>
      <c r="P32" s="6">
        <v>764.45</v>
      </c>
      <c r="Q32" s="2"/>
      <c r="R32" s="7">
        <f t="shared" si="18"/>
        <v>1.9484948912449533E-3</v>
      </c>
      <c r="S32" s="2"/>
      <c r="T32" s="6"/>
      <c r="U32" s="2"/>
      <c r="V32" s="7">
        <f t="shared" si="19"/>
        <v>0</v>
      </c>
      <c r="W32" s="2"/>
      <c r="X32" s="6">
        <f t="shared" si="20"/>
        <v>764.45</v>
      </c>
      <c r="Y32" s="2"/>
      <c r="Z32" s="7">
        <f t="shared" si="21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265.38</v>
      </c>
      <c r="E33" s="2"/>
      <c r="F33" s="7">
        <f t="shared" si="14"/>
        <v>0</v>
      </c>
      <c r="G33" s="2"/>
      <c r="H33" s="6">
        <v>171.76</v>
      </c>
      <c r="I33" s="2"/>
      <c r="J33" s="7">
        <f t="shared" si="15"/>
        <v>1.6100519133005417E-3</v>
      </c>
      <c r="K33" s="2"/>
      <c r="L33" s="6">
        <f t="shared" si="16"/>
        <v>93.62</v>
      </c>
      <c r="M33" s="2"/>
      <c r="N33" s="7">
        <f t="shared" si="17"/>
        <v>0.54506287843502566</v>
      </c>
      <c r="O33" s="11"/>
      <c r="P33" s="6">
        <v>2462.14</v>
      </c>
      <c r="Q33" s="2"/>
      <c r="R33" s="7">
        <f t="shared" si="18"/>
        <v>6.2757109183463255E-3</v>
      </c>
      <c r="S33" s="2"/>
      <c r="T33" s="6">
        <v>2428.15</v>
      </c>
      <c r="U33" s="2"/>
      <c r="V33" s="7">
        <f t="shared" si="19"/>
        <v>3.9649411126681418E-3</v>
      </c>
      <c r="W33" s="2"/>
      <c r="X33" s="6">
        <f t="shared" si="20"/>
        <v>33.989999999999782</v>
      </c>
      <c r="Y33" s="2"/>
      <c r="Z33" s="7">
        <f t="shared" si="21"/>
        <v>1.3998311471696469E-2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-56.77</v>
      </c>
      <c r="E34" s="2"/>
      <c r="F34" s="7">
        <f t="shared" si="14"/>
        <v>0</v>
      </c>
      <c r="G34" s="2"/>
      <c r="H34" s="6">
        <v>205.78</v>
      </c>
      <c r="I34" s="2"/>
      <c r="J34" s="7">
        <f t="shared" si="15"/>
        <v>1.9289501788483088E-3</v>
      </c>
      <c r="K34" s="2"/>
      <c r="L34" s="6">
        <f t="shared" si="16"/>
        <v>-262.55</v>
      </c>
      <c r="M34" s="2"/>
      <c r="N34" s="7">
        <f t="shared" si="17"/>
        <v>-1.2758771503547479</v>
      </c>
      <c r="O34" s="11"/>
      <c r="P34" s="6">
        <v>2637.43</v>
      </c>
      <c r="Q34" s="2"/>
      <c r="R34" s="7">
        <f t="shared" si="18"/>
        <v>6.7225049133575465E-3</v>
      </c>
      <c r="S34" s="2"/>
      <c r="T34" s="6">
        <v>-4300.18</v>
      </c>
      <c r="U34" s="2"/>
      <c r="V34" s="7">
        <f t="shared" si="19"/>
        <v>-7.021790446995981E-3</v>
      </c>
      <c r="W34" s="2"/>
      <c r="X34" s="6">
        <f t="shared" si="20"/>
        <v>6937.6100000000006</v>
      </c>
      <c r="Y34" s="2"/>
      <c r="Z34" s="7">
        <f t="shared" si="21"/>
        <v>-1.613330139668572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16</v>
      </c>
      <c r="E35" s="2"/>
      <c r="F35" s="7">
        <f t="shared" si="14"/>
        <v>0</v>
      </c>
      <c r="G35" s="2"/>
      <c r="H35" s="6">
        <v>163.93</v>
      </c>
      <c r="I35" s="2"/>
      <c r="J35" s="7">
        <f t="shared" si="15"/>
        <v>1.5366546934522463E-3</v>
      </c>
      <c r="K35" s="2"/>
      <c r="L35" s="6">
        <f t="shared" si="16"/>
        <v>-147.93</v>
      </c>
      <c r="M35" s="2"/>
      <c r="N35" s="7">
        <f t="shared" si="17"/>
        <v>-0.90239736472884768</v>
      </c>
      <c r="O35" s="11"/>
      <c r="P35" s="6">
        <v>1961.22</v>
      </c>
      <c r="Q35" s="2"/>
      <c r="R35" s="7">
        <f t="shared" si="18"/>
        <v>4.9989236060009514E-3</v>
      </c>
      <c r="S35" s="2"/>
      <c r="T35" s="6">
        <v>1436.17</v>
      </c>
      <c r="U35" s="2"/>
      <c r="V35" s="7">
        <f t="shared" si="19"/>
        <v>2.3451308517927665E-3</v>
      </c>
      <c r="W35" s="2"/>
      <c r="X35" s="6">
        <f t="shared" si="20"/>
        <v>525.04999999999995</v>
      </c>
      <c r="Y35" s="2"/>
      <c r="Z35" s="7">
        <f t="shared" si="21"/>
        <v>0.3655904245319147</v>
      </c>
    </row>
    <row r="36" spans="1:26" s="25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2367.9700000000003</v>
      </c>
      <c r="E36" s="1"/>
      <c r="F36" s="5">
        <f t="shared" ref="F36:F42" si="22">IF(D$12=0,0,D36/D$12)</f>
        <v>0</v>
      </c>
      <c r="G36" s="1"/>
      <c r="H36" s="1">
        <f>SUM(OSRRefH22_1x_0)</f>
        <v>19176.939999999999</v>
      </c>
      <c r="I36" s="1"/>
      <c r="J36" s="5">
        <f t="shared" ref="J36:J42" si="23">IF(H$12=0,0,H36/H$12)</f>
        <v>0.17976169619381516</v>
      </c>
      <c r="K36" s="1"/>
      <c r="L36" s="1">
        <f t="shared" ref="L36:L42" si="24">+D36-H36</f>
        <v>-16808.969999999998</v>
      </c>
      <c r="M36" s="1"/>
      <c r="N36" s="5">
        <f t="shared" ref="N36:N42" si="25">IF(H36=0,0,L36/H36)</f>
        <v>-0.87651992445092897</v>
      </c>
      <c r="O36" s="13"/>
      <c r="P36" s="1">
        <f>SUM(OSRRefP22_1x_0)</f>
        <v>148522.79999999999</v>
      </c>
      <c r="Q36" s="1"/>
      <c r="R36" s="5">
        <f t="shared" ref="R36:R42" si="26">IF(P$12=0,0,P36/P$12)</f>
        <v>0.37856748908809723</v>
      </c>
      <c r="S36" s="1"/>
      <c r="T36" s="1">
        <f>SUM(OSRRefT22_1x_0)</f>
        <v>159560.74</v>
      </c>
      <c r="U36" s="1"/>
      <c r="V36" s="5">
        <f t="shared" ref="V36:V42" si="27">IF(T$12=0,0,T36/T$12)</f>
        <v>0.26054771657177361</v>
      </c>
      <c r="W36" s="1"/>
      <c r="X36" s="1">
        <f t="shared" ref="X36:X42" si="28">+P36-T36</f>
        <v>-11037.940000000002</v>
      </c>
      <c r="Y36" s="1"/>
      <c r="Z36" s="5">
        <f t="shared" ref="Z36:Z42" si="29">IF(T36=0,0,X36/T36)</f>
        <v>-6.9177041921465163E-2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2297.5300000000002</v>
      </c>
      <c r="E37" s="2"/>
      <c r="F37" s="7">
        <f t="shared" si="22"/>
        <v>0</v>
      </c>
      <c r="G37" s="2"/>
      <c r="H37" s="6">
        <v>4461.54</v>
      </c>
      <c r="I37" s="2"/>
      <c r="J37" s="7">
        <f t="shared" si="23"/>
        <v>4.1821792112639145E-2</v>
      </c>
      <c r="K37" s="2"/>
      <c r="L37" s="6">
        <f t="shared" si="24"/>
        <v>-2164.0099999999998</v>
      </c>
      <c r="M37" s="2"/>
      <c r="N37" s="7">
        <f t="shared" si="25"/>
        <v>-0.48503655688394587</v>
      </c>
      <c r="O37" s="11"/>
      <c r="P37" s="6">
        <v>46183.56</v>
      </c>
      <c r="Q37" s="2"/>
      <c r="R37" s="7">
        <f t="shared" si="26"/>
        <v>0.11771656840801199</v>
      </c>
      <c r="S37" s="2"/>
      <c r="T37" s="6">
        <v>49300.09</v>
      </c>
      <c r="U37" s="2"/>
      <c r="V37" s="7">
        <f t="shared" si="27"/>
        <v>8.0502421060988621E-2</v>
      </c>
      <c r="W37" s="2"/>
      <c r="X37" s="6">
        <f t="shared" si="28"/>
        <v>-3116.5299999999988</v>
      </c>
      <c r="Y37" s="2"/>
      <c r="Z37" s="7">
        <f t="shared" si="29"/>
        <v>-6.3215503257701949E-2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6">
        <v>141.44</v>
      </c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141.44</v>
      </c>
      <c r="M38" s="2"/>
      <c r="N38" s="7">
        <f t="shared" si="25"/>
        <v>0</v>
      </c>
      <c r="O38" s="11"/>
      <c r="P38" s="6">
        <v>12512.45</v>
      </c>
      <c r="Q38" s="2"/>
      <c r="R38" s="7">
        <f t="shared" si="26"/>
        <v>3.189279207529324E-2</v>
      </c>
      <c r="S38" s="2"/>
      <c r="T38" s="6">
        <v>138</v>
      </c>
      <c r="U38" s="2"/>
      <c r="V38" s="7">
        <f t="shared" si="27"/>
        <v>2.2534105123167992E-4</v>
      </c>
      <c r="W38" s="2"/>
      <c r="X38" s="6">
        <f t="shared" si="28"/>
        <v>12374.45</v>
      </c>
      <c r="Y38" s="2"/>
      <c r="Z38" s="7">
        <f t="shared" si="29"/>
        <v>89.669927536231896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2"/>
        <v>0</v>
      </c>
      <c r="G39" s="2"/>
      <c r="H39" s="6">
        <v>3775.08</v>
      </c>
      <c r="I39" s="2"/>
      <c r="J39" s="7">
        <f t="shared" si="23"/>
        <v>3.5387021290536849E-2</v>
      </c>
      <c r="K39" s="2"/>
      <c r="L39" s="6">
        <f t="shared" si="24"/>
        <v>-3775.08</v>
      </c>
      <c r="M39" s="2"/>
      <c r="N39" s="7">
        <f t="shared" si="25"/>
        <v>-1</v>
      </c>
      <c r="O39" s="11"/>
      <c r="P39" s="6">
        <v>32469.929999999997</v>
      </c>
      <c r="Q39" s="2"/>
      <c r="R39" s="7">
        <f t="shared" si="26"/>
        <v>8.2762107036537691E-2</v>
      </c>
      <c r="S39" s="2"/>
      <c r="T39" s="6">
        <v>41210.369999999995</v>
      </c>
      <c r="U39" s="2"/>
      <c r="V39" s="7">
        <f t="shared" si="27"/>
        <v>6.729266737280061E-2</v>
      </c>
      <c r="W39" s="2"/>
      <c r="X39" s="6">
        <f t="shared" si="28"/>
        <v>-8740.4399999999987</v>
      </c>
      <c r="Y39" s="2"/>
      <c r="Z39" s="7">
        <f t="shared" si="29"/>
        <v>-0.21209321828462108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2"/>
        <v>0</v>
      </c>
      <c r="G40" s="2"/>
      <c r="H40" s="6">
        <v>96</v>
      </c>
      <c r="I40" s="2"/>
      <c r="J40" s="7">
        <f t="shared" si="23"/>
        <v>8.9988928549634387E-4</v>
      </c>
      <c r="K40" s="2"/>
      <c r="L40" s="6">
        <f t="shared" si="24"/>
        <v>-96</v>
      </c>
      <c r="M40" s="2"/>
      <c r="N40" s="7">
        <f t="shared" si="25"/>
        <v>-1</v>
      </c>
      <c r="O40" s="11"/>
      <c r="P40" s="6">
        <v>303.38</v>
      </c>
      <c r="Q40" s="2"/>
      <c r="R40" s="7">
        <f t="shared" si="26"/>
        <v>7.7328063327345656E-4</v>
      </c>
      <c r="S40" s="2"/>
      <c r="T40" s="6">
        <v>234</v>
      </c>
      <c r="U40" s="2"/>
      <c r="V40" s="7">
        <f t="shared" si="27"/>
        <v>3.8210004339284858E-4</v>
      </c>
      <c r="W40" s="2"/>
      <c r="X40" s="6">
        <f t="shared" si="28"/>
        <v>69.38</v>
      </c>
      <c r="Y40" s="2"/>
      <c r="Z40" s="7">
        <f t="shared" si="29"/>
        <v>0.29649572649572647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6">
        <v>-71</v>
      </c>
      <c r="E41" s="2"/>
      <c r="F41" s="7">
        <f t="shared" si="22"/>
        <v>0</v>
      </c>
      <c r="G41" s="2"/>
      <c r="H41" s="6">
        <v>9854.32</v>
      </c>
      <c r="I41" s="2"/>
      <c r="J41" s="7">
        <f t="shared" si="23"/>
        <v>9.2372885248461781E-2</v>
      </c>
      <c r="K41" s="2"/>
      <c r="L41" s="6">
        <f t="shared" si="24"/>
        <v>-9925.32</v>
      </c>
      <c r="M41" s="2"/>
      <c r="N41" s="7">
        <f t="shared" si="25"/>
        <v>-1.0072049618847367</v>
      </c>
      <c r="O41" s="11"/>
      <c r="P41" s="6">
        <v>49893.740000000005</v>
      </c>
      <c r="Q41" s="2"/>
      <c r="R41" s="7">
        <f t="shared" si="26"/>
        <v>0.12717338935849823</v>
      </c>
      <c r="S41" s="2"/>
      <c r="T41" s="6">
        <v>64818.579999999994</v>
      </c>
      <c r="U41" s="2"/>
      <c r="V41" s="7">
        <f t="shared" si="27"/>
        <v>0.10584265910539668</v>
      </c>
      <c r="W41" s="2"/>
      <c r="X41" s="6">
        <f t="shared" si="28"/>
        <v>-14924.839999999989</v>
      </c>
      <c r="Y41" s="2"/>
      <c r="Z41" s="7">
        <f t="shared" si="29"/>
        <v>-0.23025558412418154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2"/>
        <v>0</v>
      </c>
      <c r="G42" s="2"/>
      <c r="H42" s="6">
        <v>990</v>
      </c>
      <c r="I42" s="2"/>
      <c r="J42" s="7">
        <f t="shared" si="23"/>
        <v>9.2801082566810449E-3</v>
      </c>
      <c r="K42" s="2"/>
      <c r="L42" s="6">
        <f t="shared" si="24"/>
        <v>-990</v>
      </c>
      <c r="M42" s="2"/>
      <c r="N42" s="7">
        <f t="shared" si="25"/>
        <v>-1</v>
      </c>
      <c r="O42" s="11"/>
      <c r="P42" s="6">
        <v>7159.74</v>
      </c>
      <c r="Q42" s="2"/>
      <c r="R42" s="7">
        <f t="shared" si="26"/>
        <v>1.8249351576482623E-2</v>
      </c>
      <c r="S42" s="2"/>
      <c r="T42" s="6">
        <v>3859.7</v>
      </c>
      <c r="U42" s="2"/>
      <c r="V42" s="7">
        <f t="shared" si="27"/>
        <v>6.3025279379631521E-3</v>
      </c>
      <c r="W42" s="2"/>
      <c r="X42" s="6">
        <f t="shared" si="28"/>
        <v>3300.04</v>
      </c>
      <c r="Y42" s="2"/>
      <c r="Z42" s="7">
        <f t="shared" si="29"/>
        <v>0.85499909319377154</v>
      </c>
    </row>
    <row r="43" spans="1:26" s="25" customFormat="1" outlineLevel="1" collapsed="1" x14ac:dyDescent="0.25">
      <c r="A43" s="26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60" si="30">IF(D$12=0,0,D43/D$12)</f>
        <v>0</v>
      </c>
      <c r="G43" s="1"/>
      <c r="H43" s="1">
        <f>SUM(OSRRefH22_2x_0)</f>
        <v>943.51</v>
      </c>
      <c r="I43" s="1"/>
      <c r="J43" s="5">
        <f t="shared" ref="J43:J60" si="31">IF(H$12=0,0,H43/H$12)</f>
        <v>8.8443181224859939E-3</v>
      </c>
      <c r="K43" s="1"/>
      <c r="L43" s="1">
        <f t="shared" ref="L43:L60" si="32">+D43-H43</f>
        <v>-943.51</v>
      </c>
      <c r="M43" s="1"/>
      <c r="N43" s="5">
        <f t="shared" ref="N43:N60" si="33">IF(H43=0,0,L43/H43)</f>
        <v>-1</v>
      </c>
      <c r="O43" s="13"/>
      <c r="P43" s="1">
        <f>SUM(OSRRefP22_2x_0)</f>
        <v>1868.45</v>
      </c>
      <c r="Q43" s="1"/>
      <c r="R43" s="5">
        <f t="shared" ref="R43:R60" si="34">IF(P$12=0,0,P43/P$12)</f>
        <v>4.7624635745263039E-3</v>
      </c>
      <c r="S43" s="1"/>
      <c r="T43" s="1">
        <f>SUM(OSRRefT22_2x_0)</f>
        <v>2826.72</v>
      </c>
      <c r="U43" s="1"/>
      <c r="V43" s="5">
        <f t="shared" ref="V43:V60" si="35">IF(T$12=0,0,T43/T$12)</f>
        <v>4.61576852418561E-3</v>
      </c>
      <c r="W43" s="1"/>
      <c r="X43" s="1">
        <f t="shared" ref="X43:X60" si="36">+P43-T43</f>
        <v>-958.26999999999975</v>
      </c>
      <c r="Y43" s="1"/>
      <c r="Z43" s="5">
        <f t="shared" ref="Z43:Z60" si="37">IF(T43=0,0,X43/T43)</f>
        <v>-0.33900421690156785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0"/>
        <v>0</v>
      </c>
      <c r="G44" s="2"/>
      <c r="H44" s="6">
        <v>943.51</v>
      </c>
      <c r="I44" s="2"/>
      <c r="J44" s="7">
        <f t="shared" si="31"/>
        <v>8.8443181224859939E-3</v>
      </c>
      <c r="K44" s="2"/>
      <c r="L44" s="6">
        <f t="shared" si="32"/>
        <v>-943.51</v>
      </c>
      <c r="M44" s="2"/>
      <c r="N44" s="7">
        <f t="shared" si="33"/>
        <v>-1</v>
      </c>
      <c r="O44" s="11"/>
      <c r="P44" s="6">
        <v>1868.45</v>
      </c>
      <c r="Q44" s="2"/>
      <c r="R44" s="7">
        <f t="shared" si="34"/>
        <v>4.7624635745263039E-3</v>
      </c>
      <c r="S44" s="2"/>
      <c r="T44" s="6">
        <v>2826.72</v>
      </c>
      <c r="U44" s="2"/>
      <c r="V44" s="7">
        <f t="shared" si="35"/>
        <v>4.61576852418561E-3</v>
      </c>
      <c r="W44" s="2"/>
      <c r="X44" s="6">
        <f t="shared" si="36"/>
        <v>-958.26999999999975</v>
      </c>
      <c r="Y44" s="2"/>
      <c r="Z44" s="7">
        <f t="shared" si="37"/>
        <v>-0.33900421690156785</v>
      </c>
    </row>
    <row r="45" spans="1:26" s="25" customFormat="1" outlineLevel="1" collapsed="1" x14ac:dyDescent="0.25">
      <c r="A45" s="26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47.65</v>
      </c>
      <c r="I45" s="1"/>
      <c r="J45" s="5">
        <f t="shared" si="31"/>
        <v>4.466637963947998E-4</v>
      </c>
      <c r="K45" s="1"/>
      <c r="L45" s="1">
        <f t="shared" si="32"/>
        <v>-47.65</v>
      </c>
      <c r="M45" s="1"/>
      <c r="N45" s="5">
        <f t="shared" si="33"/>
        <v>-1</v>
      </c>
      <c r="O45" s="13"/>
      <c r="P45" s="1">
        <f>SUM(OSRRefP22_3x_0)</f>
        <v>-144.01</v>
      </c>
      <c r="Q45" s="1"/>
      <c r="R45" s="5">
        <f t="shared" si="34"/>
        <v>-3.6706488231824934E-4</v>
      </c>
      <c r="S45" s="1"/>
      <c r="T45" s="1">
        <f>SUM(OSRRefT22_3x_0)</f>
        <v>-669.03</v>
      </c>
      <c r="U45" s="1"/>
      <c r="V45" s="5">
        <f t="shared" si="35"/>
        <v>-1.0924632138081944E-3</v>
      </c>
      <c r="W45" s="1"/>
      <c r="X45" s="1">
        <f t="shared" si="36"/>
        <v>525.02</v>
      </c>
      <c r="Y45" s="1"/>
      <c r="Z45" s="5">
        <f t="shared" si="37"/>
        <v>-0.78474806809859055</v>
      </c>
    </row>
    <row r="46" spans="1:26" s="24" customFormat="1" hidden="1" outlineLevel="2" x14ac:dyDescent="0.25">
      <c r="A46" s="27"/>
      <c r="B46" s="11" t="str">
        <f>CONCATENATE("          ", "6272", " - ", "CASH (OVER/SHORT)")</f>
        <v xml:space="preserve">          6272 - CASH (OVER/SHORT)</v>
      </c>
      <c r="C46" s="11"/>
      <c r="D46" s="6"/>
      <c r="E46" s="2"/>
      <c r="F46" s="7">
        <f t="shared" si="30"/>
        <v>0</v>
      </c>
      <c r="G46" s="2"/>
      <c r="H46" s="6">
        <v>47.65</v>
      </c>
      <c r="I46" s="2"/>
      <c r="J46" s="7">
        <f t="shared" si="31"/>
        <v>4.466637963947998E-4</v>
      </c>
      <c r="K46" s="2"/>
      <c r="L46" s="6">
        <f t="shared" si="32"/>
        <v>-47.65</v>
      </c>
      <c r="M46" s="2"/>
      <c r="N46" s="7">
        <f t="shared" si="33"/>
        <v>-1</v>
      </c>
      <c r="O46" s="11"/>
      <c r="P46" s="6">
        <v>-144.01</v>
      </c>
      <c r="Q46" s="2"/>
      <c r="R46" s="7">
        <f t="shared" si="34"/>
        <v>-3.6706488231824934E-4</v>
      </c>
      <c r="S46" s="2"/>
      <c r="T46" s="6">
        <v>-669.03</v>
      </c>
      <c r="U46" s="2"/>
      <c r="V46" s="7">
        <f t="shared" si="35"/>
        <v>-1.0924632138081944E-3</v>
      </c>
      <c r="W46" s="2"/>
      <c r="X46" s="6">
        <f t="shared" si="36"/>
        <v>525.02</v>
      </c>
      <c r="Y46" s="2"/>
      <c r="Z46" s="7">
        <f t="shared" si="37"/>
        <v>-0.78474806809859055</v>
      </c>
    </row>
    <row r="47" spans="1:26" s="25" customFormat="1" outlineLevel="1" collapsed="1" x14ac:dyDescent="0.25">
      <c r="A47" s="26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1888.62</v>
      </c>
      <c r="I47" s="1"/>
      <c r="J47" s="5">
        <f t="shared" si="31"/>
        <v>1.7703634399730259E-2</v>
      </c>
      <c r="K47" s="1"/>
      <c r="L47" s="1">
        <f t="shared" si="32"/>
        <v>-1888.62</v>
      </c>
      <c r="M47" s="1"/>
      <c r="N47" s="5">
        <f t="shared" si="33"/>
        <v>-1</v>
      </c>
      <c r="O47" s="13"/>
      <c r="P47" s="1">
        <f>SUM(OSRRefP22_4x_0)</f>
        <v>7654.91</v>
      </c>
      <c r="Q47" s="1"/>
      <c r="R47" s="5">
        <f t="shared" si="34"/>
        <v>1.9511482801935907E-2</v>
      </c>
      <c r="S47" s="1"/>
      <c r="T47" s="1">
        <f>SUM(OSRRefT22_4x_0)</f>
        <v>12755.97</v>
      </c>
      <c r="U47" s="1"/>
      <c r="V47" s="5">
        <f t="shared" si="35"/>
        <v>2.0829302096230233E-2</v>
      </c>
      <c r="W47" s="1"/>
      <c r="X47" s="1">
        <f t="shared" si="36"/>
        <v>-5101.0599999999995</v>
      </c>
      <c r="Y47" s="1"/>
      <c r="Z47" s="5">
        <f t="shared" si="37"/>
        <v>-0.39989589188434904</v>
      </c>
    </row>
    <row r="48" spans="1:26" s="24" customFormat="1" hidden="1" outlineLevel="2" x14ac:dyDescent="0.25">
      <c r="A48" s="27"/>
      <c r="B48" s="11" t="str">
        <f>CONCATENATE("          ", "6381", " - ", "BANK/CREDIT CARD FEES")</f>
        <v xml:space="preserve">          6381 - BANK/CREDIT CARD FEES</v>
      </c>
      <c r="C48" s="11"/>
      <c r="D48" s="6"/>
      <c r="E48" s="2"/>
      <c r="F48" s="7">
        <f t="shared" si="30"/>
        <v>0</v>
      </c>
      <c r="G48" s="2"/>
      <c r="H48" s="6">
        <v>1888.62</v>
      </c>
      <c r="I48" s="2"/>
      <c r="J48" s="7">
        <f t="shared" si="31"/>
        <v>1.7703634399730259E-2</v>
      </c>
      <c r="K48" s="2"/>
      <c r="L48" s="6">
        <f t="shared" si="32"/>
        <v>-1888.62</v>
      </c>
      <c r="M48" s="2"/>
      <c r="N48" s="7">
        <f t="shared" si="33"/>
        <v>-1</v>
      </c>
      <c r="O48" s="11"/>
      <c r="P48" s="6">
        <v>7654.91</v>
      </c>
      <c r="Q48" s="2"/>
      <c r="R48" s="7">
        <f t="shared" si="34"/>
        <v>1.9511482801935907E-2</v>
      </c>
      <c r="S48" s="2"/>
      <c r="T48" s="6">
        <v>12755.97</v>
      </c>
      <c r="U48" s="2"/>
      <c r="V48" s="7">
        <f t="shared" si="35"/>
        <v>2.0829302096230233E-2</v>
      </c>
      <c r="W48" s="2"/>
      <c r="X48" s="6">
        <f t="shared" si="36"/>
        <v>-5101.0599999999995</v>
      </c>
      <c r="Y48" s="2"/>
      <c r="Z48" s="7">
        <f t="shared" si="37"/>
        <v>-0.39989589188434904</v>
      </c>
    </row>
    <row r="49" spans="1:26" s="25" customFormat="1" outlineLevel="1" collapsed="1" x14ac:dyDescent="0.25">
      <c r="A49" s="26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1000.91</v>
      </c>
      <c r="E49" s="1"/>
      <c r="F49" s="5">
        <f t="shared" si="30"/>
        <v>0</v>
      </c>
      <c r="G49" s="1"/>
      <c r="H49" s="1">
        <f>SUM(OSRRefH22_5x_0)</f>
        <v>250.87</v>
      </c>
      <c r="I49" s="1"/>
      <c r="J49" s="5">
        <f t="shared" si="31"/>
        <v>2.3516169276298726E-3</v>
      </c>
      <c r="K49" s="1"/>
      <c r="L49" s="1">
        <f t="shared" si="32"/>
        <v>750.04</v>
      </c>
      <c r="M49" s="1"/>
      <c r="N49" s="5">
        <f t="shared" si="33"/>
        <v>2.9897556503368277</v>
      </c>
      <c r="O49" s="13"/>
      <c r="P49" s="1">
        <f>SUM(OSRRefP22_5x_0)</f>
        <v>4044.62</v>
      </c>
      <c r="Q49" s="1"/>
      <c r="R49" s="5">
        <f t="shared" si="34"/>
        <v>1.0309269941823745E-2</v>
      </c>
      <c r="S49" s="1"/>
      <c r="T49" s="1">
        <f>SUM(OSRRefT22_5x_0)</f>
        <v>519.66</v>
      </c>
      <c r="U49" s="1"/>
      <c r="V49" s="5">
        <f t="shared" si="35"/>
        <v>8.4855601944242595E-4</v>
      </c>
      <c r="W49" s="1"/>
      <c r="X49" s="1">
        <f t="shared" si="36"/>
        <v>3524.96</v>
      </c>
      <c r="Y49" s="1"/>
      <c r="Z49" s="5">
        <f t="shared" si="37"/>
        <v>6.7832044028788054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1000.91</v>
      </c>
      <c r="E50" s="2"/>
      <c r="F50" s="7">
        <f t="shared" si="30"/>
        <v>0</v>
      </c>
      <c r="G50" s="2"/>
      <c r="H50" s="6">
        <v>250.87</v>
      </c>
      <c r="I50" s="2"/>
      <c r="J50" s="7">
        <f t="shared" si="31"/>
        <v>2.3516169276298726E-3</v>
      </c>
      <c r="K50" s="2"/>
      <c r="L50" s="6">
        <f t="shared" si="32"/>
        <v>750.04</v>
      </c>
      <c r="M50" s="2"/>
      <c r="N50" s="7">
        <f t="shared" si="33"/>
        <v>2.9897556503368277</v>
      </c>
      <c r="O50" s="11"/>
      <c r="P50" s="6">
        <v>4044.62</v>
      </c>
      <c r="Q50" s="2"/>
      <c r="R50" s="7">
        <f t="shared" si="34"/>
        <v>1.0309269941823745E-2</v>
      </c>
      <c r="S50" s="2"/>
      <c r="T50" s="6">
        <v>519.66</v>
      </c>
      <c r="U50" s="2"/>
      <c r="V50" s="7">
        <f t="shared" si="35"/>
        <v>8.4855601944242595E-4</v>
      </c>
      <c r="W50" s="2"/>
      <c r="X50" s="6">
        <f t="shared" si="36"/>
        <v>3524.96</v>
      </c>
      <c r="Y50" s="2"/>
      <c r="Z50" s="7">
        <f t="shared" si="37"/>
        <v>6.7832044028788054</v>
      </c>
    </row>
    <row r="51" spans="1:26" s="25" customFormat="1" outlineLevel="1" collapsed="1" x14ac:dyDescent="0.25">
      <c r="A51" s="26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SUM(OSRRefP22_6x_0)</f>
        <v>118.6</v>
      </c>
      <c r="Q51" s="1"/>
      <c r="R51" s="5">
        <f t="shared" si="34"/>
        <v>3.022977226785943E-4</v>
      </c>
      <c r="S51" s="1"/>
      <c r="T51" s="1">
        <f>SUM(OSRRefT22_6x_0)</f>
        <v>193.08</v>
      </c>
      <c r="U51" s="1"/>
      <c r="V51" s="5">
        <f t="shared" si="35"/>
        <v>3.1528152298415044E-4</v>
      </c>
      <c r="W51" s="1"/>
      <c r="X51" s="1">
        <f t="shared" si="36"/>
        <v>-74.480000000000018</v>
      </c>
      <c r="Y51" s="1"/>
      <c r="Z51" s="5">
        <f t="shared" si="37"/>
        <v>-0.38574684068779785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>
        <v>118.6</v>
      </c>
      <c r="Q52" s="2"/>
      <c r="R52" s="7">
        <f t="shared" si="34"/>
        <v>3.022977226785943E-4</v>
      </c>
      <c r="S52" s="2"/>
      <c r="T52" s="6">
        <v>193.08</v>
      </c>
      <c r="U52" s="2"/>
      <c r="V52" s="7">
        <f t="shared" si="35"/>
        <v>3.1528152298415044E-4</v>
      </c>
      <c r="W52" s="2"/>
      <c r="X52" s="6">
        <f t="shared" si="36"/>
        <v>-74.480000000000018</v>
      </c>
      <c r="Y52" s="2"/>
      <c r="Z52" s="7">
        <f t="shared" si="37"/>
        <v>-0.38574684068779785</v>
      </c>
    </row>
    <row r="53" spans="1:26" s="25" customFormat="1" outlineLevel="1" collapsed="1" x14ac:dyDescent="0.25">
      <c r="A53" s="26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100</v>
      </c>
      <c r="I53" s="1"/>
      <c r="J53" s="5">
        <f t="shared" si="31"/>
        <v>9.3738467239202485E-4</v>
      </c>
      <c r="K53" s="1"/>
      <c r="L53" s="1">
        <f t="shared" si="32"/>
        <v>-100</v>
      </c>
      <c r="M53" s="1"/>
      <c r="N53" s="5">
        <f t="shared" si="33"/>
        <v>-1</v>
      </c>
      <c r="O53" s="13"/>
      <c r="P53" s="1">
        <f>SUM(OSRRefP22_7x_0)</f>
        <v>350</v>
      </c>
      <c r="Q53" s="1"/>
      <c r="R53" s="5">
        <f t="shared" si="34"/>
        <v>8.9210963690984841E-4</v>
      </c>
      <c r="S53" s="1"/>
      <c r="T53" s="1">
        <f>SUM(OSRRefT22_7x_0)</f>
        <v>730</v>
      </c>
      <c r="U53" s="1"/>
      <c r="V53" s="5">
        <f t="shared" si="35"/>
        <v>1.1920215028922198E-3</v>
      </c>
      <c r="W53" s="1"/>
      <c r="X53" s="1">
        <f t="shared" si="36"/>
        <v>-380</v>
      </c>
      <c r="Y53" s="1"/>
      <c r="Z53" s="5">
        <f t="shared" si="37"/>
        <v>-0.52054794520547942</v>
      </c>
    </row>
    <row r="54" spans="1:26" s="24" customFormat="1" hidden="1" outlineLevel="2" x14ac:dyDescent="0.25">
      <c r="A54" s="27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30"/>
        <v>0</v>
      </c>
      <c r="G54" s="2"/>
      <c r="H54" s="6">
        <v>100</v>
      </c>
      <c r="I54" s="2"/>
      <c r="J54" s="7">
        <f t="shared" si="31"/>
        <v>9.3738467239202485E-4</v>
      </c>
      <c r="K54" s="2"/>
      <c r="L54" s="6">
        <f t="shared" si="32"/>
        <v>-100</v>
      </c>
      <c r="M54" s="2"/>
      <c r="N54" s="7">
        <f t="shared" si="33"/>
        <v>-1</v>
      </c>
      <c r="O54" s="11"/>
      <c r="P54" s="6">
        <v>350</v>
      </c>
      <c r="Q54" s="2"/>
      <c r="R54" s="7">
        <f t="shared" si="34"/>
        <v>8.9210963690984841E-4</v>
      </c>
      <c r="S54" s="2"/>
      <c r="T54" s="6">
        <v>730</v>
      </c>
      <c r="U54" s="2"/>
      <c r="V54" s="7">
        <f t="shared" si="35"/>
        <v>1.1920215028922198E-3</v>
      </c>
      <c r="W54" s="2"/>
      <c r="X54" s="6">
        <f t="shared" si="36"/>
        <v>-380</v>
      </c>
      <c r="Y54" s="2"/>
      <c r="Z54" s="7">
        <f t="shared" si="37"/>
        <v>-0.52054794520547942</v>
      </c>
    </row>
    <row r="55" spans="1:26" s="25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SUM(OSRRefD22_8x_0)</f>
        <v>0</v>
      </c>
      <c r="E55" s="1"/>
      <c r="F55" s="5">
        <f t="shared" si="30"/>
        <v>0</v>
      </c>
      <c r="G55" s="1"/>
      <c r="H55" s="1">
        <f>SUM(OSRRefH22_8x_0)</f>
        <v>717.51</v>
      </c>
      <c r="I55" s="1"/>
      <c r="J55" s="5">
        <f t="shared" si="31"/>
        <v>6.7258287628800175E-3</v>
      </c>
      <c r="K55" s="1"/>
      <c r="L55" s="1">
        <f t="shared" si="32"/>
        <v>-717.51</v>
      </c>
      <c r="M55" s="1"/>
      <c r="N55" s="5">
        <f t="shared" si="33"/>
        <v>-1</v>
      </c>
      <c r="O55" s="13"/>
      <c r="P55" s="1">
        <f>SUM(OSRRefP22_8x_0)</f>
        <v>15629.04</v>
      </c>
      <c r="Q55" s="1"/>
      <c r="R55" s="5">
        <f t="shared" si="34"/>
        <v>3.9836620570427139E-2</v>
      </c>
      <c r="S55" s="1"/>
      <c r="T55" s="1">
        <f>SUM(OSRRefT22_8x_0)</f>
        <v>5909.81</v>
      </c>
      <c r="U55" s="1"/>
      <c r="V55" s="5">
        <f t="shared" si="35"/>
        <v>9.6501652027499597E-3</v>
      </c>
      <c r="W55" s="1"/>
      <c r="X55" s="1">
        <f t="shared" si="36"/>
        <v>9719.23</v>
      </c>
      <c r="Y55" s="1"/>
      <c r="Z55" s="5">
        <f t="shared" si="37"/>
        <v>1.6445926349578073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30"/>
        <v>0</v>
      </c>
      <c r="G56" s="2"/>
      <c r="H56" s="6">
        <v>717.51</v>
      </c>
      <c r="I56" s="2"/>
      <c r="J56" s="7">
        <f t="shared" si="31"/>
        <v>6.7258287628800175E-3</v>
      </c>
      <c r="K56" s="2"/>
      <c r="L56" s="6">
        <f t="shared" si="32"/>
        <v>-717.51</v>
      </c>
      <c r="M56" s="2"/>
      <c r="N56" s="7">
        <f t="shared" si="33"/>
        <v>-1</v>
      </c>
      <c r="O56" s="11"/>
      <c r="P56" s="6">
        <v>15629.04</v>
      </c>
      <c r="Q56" s="2"/>
      <c r="R56" s="7">
        <f t="shared" si="34"/>
        <v>3.9836620570427139E-2</v>
      </c>
      <c r="S56" s="2"/>
      <c r="T56" s="6">
        <v>5909.81</v>
      </c>
      <c r="U56" s="2"/>
      <c r="V56" s="7">
        <f t="shared" si="35"/>
        <v>9.6501652027499597E-3</v>
      </c>
      <c r="W56" s="2"/>
      <c r="X56" s="6">
        <f t="shared" si="36"/>
        <v>9719.23</v>
      </c>
      <c r="Y56" s="2"/>
      <c r="Z56" s="7">
        <f t="shared" si="37"/>
        <v>1.6445926349578073</v>
      </c>
    </row>
    <row r="57" spans="1:26" s="25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307.69</v>
      </c>
      <c r="E57" s="1"/>
      <c r="F57" s="5">
        <f t="shared" si="30"/>
        <v>0</v>
      </c>
      <c r="G57" s="1"/>
      <c r="H57" s="1">
        <f>SUM(OSRRefH22_9x_0)</f>
        <v>635.1</v>
      </c>
      <c r="I57" s="1"/>
      <c r="J57" s="5">
        <f t="shared" si="31"/>
        <v>5.9533300543617501E-3</v>
      </c>
      <c r="K57" s="1"/>
      <c r="L57" s="1">
        <f t="shared" si="32"/>
        <v>-327.41000000000003</v>
      </c>
      <c r="M57" s="1"/>
      <c r="N57" s="5">
        <f t="shared" si="33"/>
        <v>-0.51552511415525115</v>
      </c>
      <c r="O57" s="13"/>
      <c r="P57" s="1">
        <f>SUM(OSRRefP22_9x_0)</f>
        <v>5688.74</v>
      </c>
      <c r="Q57" s="1"/>
      <c r="R57" s="5">
        <f t="shared" si="34"/>
        <v>1.4499942216784373E-2</v>
      </c>
      <c r="S57" s="1"/>
      <c r="T57" s="1">
        <f>SUM(OSRRefT22_9x_0)</f>
        <v>4983.96</v>
      </c>
      <c r="U57" s="1"/>
      <c r="V57" s="5">
        <f t="shared" si="35"/>
        <v>8.1383390267872717E-3</v>
      </c>
      <c r="W57" s="1"/>
      <c r="X57" s="1">
        <f t="shared" si="36"/>
        <v>704.77999999999975</v>
      </c>
      <c r="Y57" s="1"/>
      <c r="Z57" s="5">
        <f t="shared" si="37"/>
        <v>0.14140964213195928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30"/>
        <v>0</v>
      </c>
      <c r="G58" s="2"/>
      <c r="H58" s="6"/>
      <c r="I58" s="2"/>
      <c r="J58" s="7">
        <f t="shared" si="31"/>
        <v>0</v>
      </c>
      <c r="K58" s="2"/>
      <c r="L58" s="6">
        <f t="shared" si="32"/>
        <v>0</v>
      </c>
      <c r="M58" s="2"/>
      <c r="N58" s="7">
        <f t="shared" si="33"/>
        <v>0</v>
      </c>
      <c r="O58" s="11"/>
      <c r="P58" s="6">
        <v>2623.84</v>
      </c>
      <c r="Q58" s="2"/>
      <c r="R58" s="7">
        <f t="shared" si="34"/>
        <v>6.6878655705986763E-3</v>
      </c>
      <c r="S58" s="2"/>
      <c r="T58" s="6"/>
      <c r="U58" s="2"/>
      <c r="V58" s="7">
        <f t="shared" si="35"/>
        <v>0</v>
      </c>
      <c r="W58" s="2"/>
      <c r="X58" s="6">
        <f t="shared" si="36"/>
        <v>2623.84</v>
      </c>
      <c r="Y58" s="2"/>
      <c r="Z58" s="7">
        <f t="shared" si="37"/>
        <v>0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30"/>
        <v>0</v>
      </c>
      <c r="G59" s="2"/>
      <c r="H59" s="6">
        <v>552</v>
      </c>
      <c r="I59" s="2"/>
      <c r="J59" s="7">
        <f t="shared" si="31"/>
        <v>5.1743633916039771E-3</v>
      </c>
      <c r="K59" s="2"/>
      <c r="L59" s="6">
        <f t="shared" si="32"/>
        <v>-552</v>
      </c>
      <c r="M59" s="2"/>
      <c r="N59" s="7">
        <f t="shared" si="33"/>
        <v>-1</v>
      </c>
      <c r="O59" s="11"/>
      <c r="P59" s="6">
        <v>573</v>
      </c>
      <c r="Q59" s="2"/>
      <c r="R59" s="7">
        <f t="shared" si="34"/>
        <v>1.4605109198552661E-3</v>
      </c>
      <c r="S59" s="2"/>
      <c r="T59" s="6">
        <v>614.5</v>
      </c>
      <c r="U59" s="2"/>
      <c r="V59" s="7">
        <f t="shared" si="35"/>
        <v>1.0034208404483139E-3</v>
      </c>
      <c r="W59" s="2"/>
      <c r="X59" s="6">
        <f t="shared" si="36"/>
        <v>-41.5</v>
      </c>
      <c r="Y59" s="2"/>
      <c r="Z59" s="7">
        <f t="shared" si="37"/>
        <v>-6.7534580960130181E-2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307.69</v>
      </c>
      <c r="E60" s="2"/>
      <c r="F60" s="7">
        <f t="shared" si="30"/>
        <v>0</v>
      </c>
      <c r="G60" s="2"/>
      <c r="H60" s="6">
        <v>83.1</v>
      </c>
      <c r="I60" s="2"/>
      <c r="J60" s="7">
        <f t="shared" si="31"/>
        <v>7.7896666275777257E-4</v>
      </c>
      <c r="K60" s="2"/>
      <c r="L60" s="6">
        <f t="shared" si="32"/>
        <v>224.59</v>
      </c>
      <c r="M60" s="2"/>
      <c r="N60" s="7">
        <f t="shared" si="33"/>
        <v>2.7026474127557161</v>
      </c>
      <c r="O60" s="11"/>
      <c r="P60" s="6">
        <v>2491.9</v>
      </c>
      <c r="Q60" s="2"/>
      <c r="R60" s="7">
        <f t="shared" si="34"/>
        <v>6.3515657263304324E-3</v>
      </c>
      <c r="S60" s="2"/>
      <c r="T60" s="6">
        <v>4369.46</v>
      </c>
      <c r="U60" s="2"/>
      <c r="V60" s="7">
        <f t="shared" si="35"/>
        <v>7.1349181863389578E-3</v>
      </c>
      <c r="W60" s="2"/>
      <c r="X60" s="6">
        <f t="shared" si="36"/>
        <v>-1877.56</v>
      </c>
      <c r="Y60" s="2"/>
      <c r="Z60" s="7">
        <f t="shared" si="37"/>
        <v>-0.42970069528042365</v>
      </c>
    </row>
    <row r="61" spans="1:26" s="25" customFormat="1" outlineLevel="1" collapsed="1" x14ac:dyDescent="0.25">
      <c r="A61" s="26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SUM(OSRRefD22_10x_0)</f>
        <v>0</v>
      </c>
      <c r="E61" s="1"/>
      <c r="F61" s="5">
        <f t="shared" ref="F61:F66" si="38">IF(D$12=0,0,D61/D$12)</f>
        <v>0</v>
      </c>
      <c r="G61" s="1"/>
      <c r="H61" s="1">
        <f>SUM(OSRRefH22_10x_0)</f>
        <v>22071.550000000003</v>
      </c>
      <c r="I61" s="1"/>
      <c r="J61" s="5">
        <f t="shared" ref="J61:J66" si="39">IF(H$12=0,0,H61/H$12)</f>
        <v>0.20689532665934199</v>
      </c>
      <c r="K61" s="1"/>
      <c r="L61" s="1">
        <f t="shared" ref="L61:L66" si="40">+D61-H61</f>
        <v>-22071.550000000003</v>
      </c>
      <c r="M61" s="1"/>
      <c r="N61" s="5">
        <f t="shared" ref="N61:N66" si="41">IF(H61=0,0,L61/H61)</f>
        <v>-1</v>
      </c>
      <c r="O61" s="13"/>
      <c r="P61" s="1">
        <f>SUM(OSRRefP22_10x_0)</f>
        <v>83387.12</v>
      </c>
      <c r="Q61" s="1"/>
      <c r="R61" s="5">
        <f t="shared" ref="R61:R66" si="42">IF(P$12=0,0,P61/P$12)</f>
        <v>0.21254415241759414</v>
      </c>
      <c r="S61" s="1"/>
      <c r="T61" s="1">
        <f>SUM(OSRRefT22_10x_0)</f>
        <v>131303.92000000001</v>
      </c>
      <c r="U61" s="1"/>
      <c r="V61" s="5">
        <f t="shared" ref="V61:V66" si="43">IF(T$12=0,0,T61/T$12)</f>
        <v>0.21440698089594495</v>
      </c>
      <c r="W61" s="1"/>
      <c r="X61" s="1">
        <f t="shared" ref="X61:X66" si="44">+P61-T61</f>
        <v>-47916.800000000017</v>
      </c>
      <c r="Y61" s="1"/>
      <c r="Z61" s="5">
        <f t="shared" ref="Z61:Z66" si="45">IF(T61=0,0,X61/T61)</f>
        <v>-0.36493046056812328</v>
      </c>
    </row>
    <row r="62" spans="1:26" s="24" customFormat="1" hidden="1" outlineLevel="2" x14ac:dyDescent="0.25">
      <c r="A62" s="27"/>
      <c r="B62" s="11" t="str">
        <f>CONCATENATE("          ", "6254", " - ", "ROYALTY &amp; COMMISSIONS")</f>
        <v xml:space="preserve">          6254 - ROYALTY &amp; COMMISSIONS</v>
      </c>
      <c r="C62" s="11"/>
      <c r="D62" s="6"/>
      <c r="E62" s="2"/>
      <c r="F62" s="7">
        <f t="shared" si="38"/>
        <v>0</v>
      </c>
      <c r="G62" s="2"/>
      <c r="H62" s="6">
        <v>22071.550000000003</v>
      </c>
      <c r="I62" s="2"/>
      <c r="J62" s="7">
        <f t="shared" si="39"/>
        <v>0.20689532665934199</v>
      </c>
      <c r="K62" s="2"/>
      <c r="L62" s="6">
        <f t="shared" si="40"/>
        <v>-22071.550000000003</v>
      </c>
      <c r="M62" s="2"/>
      <c r="N62" s="7">
        <f t="shared" si="41"/>
        <v>-1</v>
      </c>
      <c r="O62" s="11"/>
      <c r="P62" s="6">
        <v>83387.12</v>
      </c>
      <c r="Q62" s="2"/>
      <c r="R62" s="7">
        <f t="shared" si="42"/>
        <v>0.21254415241759414</v>
      </c>
      <c r="S62" s="2"/>
      <c r="T62" s="6">
        <v>131303.92000000001</v>
      </c>
      <c r="U62" s="2"/>
      <c r="V62" s="7">
        <f t="shared" si="43"/>
        <v>0.21440698089594495</v>
      </c>
      <c r="W62" s="2"/>
      <c r="X62" s="6">
        <f t="shared" si="44"/>
        <v>-47916.800000000017</v>
      </c>
      <c r="Y62" s="2"/>
      <c r="Z62" s="7">
        <f t="shared" si="45"/>
        <v>-0.36493046056812328</v>
      </c>
    </row>
    <row r="63" spans="1:26" s="25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0</v>
      </c>
      <c r="E63" s="1"/>
      <c r="F63" s="5">
        <f t="shared" si="38"/>
        <v>0</v>
      </c>
      <c r="G63" s="1"/>
      <c r="H63" s="1">
        <f>SUM(OSRRefH22_11x_0)</f>
        <v>225.81</v>
      </c>
      <c r="I63" s="1"/>
      <c r="J63" s="5">
        <f t="shared" si="39"/>
        <v>2.1167083287284313E-3</v>
      </c>
      <c r="K63" s="1"/>
      <c r="L63" s="1">
        <f t="shared" si="40"/>
        <v>-225.81</v>
      </c>
      <c r="M63" s="1"/>
      <c r="N63" s="5">
        <f t="shared" si="41"/>
        <v>-1</v>
      </c>
      <c r="O63" s="13"/>
      <c r="P63" s="1">
        <f>SUM(OSRRefP22_11x_0)</f>
        <v>3287.06</v>
      </c>
      <c r="Q63" s="1"/>
      <c r="R63" s="5">
        <f t="shared" si="42"/>
        <v>8.378336866002532E-3</v>
      </c>
      <c r="S63" s="1"/>
      <c r="T63" s="1">
        <f>SUM(OSRRefT22_11x_0)</f>
        <v>2251.67</v>
      </c>
      <c r="U63" s="1"/>
      <c r="V63" s="5">
        <f t="shared" si="43"/>
        <v>3.676765832078527E-3</v>
      </c>
      <c r="W63" s="1"/>
      <c r="X63" s="1">
        <f t="shared" si="44"/>
        <v>1035.3899999999999</v>
      </c>
      <c r="Y63" s="1"/>
      <c r="Z63" s="5">
        <f t="shared" si="45"/>
        <v>0.45983203577788923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8"/>
        <v>0</v>
      </c>
      <c r="G64" s="2"/>
      <c r="H64" s="6">
        <v>225.81</v>
      </c>
      <c r="I64" s="2"/>
      <c r="J64" s="7">
        <f t="shared" si="39"/>
        <v>2.1167083287284313E-3</v>
      </c>
      <c r="K64" s="2"/>
      <c r="L64" s="6">
        <f t="shared" si="40"/>
        <v>-225.81</v>
      </c>
      <c r="M64" s="2"/>
      <c r="N64" s="7">
        <f t="shared" si="41"/>
        <v>-1</v>
      </c>
      <c r="O64" s="11"/>
      <c r="P64" s="6">
        <v>2258.1</v>
      </c>
      <c r="Q64" s="2"/>
      <c r="R64" s="7">
        <f t="shared" si="42"/>
        <v>5.7556364888746532E-3</v>
      </c>
      <c r="S64" s="2"/>
      <c r="T64" s="6">
        <v>2032.29</v>
      </c>
      <c r="U64" s="2"/>
      <c r="V64" s="7">
        <f t="shared" si="43"/>
        <v>3.3185388768668896E-3</v>
      </c>
      <c r="W64" s="2"/>
      <c r="X64" s="6">
        <f t="shared" si="44"/>
        <v>225.80999999999995</v>
      </c>
      <c r="Y64" s="2"/>
      <c r="Z64" s="7">
        <f t="shared" si="45"/>
        <v>0.11111111111111109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38"/>
        <v>0</v>
      </c>
      <c r="G65" s="2"/>
      <c r="H65" s="6"/>
      <c r="I65" s="2"/>
      <c r="J65" s="7">
        <f t="shared" si="39"/>
        <v>0</v>
      </c>
      <c r="K65" s="2"/>
      <c r="L65" s="6">
        <f t="shared" si="40"/>
        <v>0</v>
      </c>
      <c r="M65" s="2"/>
      <c r="N65" s="7">
        <f t="shared" si="41"/>
        <v>0</v>
      </c>
      <c r="O65" s="11"/>
      <c r="P65" s="6">
        <v>549.6</v>
      </c>
      <c r="Q65" s="2"/>
      <c r="R65" s="7">
        <f t="shared" si="42"/>
        <v>1.4008670184161506E-3</v>
      </c>
      <c r="S65" s="2"/>
      <c r="T65" s="6"/>
      <c r="U65" s="2"/>
      <c r="V65" s="7">
        <f t="shared" si="43"/>
        <v>0</v>
      </c>
      <c r="W65" s="2"/>
      <c r="X65" s="6">
        <f t="shared" si="44"/>
        <v>549.6</v>
      </c>
      <c r="Y65" s="2"/>
      <c r="Z65" s="7">
        <f t="shared" si="45"/>
        <v>0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38"/>
        <v>0</v>
      </c>
      <c r="G66" s="2"/>
      <c r="H66" s="6"/>
      <c r="I66" s="2"/>
      <c r="J66" s="7">
        <f t="shared" si="39"/>
        <v>0</v>
      </c>
      <c r="K66" s="2"/>
      <c r="L66" s="6">
        <f t="shared" si="40"/>
        <v>0</v>
      </c>
      <c r="M66" s="2"/>
      <c r="N66" s="7">
        <f t="shared" si="41"/>
        <v>0</v>
      </c>
      <c r="O66" s="11"/>
      <c r="P66" s="6">
        <v>479.36</v>
      </c>
      <c r="Q66" s="2"/>
      <c r="R66" s="7">
        <f t="shared" si="42"/>
        <v>1.2218333587117284E-3</v>
      </c>
      <c r="S66" s="2"/>
      <c r="T66" s="6">
        <v>219.38</v>
      </c>
      <c r="U66" s="2"/>
      <c r="V66" s="7">
        <f t="shared" si="43"/>
        <v>3.5822695521163723E-4</v>
      </c>
      <c r="W66" s="2"/>
      <c r="X66" s="6">
        <f t="shared" si="44"/>
        <v>259.98</v>
      </c>
      <c r="Y66" s="2"/>
      <c r="Z66" s="7">
        <f t="shared" si="45"/>
        <v>1.1850670070197831</v>
      </c>
    </row>
    <row r="67" spans="1:26" s="25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SUM(OSRRefD22_12x_0)</f>
        <v>106.94</v>
      </c>
      <c r="E67" s="1"/>
      <c r="F67" s="5">
        <f t="shared" ref="F67:F74" si="46">IF(D$12=0,0,D67/D$12)</f>
        <v>0</v>
      </c>
      <c r="G67" s="1"/>
      <c r="H67" s="1">
        <f>SUM(OSRRefH22_12x_0)</f>
        <v>122.63</v>
      </c>
      <c r="I67" s="1"/>
      <c r="J67" s="5">
        <f t="shared" ref="J67:J74" si="47">IF(H$12=0,0,H67/H$12)</f>
        <v>1.14951482375434E-3</v>
      </c>
      <c r="K67" s="1"/>
      <c r="L67" s="1">
        <f t="shared" ref="L67:L74" si="48">+D67-H67</f>
        <v>-15.689999999999998</v>
      </c>
      <c r="M67" s="1"/>
      <c r="N67" s="5">
        <f t="shared" ref="N67:N74" si="49">IF(H67=0,0,L67/H67)</f>
        <v>-0.12794585338008643</v>
      </c>
      <c r="O67" s="13"/>
      <c r="P67" s="1">
        <f>SUM(OSRRefP22_12x_0)</f>
        <v>15992.96</v>
      </c>
      <c r="Q67" s="1"/>
      <c r="R67" s="5">
        <f t="shared" ref="R67:R74" si="50">IF(P$12=0,0,P67/P$12)</f>
        <v>4.0764210682039226E-2</v>
      </c>
      <c r="S67" s="1"/>
      <c r="T67" s="1">
        <f>SUM(OSRRefT22_12x_0)</f>
        <v>13113.3</v>
      </c>
      <c r="U67" s="1"/>
      <c r="V67" s="5">
        <f t="shared" ref="V67:V74" si="51">IF(T$12=0,0,T67/T$12)</f>
        <v>2.141278845736513E-2</v>
      </c>
      <c r="W67" s="1"/>
      <c r="X67" s="1">
        <f t="shared" ref="X67:X74" si="52">+P67-T67</f>
        <v>2879.66</v>
      </c>
      <c r="Y67" s="1"/>
      <c r="Z67" s="5">
        <f t="shared" ref="Z67:Z74" si="53">IF(T67=0,0,X67/T67)</f>
        <v>0.21959842297514737</v>
      </c>
    </row>
    <row r="68" spans="1:26" s="24" customFormat="1" hidden="1" outlineLevel="2" x14ac:dyDescent="0.2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6"/>
        <v>0</v>
      </c>
      <c r="G68" s="2"/>
      <c r="H68" s="6"/>
      <c r="I68" s="2"/>
      <c r="J68" s="7">
        <f t="shared" si="47"/>
        <v>0</v>
      </c>
      <c r="K68" s="2"/>
      <c r="L68" s="6">
        <f t="shared" si="48"/>
        <v>0</v>
      </c>
      <c r="M68" s="2"/>
      <c r="N68" s="7">
        <f t="shared" si="49"/>
        <v>0</v>
      </c>
      <c r="O68" s="11"/>
      <c r="P68" s="6">
        <v>3756.46</v>
      </c>
      <c r="Q68" s="2"/>
      <c r="R68" s="7">
        <f t="shared" si="50"/>
        <v>9.574783333332483E-3</v>
      </c>
      <c r="S68" s="2"/>
      <c r="T68" s="6"/>
      <c r="U68" s="2"/>
      <c r="V68" s="7">
        <f t="shared" si="51"/>
        <v>0</v>
      </c>
      <c r="W68" s="2"/>
      <c r="X68" s="6">
        <f t="shared" si="52"/>
        <v>3756.46</v>
      </c>
      <c r="Y68" s="2"/>
      <c r="Z68" s="7">
        <f t="shared" si="53"/>
        <v>0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46"/>
        <v>0</v>
      </c>
      <c r="G69" s="2"/>
      <c r="H69" s="6"/>
      <c r="I69" s="2"/>
      <c r="J69" s="7">
        <f t="shared" si="47"/>
        <v>0</v>
      </c>
      <c r="K69" s="2"/>
      <c r="L69" s="6">
        <f t="shared" si="48"/>
        <v>0</v>
      </c>
      <c r="M69" s="2"/>
      <c r="N69" s="7">
        <f t="shared" si="49"/>
        <v>0</v>
      </c>
      <c r="O69" s="11"/>
      <c r="P69" s="6">
        <v>1507.19</v>
      </c>
      <c r="Q69" s="2"/>
      <c r="R69" s="7">
        <f t="shared" si="50"/>
        <v>3.8416534961547271E-3</v>
      </c>
      <c r="S69" s="2"/>
      <c r="T69" s="6">
        <v>55.29</v>
      </c>
      <c r="U69" s="2"/>
      <c r="V69" s="7">
        <f t="shared" si="51"/>
        <v>9.0283382047823054E-5</v>
      </c>
      <c r="W69" s="2"/>
      <c r="X69" s="6">
        <f t="shared" si="52"/>
        <v>1451.9</v>
      </c>
      <c r="Y69" s="2"/>
      <c r="Z69" s="7">
        <f t="shared" si="53"/>
        <v>26.259721468620004</v>
      </c>
    </row>
    <row r="70" spans="1:26" s="24" customFormat="1" hidden="1" outlineLevel="2" x14ac:dyDescent="0.25">
      <c r="A70" s="27"/>
      <c r="B70" s="11" t="str">
        <f>CONCATENATE("          ", "6239", " - ", "KITCHEN SUPPLIES")</f>
        <v xml:space="preserve">          6239 - KITCHEN SUPPLIES</v>
      </c>
      <c r="C70" s="11"/>
      <c r="D70" s="6">
        <v>106.94</v>
      </c>
      <c r="E70" s="2"/>
      <c r="F70" s="7">
        <f t="shared" si="46"/>
        <v>0</v>
      </c>
      <c r="G70" s="2"/>
      <c r="H70" s="6"/>
      <c r="I70" s="2"/>
      <c r="J70" s="7">
        <f t="shared" si="47"/>
        <v>0</v>
      </c>
      <c r="K70" s="2"/>
      <c r="L70" s="6">
        <f t="shared" si="48"/>
        <v>106.94</v>
      </c>
      <c r="M70" s="2"/>
      <c r="N70" s="7">
        <f t="shared" si="49"/>
        <v>0</v>
      </c>
      <c r="O70" s="11"/>
      <c r="P70" s="6">
        <v>7140.25</v>
      </c>
      <c r="Q70" s="2"/>
      <c r="R70" s="7">
        <f t="shared" si="50"/>
        <v>1.8199673814130127E-2</v>
      </c>
      <c r="S70" s="2"/>
      <c r="T70" s="6">
        <v>7935.8</v>
      </c>
      <c r="U70" s="2"/>
      <c r="V70" s="7">
        <f t="shared" si="51"/>
        <v>1.2958416770756272E-2</v>
      </c>
      <c r="W70" s="2"/>
      <c r="X70" s="6">
        <f t="shared" si="52"/>
        <v>-795.55000000000018</v>
      </c>
      <c r="Y70" s="2"/>
      <c r="Z70" s="7">
        <f t="shared" si="53"/>
        <v>-0.10024824214319919</v>
      </c>
    </row>
    <row r="71" spans="1:26" s="24" customFormat="1" hidden="1" outlineLevel="2" x14ac:dyDescent="0.25">
      <c r="A71" s="27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46"/>
        <v>0</v>
      </c>
      <c r="G71" s="2"/>
      <c r="H71" s="6">
        <v>32</v>
      </c>
      <c r="I71" s="2"/>
      <c r="J71" s="7">
        <f t="shared" si="47"/>
        <v>2.9996309516544794E-4</v>
      </c>
      <c r="K71" s="2"/>
      <c r="L71" s="6">
        <f t="shared" si="48"/>
        <v>-32</v>
      </c>
      <c r="M71" s="2"/>
      <c r="N71" s="7">
        <f t="shared" si="49"/>
        <v>-1</v>
      </c>
      <c r="O71" s="11"/>
      <c r="P71" s="6">
        <v>599.88</v>
      </c>
      <c r="Q71" s="2"/>
      <c r="R71" s="7">
        <f t="shared" si="50"/>
        <v>1.5290249399699425E-3</v>
      </c>
      <c r="S71" s="2"/>
      <c r="T71" s="6">
        <v>1424.4</v>
      </c>
      <c r="U71" s="2"/>
      <c r="V71" s="7">
        <f t="shared" si="51"/>
        <v>2.3259115461913399E-3</v>
      </c>
      <c r="W71" s="2"/>
      <c r="X71" s="6">
        <f t="shared" si="52"/>
        <v>-824.5200000000001</v>
      </c>
      <c r="Y71" s="2"/>
      <c r="Z71" s="7">
        <f t="shared" si="53"/>
        <v>-0.57885425442291494</v>
      </c>
    </row>
    <row r="72" spans="1:26" s="24" customFormat="1" hidden="1" outlineLevel="2" x14ac:dyDescent="0.25">
      <c r="A72" s="27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46"/>
        <v>0</v>
      </c>
      <c r="G72" s="2"/>
      <c r="H72" s="6">
        <v>-302.49</v>
      </c>
      <c r="I72" s="2"/>
      <c r="J72" s="7">
        <f t="shared" si="47"/>
        <v>-2.8354948955186358E-3</v>
      </c>
      <c r="K72" s="2"/>
      <c r="L72" s="6">
        <f t="shared" si="48"/>
        <v>302.49</v>
      </c>
      <c r="M72" s="2"/>
      <c r="N72" s="7">
        <f t="shared" si="49"/>
        <v>-1</v>
      </c>
      <c r="O72" s="11"/>
      <c r="P72" s="6">
        <v>2632.41</v>
      </c>
      <c r="Q72" s="2"/>
      <c r="R72" s="7">
        <f t="shared" si="50"/>
        <v>6.7097095122795828E-3</v>
      </c>
      <c r="S72" s="2"/>
      <c r="T72" s="6">
        <v>2279.9899999999998</v>
      </c>
      <c r="U72" s="2"/>
      <c r="V72" s="7">
        <f t="shared" si="51"/>
        <v>3.7230097347660716E-3</v>
      </c>
      <c r="W72" s="2"/>
      <c r="X72" s="6">
        <f t="shared" si="52"/>
        <v>352.42000000000007</v>
      </c>
      <c r="Y72" s="2"/>
      <c r="Z72" s="7">
        <f t="shared" si="53"/>
        <v>0.15457085338093593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1"/>
      <c r="P73" s="6">
        <v>-97.67</v>
      </c>
      <c r="Q73" s="2"/>
      <c r="R73" s="7">
        <f t="shared" si="50"/>
        <v>-2.4894956639138539E-4</v>
      </c>
      <c r="S73" s="2"/>
      <c r="T73" s="6">
        <v>154.22</v>
      </c>
      <c r="U73" s="2"/>
      <c r="V73" s="7">
        <f t="shared" si="51"/>
        <v>2.5182678928224403E-4</v>
      </c>
      <c r="W73" s="2"/>
      <c r="X73" s="6">
        <f t="shared" si="52"/>
        <v>-251.89</v>
      </c>
      <c r="Y73" s="2"/>
      <c r="Z73" s="7">
        <f t="shared" si="53"/>
        <v>-1.6333160420178965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46"/>
        <v>0</v>
      </c>
      <c r="G74" s="2"/>
      <c r="H74" s="6">
        <v>393.12</v>
      </c>
      <c r="I74" s="2"/>
      <c r="J74" s="7">
        <f t="shared" si="47"/>
        <v>3.6850466241075282E-3</v>
      </c>
      <c r="K74" s="2"/>
      <c r="L74" s="6">
        <f t="shared" si="48"/>
        <v>-393.12</v>
      </c>
      <c r="M74" s="2"/>
      <c r="N74" s="7">
        <f t="shared" si="49"/>
        <v>-1</v>
      </c>
      <c r="O74" s="11"/>
      <c r="P74" s="6">
        <v>454.44</v>
      </c>
      <c r="Q74" s="2"/>
      <c r="R74" s="7">
        <f t="shared" si="50"/>
        <v>1.158315152563747E-3</v>
      </c>
      <c r="S74" s="2"/>
      <c r="T74" s="6">
        <v>1263.5999999999999</v>
      </c>
      <c r="U74" s="2"/>
      <c r="V74" s="7">
        <f t="shared" si="51"/>
        <v>2.0633402343213821E-3</v>
      </c>
      <c r="W74" s="2"/>
      <c r="X74" s="6">
        <f t="shared" si="52"/>
        <v>-809.15999999999985</v>
      </c>
      <c r="Y74" s="2"/>
      <c r="Z74" s="7">
        <f t="shared" si="53"/>
        <v>-0.64036087369420691</v>
      </c>
    </row>
    <row r="75" spans="1:26" s="25" customFormat="1" outlineLevel="1" collapsed="1" x14ac:dyDescent="0.25">
      <c r="A75" s="26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SUM(OSRRefD22_13x_0)</f>
        <v>309.58999999999997</v>
      </c>
      <c r="E75" s="1"/>
      <c r="F75" s="5">
        <f t="shared" ref="F75:F80" si="54">IF(D$12=0,0,D75/D$12)</f>
        <v>0</v>
      </c>
      <c r="G75" s="1"/>
      <c r="H75" s="1">
        <f>SUM(OSRRefH22_13x_0)</f>
        <v>307.92</v>
      </c>
      <c r="I75" s="1"/>
      <c r="J75" s="5">
        <f t="shared" ref="J75:J80" si="55">IF(H$12=0,0,H75/H$12)</f>
        <v>2.886394883229523E-3</v>
      </c>
      <c r="K75" s="1"/>
      <c r="L75" s="1">
        <f t="shared" ref="L75:L80" si="56">+D75-H75</f>
        <v>1.6699999999999591</v>
      </c>
      <c r="M75" s="1"/>
      <c r="N75" s="5">
        <f t="shared" ref="N75:N80" si="57">IF(H75=0,0,L75/H75)</f>
        <v>5.4234866199011399E-3</v>
      </c>
      <c r="O75" s="13"/>
      <c r="P75" s="1">
        <f>SUM(OSRRefP22_13x_0)</f>
        <v>3201.97</v>
      </c>
      <c r="Q75" s="1"/>
      <c r="R75" s="5">
        <f t="shared" ref="R75:R80" si="58">IF(P$12=0,0,P75/P$12)</f>
        <v>8.1614522688463632E-3</v>
      </c>
      <c r="S75" s="1"/>
      <c r="T75" s="1">
        <f>SUM(OSRRefT22_13x_0)</f>
        <v>3260.61</v>
      </c>
      <c r="U75" s="1"/>
      <c r="V75" s="5">
        <f t="shared" ref="V75:V80" si="59">IF(T$12=0,0,T75/T$12)</f>
        <v>5.3242701815690427E-3</v>
      </c>
      <c r="W75" s="1"/>
      <c r="X75" s="1">
        <f t="shared" ref="X75:X80" si="60">+P75-T75</f>
        <v>-58.640000000000327</v>
      </c>
      <c r="Y75" s="1"/>
      <c r="Z75" s="5">
        <f t="shared" ref="Z75:Z80" si="61">IF(T75=0,0,X75/T75)</f>
        <v>-1.7984364888778581E-2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6">
        <v>309.58999999999997</v>
      </c>
      <c r="E76" s="2"/>
      <c r="F76" s="7">
        <f t="shared" si="54"/>
        <v>0</v>
      </c>
      <c r="G76" s="2"/>
      <c r="H76" s="6">
        <v>307.92</v>
      </c>
      <c r="I76" s="2"/>
      <c r="J76" s="7">
        <f t="shared" si="55"/>
        <v>2.886394883229523E-3</v>
      </c>
      <c r="K76" s="2"/>
      <c r="L76" s="6">
        <f t="shared" si="56"/>
        <v>1.6699999999999591</v>
      </c>
      <c r="M76" s="2"/>
      <c r="N76" s="7">
        <f t="shared" si="57"/>
        <v>5.4234866199011399E-3</v>
      </c>
      <c r="O76" s="11"/>
      <c r="P76" s="6">
        <v>3201.97</v>
      </c>
      <c r="Q76" s="2"/>
      <c r="R76" s="7">
        <f t="shared" si="58"/>
        <v>8.1614522688463632E-3</v>
      </c>
      <c r="S76" s="2"/>
      <c r="T76" s="6">
        <v>3260.61</v>
      </c>
      <c r="U76" s="2"/>
      <c r="V76" s="7">
        <f t="shared" si="59"/>
        <v>5.3242701815690427E-3</v>
      </c>
      <c r="W76" s="2"/>
      <c r="X76" s="6">
        <f t="shared" si="60"/>
        <v>-58.640000000000327</v>
      </c>
      <c r="Y76" s="2"/>
      <c r="Z76" s="7">
        <f t="shared" si="61"/>
        <v>-1.7984364888778581E-2</v>
      </c>
    </row>
    <row r="77" spans="1:26" s="25" customFormat="1" outlineLevel="1" collapsed="1" x14ac:dyDescent="0.25">
      <c r="A77" s="26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SUM(OSRRefD22_14x_0)</f>
        <v>0</v>
      </c>
      <c r="E77" s="1"/>
      <c r="F77" s="5">
        <f t="shared" si="54"/>
        <v>0</v>
      </c>
      <c r="G77" s="1"/>
      <c r="H77" s="1">
        <f>SUM(OSRRefH22_14x_0)</f>
        <v>0</v>
      </c>
      <c r="I77" s="1"/>
      <c r="J77" s="5">
        <f t="shared" si="55"/>
        <v>0</v>
      </c>
      <c r="K77" s="1"/>
      <c r="L77" s="1">
        <f t="shared" si="56"/>
        <v>0</v>
      </c>
      <c r="M77" s="1"/>
      <c r="N77" s="5">
        <f t="shared" si="57"/>
        <v>0</v>
      </c>
      <c r="O77" s="13"/>
      <c r="P77" s="1">
        <f>SUM(OSRRefP22_14x_0)</f>
        <v>337.96</v>
      </c>
      <c r="Q77" s="1"/>
      <c r="R77" s="5">
        <f t="shared" si="58"/>
        <v>8.6142106540014962E-4</v>
      </c>
      <c r="S77" s="1"/>
      <c r="T77" s="1">
        <f>SUM(OSRRefT22_14x_0)</f>
        <v>171.33</v>
      </c>
      <c r="U77" s="1"/>
      <c r="V77" s="5">
        <f t="shared" si="59"/>
        <v>2.7976581382263565E-4</v>
      </c>
      <c r="W77" s="1"/>
      <c r="X77" s="1">
        <f t="shared" si="60"/>
        <v>166.62999999999997</v>
      </c>
      <c r="Y77" s="1"/>
      <c r="Z77" s="5">
        <f t="shared" si="61"/>
        <v>0.97256755968014919</v>
      </c>
    </row>
    <row r="78" spans="1:26" s="24" customFormat="1" hidden="1" outlineLevel="2" x14ac:dyDescent="0.25">
      <c r="A78" s="27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54"/>
        <v>0</v>
      </c>
      <c r="G78" s="2"/>
      <c r="H78" s="6"/>
      <c r="I78" s="2"/>
      <c r="J78" s="7">
        <f t="shared" si="55"/>
        <v>0</v>
      </c>
      <c r="K78" s="2"/>
      <c r="L78" s="6">
        <f t="shared" si="56"/>
        <v>0</v>
      </c>
      <c r="M78" s="2"/>
      <c r="N78" s="7">
        <f t="shared" si="57"/>
        <v>0</v>
      </c>
      <c r="O78" s="11"/>
      <c r="P78" s="6">
        <v>337.96</v>
      </c>
      <c r="Q78" s="2"/>
      <c r="R78" s="7">
        <f t="shared" si="58"/>
        <v>8.6142106540014962E-4</v>
      </c>
      <c r="S78" s="2"/>
      <c r="T78" s="6">
        <v>171.33</v>
      </c>
      <c r="U78" s="2"/>
      <c r="V78" s="7">
        <f t="shared" si="59"/>
        <v>2.7976581382263565E-4</v>
      </c>
      <c r="W78" s="2"/>
      <c r="X78" s="6">
        <f t="shared" si="60"/>
        <v>166.62999999999997</v>
      </c>
      <c r="Y78" s="2"/>
      <c r="Z78" s="7">
        <f t="shared" si="61"/>
        <v>0.97256755968014919</v>
      </c>
    </row>
    <row r="79" spans="1:26" s="25" customFormat="1" outlineLevel="1" collapsed="1" x14ac:dyDescent="0.25">
      <c r="A79" s="26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SUM(OSRRefD22_15x_0)</f>
        <v>0</v>
      </c>
      <c r="E79" s="1"/>
      <c r="F79" s="5">
        <f t="shared" si="54"/>
        <v>0</v>
      </c>
      <c r="G79" s="1"/>
      <c r="H79" s="1">
        <f>SUM(OSRRefH22_15x_0)</f>
        <v>0</v>
      </c>
      <c r="I79" s="1"/>
      <c r="J79" s="5">
        <f t="shared" si="55"/>
        <v>0</v>
      </c>
      <c r="K79" s="1"/>
      <c r="L79" s="1">
        <f t="shared" si="56"/>
        <v>0</v>
      </c>
      <c r="M79" s="1"/>
      <c r="N79" s="5">
        <f t="shared" si="57"/>
        <v>0</v>
      </c>
      <c r="O79" s="13"/>
      <c r="P79" s="1">
        <f>SUM(OSRRefP22_15x_0)</f>
        <v>0</v>
      </c>
      <c r="Q79" s="1"/>
      <c r="R79" s="5">
        <f t="shared" si="58"/>
        <v>0</v>
      </c>
      <c r="S79" s="1"/>
      <c r="T79" s="1">
        <f>SUM(OSRRefT22_15x_0)</f>
        <v>1269.53</v>
      </c>
      <c r="U79" s="1"/>
      <c r="V79" s="5">
        <f t="shared" si="59"/>
        <v>2.073023367899671E-3</v>
      </c>
      <c r="W79" s="1"/>
      <c r="X79" s="1">
        <f t="shared" si="60"/>
        <v>-1269.53</v>
      </c>
      <c r="Y79" s="1"/>
      <c r="Z79" s="5">
        <f t="shared" si="61"/>
        <v>-1</v>
      </c>
    </row>
    <row r="80" spans="1:26" s="24" customFormat="1" hidden="1" outlineLevel="2" x14ac:dyDescent="0.25">
      <c r="A80" s="27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54"/>
        <v>0</v>
      </c>
      <c r="G80" s="2"/>
      <c r="H80" s="6"/>
      <c r="I80" s="2"/>
      <c r="J80" s="7">
        <f t="shared" si="55"/>
        <v>0</v>
      </c>
      <c r="K80" s="2"/>
      <c r="L80" s="6">
        <f t="shared" si="56"/>
        <v>0</v>
      </c>
      <c r="M80" s="2"/>
      <c r="N80" s="7">
        <f t="shared" si="57"/>
        <v>0</v>
      </c>
      <c r="O80" s="11"/>
      <c r="P80" s="6"/>
      <c r="Q80" s="2"/>
      <c r="R80" s="7">
        <f t="shared" si="58"/>
        <v>0</v>
      </c>
      <c r="S80" s="2"/>
      <c r="T80" s="6">
        <v>1269.53</v>
      </c>
      <c r="U80" s="2"/>
      <c r="V80" s="7">
        <f t="shared" si="59"/>
        <v>2.073023367899671E-3</v>
      </c>
      <c r="W80" s="2"/>
      <c r="X80" s="6">
        <f t="shared" si="60"/>
        <v>-1269.53</v>
      </c>
      <c r="Y80" s="2"/>
      <c r="Z80" s="7">
        <f t="shared" si="61"/>
        <v>-1</v>
      </c>
    </row>
    <row r="81" spans="1:26" s="53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9" t="s">
        <v>0</v>
      </c>
      <c r="C82" s="10"/>
      <c r="D82" s="4">
        <f>SUM(OSRRefD25x_0)</f>
        <v>0</v>
      </c>
      <c r="E82" s="4"/>
      <c r="F82" s="12">
        <f t="shared" ref="F82:F83" si="62">IF(D$12=0,0,D82/D$12)</f>
        <v>0</v>
      </c>
      <c r="G82" s="4"/>
      <c r="H82" s="4">
        <f>SUM(OSRRefH25x_0)</f>
        <v>2007.52</v>
      </c>
      <c r="I82" s="4"/>
      <c r="J82" s="12">
        <f t="shared" ref="J82:J83" si="63">IF(H$12=0,0,H82/H$12)</f>
        <v>1.8818184775204378E-2</v>
      </c>
      <c r="K82" s="4"/>
      <c r="L82" s="4">
        <f t="shared" ref="L82:L83" si="64">+D82-H82</f>
        <v>-2007.52</v>
      </c>
      <c r="M82" s="4"/>
      <c r="N82" s="12">
        <f t="shared" ref="N82:N83" si="65">IF(H82=0,0,L82/H82)</f>
        <v>-1</v>
      </c>
      <c r="O82" s="10"/>
      <c r="P82" s="4">
        <f>SUM(OSRRefP25x_0)</f>
        <v>39607.82</v>
      </c>
      <c r="Q82" s="4"/>
      <c r="R82" s="12">
        <f t="shared" ref="R82:R83" si="66">IF(P$12=0,0,P82/P$12)</f>
        <v>0.10095576548283038</v>
      </c>
      <c r="S82" s="4"/>
      <c r="T82" s="4">
        <f>SUM(OSRRefT25x_0)</f>
        <v>11962.47</v>
      </c>
      <c r="U82" s="4"/>
      <c r="V82" s="12">
        <f t="shared" ref="V82:V83" si="67">IF(T$12=0,0,T82/T$12)</f>
        <v>1.9533591051648071E-2</v>
      </c>
      <c r="W82" s="4"/>
      <c r="X82" s="4">
        <f t="shared" ref="X82:X83" si="68">+P82-T82</f>
        <v>27645.35</v>
      </c>
      <c r="Y82" s="4"/>
      <c r="Z82" s="12">
        <f t="shared" ref="Z82:Z83" si="69">IF(T82=0,0,X82/T82)</f>
        <v>2.3110068405605197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19">
        <f t="shared" si="62"/>
        <v>0</v>
      </c>
      <c r="G83" s="2"/>
      <c r="H83" s="2">
        <f>--2007.52</f>
        <v>2007.52</v>
      </c>
      <c r="I83" s="2"/>
      <c r="J83" s="19">
        <f t="shared" si="63"/>
        <v>1.8818184775204378E-2</v>
      </c>
      <c r="K83" s="2"/>
      <c r="L83" s="2">
        <f t="shared" si="64"/>
        <v>-2007.52</v>
      </c>
      <c r="M83" s="2"/>
      <c r="N83" s="19">
        <f t="shared" si="65"/>
        <v>-1</v>
      </c>
      <c r="O83" s="11"/>
      <c r="P83" s="2">
        <f>--39607.82</f>
        <v>39607.82</v>
      </c>
      <c r="Q83" s="2"/>
      <c r="R83" s="19">
        <f t="shared" si="66"/>
        <v>0.10095576548283038</v>
      </c>
      <c r="S83" s="2"/>
      <c r="T83" s="2">
        <f>--11962.47</f>
        <v>11962.47</v>
      </c>
      <c r="U83" s="2"/>
      <c r="V83" s="19">
        <f t="shared" si="67"/>
        <v>1.9533591051648071E-2</v>
      </c>
      <c r="W83" s="2"/>
      <c r="X83" s="2">
        <f t="shared" si="68"/>
        <v>27645.35</v>
      </c>
      <c r="Y83" s="2"/>
      <c r="Z83" s="19">
        <f t="shared" si="69"/>
        <v>2.3110068405605197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1">
        <f>+D23-D25+D82</f>
        <v>-45552.32</v>
      </c>
      <c r="E85" s="14"/>
      <c r="F85" s="20">
        <f>IF(D$12=0,0,D85/D$12)</f>
        <v>0</v>
      </c>
      <c r="G85" s="14"/>
      <c r="H85" s="21">
        <f>+H23-H25+H82</f>
        <v>34410.279999999992</v>
      </c>
      <c r="I85" s="14"/>
      <c r="J85" s="20">
        <f>IF(H$12=0,0,H85/H$12)</f>
        <v>0.32255669044717838</v>
      </c>
      <c r="K85" s="15"/>
      <c r="L85" s="21">
        <f>+D85-H85</f>
        <v>-79962.599999999991</v>
      </c>
      <c r="M85" s="15"/>
      <c r="N85" s="20">
        <f>IF(H85=0,0,L85/H85)</f>
        <v>-2.3237997482147779</v>
      </c>
      <c r="O85" s="29"/>
      <c r="P85" s="21">
        <f>+P23-P25+P82</f>
        <v>-33763.089999999887</v>
      </c>
      <c r="Q85" s="14"/>
      <c r="R85" s="20">
        <f>IF(P$12=0,0,P85/P$12)</f>
        <v>-8.6058222745298382E-2</v>
      </c>
      <c r="S85" s="14"/>
      <c r="T85" s="21">
        <f>+T23-T25+T82</f>
        <v>113178.29999999996</v>
      </c>
      <c r="U85" s="14"/>
      <c r="V85" s="20">
        <f>IF(T$12=0,0,T85/T$12)</f>
        <v>0.18480954419285819</v>
      </c>
      <c r="W85" s="15"/>
      <c r="X85" s="21">
        <f>+P85-T85</f>
        <v>-146941.38999999984</v>
      </c>
      <c r="Y85" s="15"/>
      <c r="Z85" s="20">
        <f>IF(T85=0,0,X85/T85)</f>
        <v>-1.2983176987107943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2507.14</v>
      </c>
      <c r="E87" s="4"/>
      <c r="F87" s="12">
        <f>IF(D$12=0,0,D87/D$12)</f>
        <v>0</v>
      </c>
      <c r="G87" s="4"/>
      <c r="H87" s="4">
        <v>11588.98</v>
      </c>
      <c r="I87" s="4"/>
      <c r="J87" s="12">
        <f>IF(H$12=0,0,H87/H$12)</f>
        <v>0.10863332220657727</v>
      </c>
      <c r="K87" s="4"/>
      <c r="L87" s="4">
        <f>+D87-H87</f>
        <v>-9081.84</v>
      </c>
      <c r="M87" s="4"/>
      <c r="N87" s="12">
        <f>IF(H87=0,0,L87/H87)</f>
        <v>-0.78366172001332302</v>
      </c>
      <c r="O87" s="10"/>
      <c r="P87" s="4">
        <v>44546.09</v>
      </c>
      <c r="Q87" s="4"/>
      <c r="R87" s="12">
        <f>IF(P$12=0,0,P87/P$12)</f>
        <v>0.11354284621615264</v>
      </c>
      <c r="S87" s="4"/>
      <c r="T87" s="4">
        <v>63664.74</v>
      </c>
      <c r="U87" s="4"/>
      <c r="V87" s="12">
        <f>IF(T$12=0,0,T87/T$12)</f>
        <v>0.1039585466521129</v>
      </c>
      <c r="W87" s="4"/>
      <c r="X87" s="4">
        <f>+P87-T87</f>
        <v>-19118.650000000001</v>
      </c>
      <c r="Y87" s="4"/>
      <c r="Z87" s="12">
        <f>IF(T87=0,0,X87/T87)</f>
        <v>-0.30030201961085529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0">
        <f>+D85-D87</f>
        <v>-48059.46</v>
      </c>
      <c r="E89" s="14"/>
      <c r="F89" s="36">
        <f>IF(D$12=0,0,D89/D$12)</f>
        <v>0</v>
      </c>
      <c r="G89" s="14"/>
      <c r="H89" s="30">
        <f>+H85-H87</f>
        <v>22821.299999999992</v>
      </c>
      <c r="I89" s="14"/>
      <c r="J89" s="36">
        <f>IF(H$12=0,0,H89/H$12)</f>
        <v>0.2139233682406011</v>
      </c>
      <c r="K89" s="15"/>
      <c r="L89" s="30">
        <f>D89-H89</f>
        <v>-70880.759999999995</v>
      </c>
      <c r="M89" s="15"/>
      <c r="N89" s="36">
        <f>IF(H89=0,0,L89/H89)</f>
        <v>-3.1059036952320866</v>
      </c>
      <c r="O89" s="29"/>
      <c r="P89" s="30">
        <f>+P85-P87</f>
        <v>-78309.179999999877</v>
      </c>
      <c r="Q89" s="14"/>
      <c r="R89" s="36">
        <f>IF(P$12=0,0,P89/P$12)</f>
        <v>-0.19960106896145099</v>
      </c>
      <c r="S89" s="14"/>
      <c r="T89" s="30">
        <f>+T85-T87</f>
        <v>49513.559999999961</v>
      </c>
      <c r="U89" s="14"/>
      <c r="V89" s="36">
        <f>IF(T$12=0,0,T89/T$12)</f>
        <v>8.0850997540745276E-2</v>
      </c>
      <c r="W89" s="15"/>
      <c r="X89" s="30">
        <f>P89-T89</f>
        <v>-127822.73999999985</v>
      </c>
      <c r="Y89" s="15"/>
      <c r="Z89" s="36">
        <f>IF(T89=0,0,X89/T89)</f>
        <v>-2.5815703819317362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1">
        <f>SUM(D89:D91)</f>
        <v>-48059.46</v>
      </c>
      <c r="E92" s="14"/>
      <c r="F92" s="32">
        <f>IF(D$12=0,0,D92/D$12)</f>
        <v>0</v>
      </c>
      <c r="G92" s="14"/>
      <c r="H92" s="31">
        <f>SUM(H89:H91)</f>
        <v>22821.299999999992</v>
      </c>
      <c r="I92" s="14"/>
      <c r="J92" s="32">
        <f>IF(H$12=0,0,H92/H$12)</f>
        <v>0.2139233682406011</v>
      </c>
      <c r="K92" s="15"/>
      <c r="L92" s="31">
        <f>+D92-H92</f>
        <v>-70880.759999999995</v>
      </c>
      <c r="M92" s="15"/>
      <c r="N92" s="32">
        <f>IF(H92=0,0,L92/H92)</f>
        <v>-3.1059036952320866</v>
      </c>
      <c r="O92" s="29"/>
      <c r="P92" s="31">
        <f>SUM(P89:P91)</f>
        <v>-78309.179999999877</v>
      </c>
      <c r="Q92" s="14"/>
      <c r="R92" s="32">
        <f>IF(P$12=0,0,P92/P$12)</f>
        <v>-0.19960106896145099</v>
      </c>
      <c r="S92" s="14"/>
      <c r="T92" s="31">
        <f>SUM(T89:T91)</f>
        <v>49513.559999999961</v>
      </c>
      <c r="U92" s="14"/>
      <c r="V92" s="32">
        <f>IF(T$12=0,0,T92/T$12)</f>
        <v>8.0850997540745276E-2</v>
      </c>
      <c r="W92" s="15"/>
      <c r="X92" s="31">
        <f>+P92-T92</f>
        <v>-127822.73999999985</v>
      </c>
      <c r="Y92" s="15"/>
      <c r="Z92" s="32">
        <f>IF(T92=0,0,X92/T92)</f>
        <v>-2.5815703819317362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4">
        <v>43965.471439849534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9" t="s">
        <v>313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61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4:24" x14ac:dyDescent="0.25"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","455", " - ", "Vending")</f>
        <v>Department 455 - Vending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0</v>
      </c>
      <c r="E18" s="22"/>
      <c r="F18" s="35">
        <f t="shared" ref="F18:F26" si="0">IF(D$12=0,0,D18/D$12)</f>
        <v>0</v>
      </c>
      <c r="G18" s="22"/>
      <c r="H18" s="22">
        <f>SUM(OSRRefH22x_0)</f>
        <v>5358.12</v>
      </c>
      <c r="I18" s="22"/>
      <c r="J18" s="35">
        <f t="shared" ref="J18:J26" si="1">IF(H$12=0,0,H18/H$12)</f>
        <v>0</v>
      </c>
      <c r="K18" s="4"/>
      <c r="L18" s="22">
        <f t="shared" ref="L18:L26" si="2">+D18-H18</f>
        <v>-5358.12</v>
      </c>
      <c r="M18" s="4"/>
      <c r="N18" s="35">
        <f t="shared" ref="N18:N26" si="3">IF(H18=0,0,L18/H18)</f>
        <v>-1</v>
      </c>
      <c r="O18" s="10"/>
      <c r="P18" s="22">
        <f>SUM(OSRRefP22x_0)</f>
        <v>67961.41</v>
      </c>
      <c r="Q18" s="22"/>
      <c r="R18" s="35">
        <f t="shared" ref="R18:R26" si="4">IF(P$12=0,0,P18/P$12)</f>
        <v>0</v>
      </c>
      <c r="S18" s="22"/>
      <c r="T18" s="22">
        <f>SUM(OSRRefT22x_0)</f>
        <v>69324.399999999994</v>
      </c>
      <c r="U18" s="22"/>
      <c r="V18" s="35">
        <f t="shared" ref="V18:V26" si="5">IF(T$12=0,0,T18/T$12)</f>
        <v>0</v>
      </c>
      <c r="W18" s="4"/>
      <c r="X18" s="22">
        <f t="shared" ref="X18:X26" si="6">+P18-T18</f>
        <v>-1362.9899999999907</v>
      </c>
      <c r="Y18" s="4"/>
      <c r="Z18" s="35">
        <f t="shared" ref="Z18:Z26" si="7">IF(T18=0,0,X18/T18)</f>
        <v>-1.966104286513826E-2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2471.56</v>
      </c>
      <c r="I19" s="1"/>
      <c r="J19" s="5">
        <f t="shared" si="1"/>
        <v>0</v>
      </c>
      <c r="K19" s="1"/>
      <c r="L19" s="1">
        <f t="shared" si="2"/>
        <v>-2471.56</v>
      </c>
      <c r="M19" s="1"/>
      <c r="N19" s="5">
        <f t="shared" si="3"/>
        <v>-1</v>
      </c>
      <c r="O19" s="13"/>
      <c r="P19" s="1">
        <f>SUM(OSRRefP22_0x_0)</f>
        <v>30774.21</v>
      </c>
      <c r="Q19" s="1"/>
      <c r="R19" s="5">
        <f t="shared" si="4"/>
        <v>0</v>
      </c>
      <c r="S19" s="1"/>
      <c r="T19" s="1">
        <f>SUM(OSRRefT22_0x_0)</f>
        <v>27786.080000000002</v>
      </c>
      <c r="U19" s="1"/>
      <c r="V19" s="5">
        <f t="shared" si="5"/>
        <v>0</v>
      </c>
      <c r="W19" s="1"/>
      <c r="X19" s="1">
        <f t="shared" si="6"/>
        <v>2988.1299999999974</v>
      </c>
      <c r="Y19" s="1"/>
      <c r="Z19" s="5">
        <f t="shared" si="7"/>
        <v>0.1075405382839176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339.74</v>
      </c>
      <c r="I20" s="2"/>
      <c r="J20" s="7">
        <f t="shared" si="1"/>
        <v>0</v>
      </c>
      <c r="K20" s="2"/>
      <c r="L20" s="6">
        <f t="shared" si="2"/>
        <v>-339.74</v>
      </c>
      <c r="M20" s="2"/>
      <c r="N20" s="7">
        <f t="shared" si="3"/>
        <v>-1</v>
      </c>
      <c r="O20" s="11"/>
      <c r="P20" s="6">
        <v>2908.48</v>
      </c>
      <c r="Q20" s="2"/>
      <c r="R20" s="7">
        <f t="shared" si="4"/>
        <v>0</v>
      </c>
      <c r="S20" s="2"/>
      <c r="T20" s="6">
        <v>3484.43</v>
      </c>
      <c r="U20" s="2"/>
      <c r="V20" s="7">
        <f t="shared" si="5"/>
        <v>0</v>
      </c>
      <c r="W20" s="2"/>
      <c r="X20" s="6">
        <f t="shared" si="6"/>
        <v>-575.94999999999982</v>
      </c>
      <c r="Y20" s="2"/>
      <c r="Z20" s="7">
        <f t="shared" si="7"/>
        <v>-0.16529245816388902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155.43</v>
      </c>
      <c r="I21" s="2"/>
      <c r="J21" s="7">
        <f t="shared" si="1"/>
        <v>0</v>
      </c>
      <c r="K21" s="2"/>
      <c r="L21" s="6">
        <f t="shared" si="2"/>
        <v>-155.43</v>
      </c>
      <c r="M21" s="2"/>
      <c r="N21" s="7">
        <f t="shared" si="3"/>
        <v>-1</v>
      </c>
      <c r="O21" s="11"/>
      <c r="P21" s="6">
        <v>159.32</v>
      </c>
      <c r="Q21" s="2"/>
      <c r="R21" s="7">
        <f t="shared" si="4"/>
        <v>0</v>
      </c>
      <c r="S21" s="2"/>
      <c r="T21" s="6">
        <v>1774.32</v>
      </c>
      <c r="U21" s="2"/>
      <c r="V21" s="7">
        <f t="shared" si="5"/>
        <v>0</v>
      </c>
      <c r="W21" s="2"/>
      <c r="X21" s="6">
        <f t="shared" si="6"/>
        <v>-1615</v>
      </c>
      <c r="Y21" s="2"/>
      <c r="Z21" s="7">
        <f t="shared" si="7"/>
        <v>-0.91020785427656792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931.95</v>
      </c>
      <c r="I22" s="2"/>
      <c r="J22" s="7">
        <f t="shared" si="1"/>
        <v>0</v>
      </c>
      <c r="K22" s="2"/>
      <c r="L22" s="6">
        <f t="shared" si="2"/>
        <v>-931.95</v>
      </c>
      <c r="M22" s="2"/>
      <c r="N22" s="7">
        <f t="shared" si="3"/>
        <v>-1</v>
      </c>
      <c r="O22" s="11"/>
      <c r="P22" s="6">
        <v>8394</v>
      </c>
      <c r="Q22" s="2"/>
      <c r="R22" s="7">
        <f t="shared" si="4"/>
        <v>0</v>
      </c>
      <c r="S22" s="2"/>
      <c r="T22" s="6">
        <v>8788.91</v>
      </c>
      <c r="U22" s="2"/>
      <c r="V22" s="7">
        <f t="shared" si="5"/>
        <v>0</v>
      </c>
      <c r="W22" s="2"/>
      <c r="X22" s="6">
        <f t="shared" si="6"/>
        <v>-394.90999999999985</v>
      </c>
      <c r="Y22" s="2"/>
      <c r="Z22" s="7">
        <f t="shared" si="7"/>
        <v>-4.4932761855565689E-2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11.55</v>
      </c>
      <c r="I23" s="2"/>
      <c r="J23" s="7">
        <f t="shared" si="1"/>
        <v>0</v>
      </c>
      <c r="K23" s="2"/>
      <c r="L23" s="6">
        <f t="shared" si="2"/>
        <v>-11.55</v>
      </c>
      <c r="M23" s="2"/>
      <c r="N23" s="7">
        <f t="shared" si="3"/>
        <v>-1</v>
      </c>
      <c r="O23" s="11"/>
      <c r="P23" s="6">
        <v>134.31</v>
      </c>
      <c r="Q23" s="2"/>
      <c r="R23" s="7">
        <f t="shared" si="4"/>
        <v>0</v>
      </c>
      <c r="S23" s="2"/>
      <c r="T23" s="6">
        <v>149.36000000000001</v>
      </c>
      <c r="U23" s="2"/>
      <c r="V23" s="7">
        <f t="shared" si="5"/>
        <v>0</v>
      </c>
      <c r="W23" s="2"/>
      <c r="X23" s="6">
        <f t="shared" si="6"/>
        <v>-15.050000000000011</v>
      </c>
      <c r="Y23" s="2"/>
      <c r="Z23" s="7">
        <f t="shared" si="7"/>
        <v>-0.1007632565613284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417.84</v>
      </c>
      <c r="I24" s="2"/>
      <c r="J24" s="7">
        <f t="shared" si="1"/>
        <v>0</v>
      </c>
      <c r="K24" s="2"/>
      <c r="L24" s="6">
        <f t="shared" si="2"/>
        <v>-417.84</v>
      </c>
      <c r="M24" s="2"/>
      <c r="N24" s="7">
        <f t="shared" si="3"/>
        <v>-1</v>
      </c>
      <c r="O24" s="11"/>
      <c r="P24" s="6">
        <v>5280.61</v>
      </c>
      <c r="Q24" s="2"/>
      <c r="R24" s="7">
        <f t="shared" si="4"/>
        <v>0</v>
      </c>
      <c r="S24" s="2"/>
      <c r="T24" s="6">
        <v>5404.95</v>
      </c>
      <c r="U24" s="2"/>
      <c r="V24" s="7">
        <f t="shared" si="5"/>
        <v>0</v>
      </c>
      <c r="W24" s="2"/>
      <c r="X24" s="6">
        <f t="shared" si="6"/>
        <v>-124.34000000000015</v>
      </c>
      <c r="Y24" s="2"/>
      <c r="Z24" s="7">
        <f t="shared" si="7"/>
        <v>-2.3004838157614806E-2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>
        <v>410.22</v>
      </c>
      <c r="I25" s="2"/>
      <c r="J25" s="7">
        <f t="shared" si="1"/>
        <v>0</v>
      </c>
      <c r="K25" s="2"/>
      <c r="L25" s="6">
        <f t="shared" si="2"/>
        <v>-410.22</v>
      </c>
      <c r="M25" s="2"/>
      <c r="N25" s="7">
        <f t="shared" si="3"/>
        <v>-1</v>
      </c>
      <c r="O25" s="11"/>
      <c r="P25" s="6">
        <v>5313.38</v>
      </c>
      <c r="Q25" s="2"/>
      <c r="R25" s="7">
        <f t="shared" si="4"/>
        <v>0</v>
      </c>
      <c r="S25" s="2"/>
      <c r="T25" s="6">
        <v>4663.0200000000004</v>
      </c>
      <c r="U25" s="2"/>
      <c r="V25" s="7">
        <f t="shared" si="5"/>
        <v>0</v>
      </c>
      <c r="W25" s="2"/>
      <c r="X25" s="6">
        <f t="shared" si="6"/>
        <v>650.35999999999967</v>
      </c>
      <c r="Y25" s="2"/>
      <c r="Z25" s="7">
        <f t="shared" si="7"/>
        <v>0.13947184442700217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0"/>
        <v>0</v>
      </c>
      <c r="G26" s="2"/>
      <c r="H26" s="6">
        <v>204.83</v>
      </c>
      <c r="I26" s="2"/>
      <c r="J26" s="7">
        <f t="shared" si="1"/>
        <v>0</v>
      </c>
      <c r="K26" s="2"/>
      <c r="L26" s="6">
        <f t="shared" si="2"/>
        <v>-204.83</v>
      </c>
      <c r="M26" s="2"/>
      <c r="N26" s="7">
        <f t="shared" si="3"/>
        <v>-1</v>
      </c>
      <c r="O26" s="11"/>
      <c r="P26" s="6">
        <v>8584.11</v>
      </c>
      <c r="Q26" s="2"/>
      <c r="R26" s="7">
        <f t="shared" si="4"/>
        <v>0</v>
      </c>
      <c r="S26" s="2"/>
      <c r="T26" s="6">
        <v>3521.09</v>
      </c>
      <c r="U26" s="2"/>
      <c r="V26" s="7">
        <f t="shared" si="5"/>
        <v>0</v>
      </c>
      <c r="W26" s="2"/>
      <c r="X26" s="6">
        <f t="shared" si="6"/>
        <v>5063.0200000000004</v>
      </c>
      <c r="Y26" s="2"/>
      <c r="Z26" s="7">
        <f t="shared" si="7"/>
        <v>1.4379126918085026</v>
      </c>
    </row>
    <row r="27" spans="1:26" s="25" customFormat="1" outlineLevel="1" collapsed="1" x14ac:dyDescent="0.25">
      <c r="A27" s="26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2886.56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-2886.56</v>
      </c>
      <c r="M27" s="1"/>
      <c r="N27" s="5">
        <f t="shared" ref="N27:N29" si="11">IF(H27=0,0,L27/H27)</f>
        <v>-1</v>
      </c>
      <c r="O27" s="13"/>
      <c r="P27" s="1">
        <f>SUM(OSRRefP22_1x_0)</f>
        <v>37187.199999999997</v>
      </c>
      <c r="Q27" s="1"/>
      <c r="R27" s="5">
        <f t="shared" ref="R27:R29" si="12">IF(P$12=0,0,P27/P$12)</f>
        <v>0</v>
      </c>
      <c r="S27" s="1"/>
      <c r="T27" s="1">
        <f>SUM(OSRRefT22_1x_0)</f>
        <v>41521.82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-4334.6200000000026</v>
      </c>
      <c r="Y27" s="1"/>
      <c r="Z27" s="5">
        <f t="shared" ref="Z27:Z29" si="15">IF(T27=0,0,X27/T27)</f>
        <v>-0.10439378620686672</v>
      </c>
    </row>
    <row r="28" spans="1:26" s="24" customFormat="1" hidden="1" outlineLevel="2" x14ac:dyDescent="0.25">
      <c r="A28" s="27"/>
      <c r="B28" s="11" t="str">
        <f>CONCATENATE("          ", "6001", " - ", "ADMINISTRATIVE SALARIES")</f>
        <v xml:space="preserve">          6001 - ADMINISTRATIVE SALARIES</v>
      </c>
      <c r="C28" s="11"/>
      <c r="D28" s="6"/>
      <c r="E28" s="2"/>
      <c r="F28" s="7">
        <f t="shared" si="8"/>
        <v>0</v>
      </c>
      <c r="G28" s="2"/>
      <c r="H28" s="6">
        <v>2886.56</v>
      </c>
      <c r="I28" s="2"/>
      <c r="J28" s="7">
        <f t="shared" si="9"/>
        <v>0</v>
      </c>
      <c r="K28" s="2"/>
      <c r="L28" s="6">
        <f t="shared" si="10"/>
        <v>-2886.56</v>
      </c>
      <c r="M28" s="2"/>
      <c r="N28" s="7">
        <f t="shared" si="11"/>
        <v>-1</v>
      </c>
      <c r="O28" s="11"/>
      <c r="P28" s="6">
        <v>37187.199999999997</v>
      </c>
      <c r="Q28" s="2"/>
      <c r="R28" s="7">
        <f t="shared" si="12"/>
        <v>0</v>
      </c>
      <c r="S28" s="2"/>
      <c r="T28" s="6">
        <v>41521.82</v>
      </c>
      <c r="U28" s="2"/>
      <c r="V28" s="7">
        <f t="shared" si="13"/>
        <v>0</v>
      </c>
      <c r="W28" s="2"/>
      <c r="X28" s="6">
        <f t="shared" si="14"/>
        <v>-4334.6200000000026</v>
      </c>
      <c r="Y28" s="2"/>
      <c r="Z28" s="7">
        <f t="shared" si="15"/>
        <v>-0.10439378620686672</v>
      </c>
    </row>
    <row r="29" spans="1:26" s="24" customFormat="1" hidden="1" outlineLevel="2" x14ac:dyDescent="0.25">
      <c r="A29" s="27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0</v>
      </c>
      <c r="Q29" s="2"/>
      <c r="R29" s="7">
        <f t="shared" si="12"/>
        <v>0</v>
      </c>
      <c r="S29" s="2"/>
      <c r="T29" s="6"/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5" customFormat="1" outlineLevel="1" collapsed="1" x14ac:dyDescent="0.25">
      <c r="A30" s="26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ref="F30:F31" si="16">IF(D$12=0,0,D30/D$12)</f>
        <v>0</v>
      </c>
      <c r="G30" s="1"/>
      <c r="H30" s="1">
        <f>SUM(OSRRefH22_2x_0)</f>
        <v>0</v>
      </c>
      <c r="I30" s="1"/>
      <c r="J30" s="5">
        <f t="shared" ref="J30:J31" si="17">IF(H$12=0,0,H30/H$12)</f>
        <v>0</v>
      </c>
      <c r="K30" s="1"/>
      <c r="L30" s="1">
        <f t="shared" ref="L30:L31" si="18">+D30-H30</f>
        <v>0</v>
      </c>
      <c r="M30" s="1"/>
      <c r="N30" s="5">
        <f t="shared" ref="N30:N31" si="19">IF(H30=0,0,L30/H30)</f>
        <v>0</v>
      </c>
      <c r="O30" s="13"/>
      <c r="P30" s="1">
        <f>SUM(OSRRefP22_2x_0)</f>
        <v>0</v>
      </c>
      <c r="Q30" s="1"/>
      <c r="R30" s="5">
        <f t="shared" ref="R30:R31" si="20">IF(P$12=0,0,P30/P$12)</f>
        <v>0</v>
      </c>
      <c r="S30" s="1"/>
      <c r="T30" s="1">
        <f>SUM(OSRRefT22_2x_0)</f>
        <v>16.5</v>
      </c>
      <c r="U30" s="1"/>
      <c r="V30" s="5">
        <f t="shared" ref="V30:V31" si="21">IF(T$12=0,0,T30/T$12)</f>
        <v>0</v>
      </c>
      <c r="W30" s="1"/>
      <c r="X30" s="1">
        <f t="shared" ref="X30:X31" si="22">+P30-T30</f>
        <v>-16.5</v>
      </c>
      <c r="Y30" s="1"/>
      <c r="Z30" s="5">
        <f t="shared" ref="Z30:Z31" si="23">IF(T30=0,0,X30/T30)</f>
        <v>-1</v>
      </c>
    </row>
    <row r="31" spans="1:26" s="24" customFormat="1" hidden="1" outlineLevel="2" x14ac:dyDescent="0.25">
      <c r="A31" s="27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/>
      <c r="Q31" s="2"/>
      <c r="R31" s="7">
        <f t="shared" si="20"/>
        <v>0</v>
      </c>
      <c r="S31" s="2"/>
      <c r="T31" s="6">
        <v>16.5</v>
      </c>
      <c r="U31" s="2"/>
      <c r="V31" s="7">
        <f t="shared" si="21"/>
        <v>0</v>
      </c>
      <c r="W31" s="2"/>
      <c r="X31" s="6">
        <f t="shared" si="22"/>
        <v>-16.5</v>
      </c>
      <c r="Y31" s="2"/>
      <c r="Z31" s="7">
        <f t="shared" si="23"/>
        <v>-1</v>
      </c>
    </row>
    <row r="32" spans="1:26" s="53" customFormat="1" x14ac:dyDescent="0.25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collapsed="1" x14ac:dyDescent="0.25">
      <c r="A33" s="10"/>
      <c r="B33" s="29" t="s">
        <v>0</v>
      </c>
      <c r="C33" s="10"/>
      <c r="D33" s="4">
        <f>SUM(OSRRefD25x_0)</f>
        <v>3632.85</v>
      </c>
      <c r="E33" s="4"/>
      <c r="F33" s="12">
        <f t="shared" ref="F33:F35" si="24">IF(D$12=0,0,D33/D$12)</f>
        <v>0</v>
      </c>
      <c r="G33" s="4"/>
      <c r="H33" s="4">
        <f>SUM(OSRRefH25x_0)</f>
        <v>14801.54</v>
      </c>
      <c r="I33" s="4"/>
      <c r="J33" s="12">
        <f t="shared" ref="J33:J35" si="25">IF(H$12=0,0,H33/H$12)</f>
        <v>0</v>
      </c>
      <c r="K33" s="4"/>
      <c r="L33" s="4">
        <f t="shared" ref="L33:L35" si="26">+D33-H33</f>
        <v>-11168.69</v>
      </c>
      <c r="M33" s="4"/>
      <c r="N33" s="12">
        <f t="shared" ref="N33:N35" si="27">IF(H33=0,0,L33/H33)</f>
        <v>-0.7545627009081487</v>
      </c>
      <c r="O33" s="10"/>
      <c r="P33" s="4">
        <f>SUM(OSRRefP25x_0)</f>
        <v>364539.42</v>
      </c>
      <c r="Q33" s="4"/>
      <c r="R33" s="12">
        <f t="shared" ref="R33:R35" si="28">IF(P$12=0,0,P33/P$12)</f>
        <v>0</v>
      </c>
      <c r="S33" s="4"/>
      <c r="T33" s="4">
        <f>SUM(OSRRefT25x_0)</f>
        <v>324982.13</v>
      </c>
      <c r="U33" s="4"/>
      <c r="V33" s="12">
        <f t="shared" ref="V33:V35" si="29">IF(T$12=0,0,T33/T$12)</f>
        <v>0</v>
      </c>
      <c r="W33" s="4"/>
      <c r="X33" s="4">
        <f t="shared" ref="X33:X35" si="30">+P33-T33</f>
        <v>39557.289999999979</v>
      </c>
      <c r="Y33" s="4"/>
      <c r="Z33" s="12">
        <f t="shared" ref="Z33:Z35" si="31">IF(T33=0,0,X33/T33)</f>
        <v>0.12172143126762071</v>
      </c>
    </row>
    <row r="34" spans="1:26" s="24" customFormat="1" hidden="1" outlineLevel="1" x14ac:dyDescent="0.25">
      <c r="A34" s="44"/>
      <c r="B34" s="11" t="str">
        <f>CONCATENATE("          ", "9160", " - ", "MISC. INCOME")</f>
        <v xml:space="preserve">          9160 - MISC. INCOME</v>
      </c>
      <c r="C34" s="11"/>
      <c r="D34" s="2">
        <f>0</f>
        <v>0</v>
      </c>
      <c r="E34" s="2"/>
      <c r="F34" s="19">
        <f t="shared" si="24"/>
        <v>0</v>
      </c>
      <c r="G34" s="2"/>
      <c r="H34" s="2">
        <f>--9962.34</f>
        <v>9962.34</v>
      </c>
      <c r="I34" s="2"/>
      <c r="J34" s="19">
        <f t="shared" si="25"/>
        <v>0</v>
      </c>
      <c r="K34" s="2"/>
      <c r="L34" s="2">
        <f t="shared" si="26"/>
        <v>-9962.34</v>
      </c>
      <c r="M34" s="2"/>
      <c r="N34" s="19">
        <f t="shared" si="27"/>
        <v>-1</v>
      </c>
      <c r="O34" s="11"/>
      <c r="P34" s="2">
        <f>--128039.29</f>
        <v>128039.29</v>
      </c>
      <c r="Q34" s="2"/>
      <c r="R34" s="19">
        <f t="shared" si="28"/>
        <v>0</v>
      </c>
      <c r="S34" s="2"/>
      <c r="T34" s="2">
        <f>--84792.87</f>
        <v>84792.87</v>
      </c>
      <c r="U34" s="2"/>
      <c r="V34" s="19">
        <f t="shared" si="29"/>
        <v>0</v>
      </c>
      <c r="W34" s="2"/>
      <c r="X34" s="2">
        <f t="shared" si="30"/>
        <v>43246.42</v>
      </c>
      <c r="Y34" s="2"/>
      <c r="Z34" s="19">
        <f t="shared" si="31"/>
        <v>0.51002425085977154</v>
      </c>
    </row>
    <row r="35" spans="1:26" s="24" customFormat="1" hidden="1" outlineLevel="1" x14ac:dyDescent="0.25">
      <c r="A35" s="44"/>
      <c r="B35" s="11" t="str">
        <f>CONCATENATE("          ", "9165", " - ", "OTHER INCOME")</f>
        <v xml:space="preserve">          9165 - OTHER INCOME</v>
      </c>
      <c r="C35" s="11"/>
      <c r="D35" s="2">
        <f>--3632.85</f>
        <v>3632.85</v>
      </c>
      <c r="E35" s="2"/>
      <c r="F35" s="19">
        <f t="shared" si="24"/>
        <v>0</v>
      </c>
      <c r="G35" s="2"/>
      <c r="H35" s="2">
        <f>--4839.2</f>
        <v>4839.2</v>
      </c>
      <c r="I35" s="2"/>
      <c r="J35" s="19">
        <f t="shared" si="25"/>
        <v>0</v>
      </c>
      <c r="K35" s="2"/>
      <c r="L35" s="2">
        <f t="shared" si="26"/>
        <v>-1206.3499999999999</v>
      </c>
      <c r="M35" s="2"/>
      <c r="N35" s="19">
        <f t="shared" si="27"/>
        <v>-0.24928707224334601</v>
      </c>
      <c r="O35" s="11"/>
      <c r="P35" s="2">
        <f>--236500.13</f>
        <v>236500.13</v>
      </c>
      <c r="Q35" s="2"/>
      <c r="R35" s="19">
        <f t="shared" si="28"/>
        <v>0</v>
      </c>
      <c r="S35" s="2"/>
      <c r="T35" s="2">
        <f>--240189.26</f>
        <v>240189.26</v>
      </c>
      <c r="U35" s="2"/>
      <c r="V35" s="19">
        <f t="shared" si="29"/>
        <v>0</v>
      </c>
      <c r="W35" s="2"/>
      <c r="X35" s="2">
        <f t="shared" si="30"/>
        <v>-3689.1300000000047</v>
      </c>
      <c r="Y35" s="2"/>
      <c r="Z35" s="19">
        <f t="shared" si="31"/>
        <v>-1.5359262941232278E-2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3</v>
      </c>
      <c r="C37" s="28"/>
      <c r="D37" s="21">
        <f>+D16-D18+D33</f>
        <v>3632.85</v>
      </c>
      <c r="E37" s="14"/>
      <c r="F37" s="20">
        <f>IF(D$12=0,0,D37/D$12)</f>
        <v>0</v>
      </c>
      <c r="G37" s="14"/>
      <c r="H37" s="21">
        <f>+H16-H18+H33</f>
        <v>9443.4200000000019</v>
      </c>
      <c r="I37" s="14"/>
      <c r="J37" s="20">
        <f>IF(H$12=0,0,H37/H$12)</f>
        <v>0</v>
      </c>
      <c r="K37" s="15"/>
      <c r="L37" s="21">
        <f>+D37-H37</f>
        <v>-5810.5700000000015</v>
      </c>
      <c r="M37" s="15"/>
      <c r="N37" s="20">
        <f>IF(H37=0,0,L37/H37)</f>
        <v>-0.61530356586914492</v>
      </c>
      <c r="O37" s="29"/>
      <c r="P37" s="21">
        <f>+P16-P18+P33</f>
        <v>296578.01</v>
      </c>
      <c r="Q37" s="14"/>
      <c r="R37" s="20">
        <f>IF(P$12=0,0,P37/P$12)</f>
        <v>0</v>
      </c>
      <c r="S37" s="14"/>
      <c r="T37" s="21">
        <f>+T16-T18+T33</f>
        <v>255657.73</v>
      </c>
      <c r="U37" s="14"/>
      <c r="V37" s="20">
        <f>IF(T$12=0,0,T37/T$12)</f>
        <v>0</v>
      </c>
      <c r="W37" s="15"/>
      <c r="X37" s="21">
        <f>+P37-T37</f>
        <v>40920.28</v>
      </c>
      <c r="Y37" s="15"/>
      <c r="Z37" s="20">
        <f>IF(T37=0,0,X37/T37)</f>
        <v>0.16005884117018482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51"/>
      <c r="B39" s="10" t="s">
        <v>13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8" t="s">
        <v>4</v>
      </c>
      <c r="C41" s="28"/>
      <c r="D41" s="30">
        <f>+D37-D39</f>
        <v>3632.85</v>
      </c>
      <c r="E41" s="14"/>
      <c r="F41" s="36">
        <f>IF(D$12=0,0,D41/D$12)</f>
        <v>0</v>
      </c>
      <c r="G41" s="14"/>
      <c r="H41" s="30">
        <f>+H37-H39</f>
        <v>9443.4200000000019</v>
      </c>
      <c r="I41" s="14"/>
      <c r="J41" s="36">
        <f>IF(H$12=0,0,H41/H$12)</f>
        <v>0</v>
      </c>
      <c r="K41" s="15"/>
      <c r="L41" s="30">
        <f>D41-H41</f>
        <v>-5810.5700000000015</v>
      </c>
      <c r="M41" s="15"/>
      <c r="N41" s="36">
        <f>IF(H41=0,0,L41/H41)</f>
        <v>-0.61530356586914492</v>
      </c>
      <c r="O41" s="29"/>
      <c r="P41" s="30">
        <f>+P37-P39</f>
        <v>296578.01</v>
      </c>
      <c r="Q41" s="14"/>
      <c r="R41" s="36">
        <f>IF(P$12=0,0,P41/P$12)</f>
        <v>0</v>
      </c>
      <c r="S41" s="14"/>
      <c r="T41" s="30">
        <f>+T37-T39</f>
        <v>255657.73</v>
      </c>
      <c r="U41" s="14"/>
      <c r="V41" s="36">
        <f>IF(T$12=0,0,T41/T$12)</f>
        <v>0</v>
      </c>
      <c r="W41" s="15"/>
      <c r="X41" s="30">
        <f>P41-T41</f>
        <v>40920.28</v>
      </c>
      <c r="Y41" s="15"/>
      <c r="Z41" s="36">
        <f>IF(T41=0,0,X41/T41)</f>
        <v>0.16005884117018482</v>
      </c>
    </row>
    <row r="42" spans="1:26" ht="15.75" thickTop="1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8" t="s">
        <v>5</v>
      </c>
      <c r="C44" s="28"/>
      <c r="D44" s="31">
        <f>SUM(D41:D43)</f>
        <v>3632.85</v>
      </c>
      <c r="E44" s="14"/>
      <c r="F44" s="32">
        <f>IF(D$12=0,0,D44/D$12)</f>
        <v>0</v>
      </c>
      <c r="G44" s="14"/>
      <c r="H44" s="31">
        <f>SUM(H41:H43)</f>
        <v>9443.4200000000019</v>
      </c>
      <c r="I44" s="14"/>
      <c r="J44" s="32">
        <f>IF(H$12=0,0,H44/H$12)</f>
        <v>0</v>
      </c>
      <c r="K44" s="15"/>
      <c r="L44" s="31">
        <f>+D44-H44</f>
        <v>-5810.5700000000015</v>
      </c>
      <c r="M44" s="15"/>
      <c r="N44" s="32">
        <f>IF(H44=0,0,L44/H44)</f>
        <v>-0.61530356586914492</v>
      </c>
      <c r="O44" s="29"/>
      <c r="P44" s="31">
        <f>SUM(P41:P43)</f>
        <v>296578.01</v>
      </c>
      <c r="Q44" s="14"/>
      <c r="R44" s="32">
        <f>IF(P$12=0,0,P44/P$12)</f>
        <v>0</v>
      </c>
      <c r="S44" s="14"/>
      <c r="T44" s="31">
        <f>SUM(T41:T43)</f>
        <v>255657.73</v>
      </c>
      <c r="U44" s="14"/>
      <c r="V44" s="32">
        <f>IF(T$12=0,0,T44/T$12)</f>
        <v>0</v>
      </c>
      <c r="W44" s="15"/>
      <c r="X44" s="31">
        <f>+P44-T44</f>
        <v>40920.28</v>
      </c>
      <c r="Y44" s="15"/>
      <c r="Z44" s="32">
        <f>IF(T44=0,0,X44/T44)</f>
        <v>0.16005884117018482</v>
      </c>
    </row>
    <row r="45" spans="1:26" ht="15.75" thickTop="1" x14ac:dyDescent="0.25">
      <c r="A45" s="9"/>
      <c r="C45" s="9"/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25">
      <c r="A46" s="9"/>
      <c r="B46" s="54">
        <v>43965.471553587966</v>
      </c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25">
      <c r="A47" s="9"/>
      <c r="B47" s="59" t="s">
        <v>313</v>
      </c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  <row r="48" spans="1:26" x14ac:dyDescent="0.25">
      <c r="A48" s="9"/>
      <c r="B48" s="61"/>
      <c r="D48" s="17"/>
      <c r="E48" s="17"/>
      <c r="G48" s="17"/>
      <c r="H48" s="17"/>
      <c r="I48" s="17"/>
      <c r="J48" s="43"/>
      <c r="K48" s="17"/>
      <c r="L48" s="17"/>
      <c r="M48" s="17"/>
      <c r="P48" s="17"/>
      <c r="Q48" s="17"/>
      <c r="R48" s="43"/>
      <c r="S48" s="17"/>
      <c r="T48" s="17"/>
      <c r="U48" s="17"/>
      <c r="V48" s="43"/>
      <c r="W48" s="17"/>
      <c r="X48" s="17"/>
    </row>
    <row r="49" spans="4:24" x14ac:dyDescent="0.25">
      <c r="D49" s="17"/>
      <c r="E49" s="17"/>
      <c r="G49" s="17"/>
      <c r="H49" s="17"/>
      <c r="I49" s="17"/>
      <c r="J49" s="43"/>
      <c r="K49" s="17"/>
      <c r="L49" s="17"/>
      <c r="M49" s="17"/>
      <c r="P49" s="17"/>
      <c r="Q49" s="17"/>
      <c r="R49" s="43"/>
      <c r="S49" s="17"/>
      <c r="T49" s="17"/>
      <c r="U49" s="17"/>
      <c r="V49" s="43"/>
      <c r="W49" s="17"/>
      <c r="X49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","100", " - ", "Corporate")</f>
        <v>Department 100 - Corporate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SUM(0)</f>
        <v>0</v>
      </c>
      <c r="E18" s="22"/>
      <c r="F18" s="35">
        <f>IF(D$12=0,0,D18/D$12)</f>
        <v>0</v>
      </c>
      <c r="G18" s="22"/>
      <c r="H18" s="22">
        <f>SUM(0)</f>
        <v>0</v>
      </c>
      <c r="I18" s="22"/>
      <c r="J18" s="35">
        <f>IF(H$12=0,0,H18/H$12)</f>
        <v>0</v>
      </c>
      <c r="K18" s="4"/>
      <c r="L18" s="22">
        <f>+D18-H18</f>
        <v>0</v>
      </c>
      <c r="M18" s="4"/>
      <c r="N18" s="35">
        <f>IF(H18=0,0,L18/H18)</f>
        <v>0</v>
      </c>
      <c r="O18" s="10"/>
      <c r="P18" s="22">
        <f>SUM(0)</f>
        <v>0</v>
      </c>
      <c r="Q18" s="22"/>
      <c r="R18" s="35">
        <f>IF(P$12=0,0,P18/P$12)</f>
        <v>0</v>
      </c>
      <c r="S18" s="22"/>
      <c r="T18" s="22">
        <f>SUM(0)</f>
        <v>0</v>
      </c>
      <c r="U18" s="22"/>
      <c r="V18" s="35">
        <f>IF(T$12=0,0,T18/T$12)</f>
        <v>0</v>
      </c>
      <c r="W18" s="4"/>
      <c r="X18" s="22">
        <f>+P18-T18</f>
        <v>0</v>
      </c>
      <c r="Y18" s="4"/>
      <c r="Z18" s="35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9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0">
        <f>+D22-D24</f>
        <v>0</v>
      </c>
      <c r="E26" s="14"/>
      <c r="F26" s="36">
        <f>IF(D$12=0,0,D26/D$12)</f>
        <v>0</v>
      </c>
      <c r="G26" s="14"/>
      <c r="H26" s="30">
        <f>+H22-H24</f>
        <v>0</v>
      </c>
      <c r="I26" s="14"/>
      <c r="J26" s="36">
        <f>IF(H$12=0,0,H26/H$12)</f>
        <v>0</v>
      </c>
      <c r="K26" s="15"/>
      <c r="L26" s="30">
        <f>D26-H26</f>
        <v>0</v>
      </c>
      <c r="M26" s="15"/>
      <c r="N26" s="36">
        <f>IF(H26=0,0,L26/H26)</f>
        <v>0</v>
      </c>
      <c r="O26" s="29"/>
      <c r="P26" s="30">
        <f>+P22-P24</f>
        <v>0</v>
      </c>
      <c r="Q26" s="14"/>
      <c r="R26" s="36">
        <f>IF(P$12=0,0,P26/P$12)</f>
        <v>0</v>
      </c>
      <c r="S26" s="14"/>
      <c r="T26" s="30">
        <f>+T22-T24</f>
        <v>0</v>
      </c>
      <c r="U26" s="14"/>
      <c r="V26" s="36">
        <f>IF(T$12=0,0,T26/T$12)</f>
        <v>0</v>
      </c>
      <c r="W26" s="15"/>
      <c r="X26" s="30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--605154.18</f>
        <v>605154.18000000005</v>
      </c>
      <c r="E28" s="4"/>
      <c r="F28" s="12">
        <f t="shared" ref="F28:F29" si="0">IF(D$12=0,0,D28/D$12)</f>
        <v>0</v>
      </c>
      <c r="G28" s="4"/>
      <c r="H28" s="4">
        <f>--356014.34</f>
        <v>356014.34</v>
      </c>
      <c r="I28" s="4"/>
      <c r="J28" s="12">
        <f t="shared" ref="J28:J29" si="1">IF(H$12=0,0,H28/H$12)</f>
        <v>0</v>
      </c>
      <c r="K28" s="4"/>
      <c r="L28" s="4">
        <f t="shared" ref="L28:L29" si="2">+D28-H28</f>
        <v>249139.84000000003</v>
      </c>
      <c r="M28" s="4"/>
      <c r="N28" s="12">
        <f t="shared" ref="N28:N29" si="3">IF(H28=0,0,L28/H28)</f>
        <v>0.69980282254922654</v>
      </c>
      <c r="O28" s="10"/>
      <c r="P28" s="4">
        <f>-861387.27</f>
        <v>-861387.27</v>
      </c>
      <c r="Q28" s="4"/>
      <c r="R28" s="12">
        <f t="shared" ref="R28:R29" si="4">IF(P$12=0,0,P28/P$12)</f>
        <v>0</v>
      </c>
      <c r="S28" s="4"/>
      <c r="T28" s="4">
        <f>-1331.75</f>
        <v>-1331.75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-860055.52</v>
      </c>
      <c r="Y28" s="4"/>
      <c r="Z28" s="12">
        <f t="shared" ref="Z28:Z29" si="7">IF(T28=0,0,X28/T28)</f>
        <v>645.80853763844561</v>
      </c>
    </row>
    <row r="29" spans="1:26" s="23" customFormat="1" x14ac:dyDescent="0.25">
      <c r="A29" s="51"/>
      <c r="B29" s="10" t="s">
        <v>1</v>
      </c>
      <c r="C29" s="10"/>
      <c r="D29" s="4">
        <f>--14109.6</f>
        <v>14109.6</v>
      </c>
      <c r="E29" s="4"/>
      <c r="F29" s="12">
        <f t="shared" si="0"/>
        <v>0</v>
      </c>
      <c r="G29" s="4"/>
      <c r="H29" s="4">
        <f>--15093.77</f>
        <v>15093.77</v>
      </c>
      <c r="I29" s="4"/>
      <c r="J29" s="12">
        <f t="shared" si="1"/>
        <v>0</v>
      </c>
      <c r="K29" s="4"/>
      <c r="L29" s="4">
        <f t="shared" si="2"/>
        <v>-984.17000000000007</v>
      </c>
      <c r="M29" s="4"/>
      <c r="N29" s="12">
        <f t="shared" si="3"/>
        <v>-6.5203723125501448E-2</v>
      </c>
      <c r="O29" s="10"/>
      <c r="P29" s="4">
        <f>--243670.73</f>
        <v>243670.73</v>
      </c>
      <c r="Q29" s="4"/>
      <c r="R29" s="12">
        <f t="shared" si="4"/>
        <v>0</v>
      </c>
      <c r="S29" s="4"/>
      <c r="T29" s="4">
        <f>--389906.39</f>
        <v>389906.39</v>
      </c>
      <c r="U29" s="4"/>
      <c r="V29" s="12">
        <f t="shared" si="5"/>
        <v>0</v>
      </c>
      <c r="W29" s="4"/>
      <c r="X29" s="4">
        <f t="shared" si="6"/>
        <v>-146235.66</v>
      </c>
      <c r="Y29" s="4"/>
      <c r="Z29" s="12">
        <f t="shared" si="7"/>
        <v>-0.37505325316674087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1">
        <f>SUM(D26:D30)</f>
        <v>619263.78</v>
      </c>
      <c r="E31" s="14"/>
      <c r="F31" s="32">
        <f>IF(D$12=0,0,D31/D$12)</f>
        <v>0</v>
      </c>
      <c r="G31" s="14"/>
      <c r="H31" s="31">
        <f>SUM(H26:H30)</f>
        <v>371108.11000000004</v>
      </c>
      <c r="I31" s="14"/>
      <c r="J31" s="32">
        <f>IF(H$12=0,0,H31/H$12)</f>
        <v>0</v>
      </c>
      <c r="K31" s="15"/>
      <c r="L31" s="31">
        <f>+D31-H31</f>
        <v>248155.66999999998</v>
      </c>
      <c r="M31" s="15"/>
      <c r="N31" s="32">
        <f>IF(H31=0,0,L31/H31)</f>
        <v>0.66868835068034471</v>
      </c>
      <c r="O31" s="29"/>
      <c r="P31" s="31">
        <f>SUM(P26:P30)</f>
        <v>-617716.54</v>
      </c>
      <c r="Q31" s="14"/>
      <c r="R31" s="32">
        <f>IF(P$12=0,0,P31/P$12)</f>
        <v>0</v>
      </c>
      <c r="S31" s="14"/>
      <c r="T31" s="31">
        <f>SUM(T26:T30)</f>
        <v>388574.64</v>
      </c>
      <c r="U31" s="14"/>
      <c r="V31" s="32">
        <f>IF(T$12=0,0,T31/T$12)</f>
        <v>0</v>
      </c>
      <c r="W31" s="15"/>
      <c r="X31" s="31">
        <f>+P31-T31</f>
        <v>-1006291.18</v>
      </c>
      <c r="Y31" s="15"/>
      <c r="Z31" s="32">
        <f>IF(T31=0,0,X31/T31)</f>
        <v>-2.58969854543261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4">
        <v>43965.470690428243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9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1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300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4348.7</v>
      </c>
      <c r="E12" s="4"/>
      <c r="F12" s="12"/>
      <c r="G12" s="4"/>
      <c r="H12" s="4">
        <f>SUM(OSRRefH13x_0)</f>
        <v>1201177.1000000001</v>
      </c>
      <c r="I12" s="4"/>
      <c r="J12" s="12"/>
      <c r="K12" s="4"/>
      <c r="L12" s="4">
        <f t="shared" ref="L12:L18" si="0">+D12-H12</f>
        <v>-1196828.4000000001</v>
      </c>
      <c r="M12" s="4"/>
      <c r="N12" s="12">
        <f t="shared" ref="N12:N18" si="1">IF(H12=0,0,L12/H12)</f>
        <v>-0.99637963461008372</v>
      </c>
      <c r="O12" s="10"/>
      <c r="P12" s="4">
        <f>SUM(OSRRefP13x_0)</f>
        <v>9049592.6300000008</v>
      </c>
      <c r="Q12" s="4"/>
      <c r="R12" s="12"/>
      <c r="S12" s="4"/>
      <c r="T12" s="4">
        <f>SUM(OSRRefT13x_0)</f>
        <v>10120159.68</v>
      </c>
      <c r="U12" s="4"/>
      <c r="V12" s="12"/>
      <c r="W12" s="4"/>
      <c r="X12" s="4">
        <f t="shared" ref="X12:X18" si="2">+P12-T12</f>
        <v>-1070567.0499999989</v>
      </c>
      <c r="Y12" s="4"/>
      <c r="Z12" s="12">
        <f t="shared" ref="Z12:Z18" si="3">IF(T12=0,0,X12/T12)</f>
        <v>-0.1057855887507102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--46.54</f>
        <v>46.54</v>
      </c>
      <c r="E13" s="2"/>
      <c r="F13" s="19"/>
      <c r="G13" s="2"/>
      <c r="H13" s="2">
        <f>--5225.25</f>
        <v>5225.25</v>
      </c>
      <c r="I13" s="2"/>
      <c r="J13" s="19"/>
      <c r="K13" s="2"/>
      <c r="L13" s="2">
        <f t="shared" si="0"/>
        <v>-5178.71</v>
      </c>
      <c r="M13" s="2"/>
      <c r="N13" s="19">
        <f t="shared" si="1"/>
        <v>-0.99109324912683605</v>
      </c>
      <c r="O13" s="11"/>
      <c r="P13" s="2">
        <f>--26656.27</f>
        <v>26656.27</v>
      </c>
      <c r="Q13" s="2"/>
      <c r="R13" s="19"/>
      <c r="S13" s="2"/>
      <c r="T13" s="2">
        <f>--19501.8</f>
        <v>19501.8</v>
      </c>
      <c r="U13" s="2"/>
      <c r="V13" s="19"/>
      <c r="W13" s="2"/>
      <c r="X13" s="2">
        <f t="shared" si="2"/>
        <v>7154.4700000000012</v>
      </c>
      <c r="Y13" s="2"/>
      <c r="Z13" s="19">
        <f t="shared" si="3"/>
        <v>0.36686203324821304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--185.96</f>
        <v>185.96</v>
      </c>
      <c r="I14" s="2"/>
      <c r="J14" s="19"/>
      <c r="K14" s="2"/>
      <c r="L14" s="2">
        <f t="shared" si="0"/>
        <v>-185.96</v>
      </c>
      <c r="M14" s="2"/>
      <c r="N14" s="19">
        <f t="shared" si="1"/>
        <v>-1</v>
      </c>
      <c r="O14" s="11"/>
      <c r="P14" s="2">
        <f>--973.49</f>
        <v>973.49</v>
      </c>
      <c r="Q14" s="2"/>
      <c r="R14" s="19"/>
      <c r="S14" s="2"/>
      <c r="T14" s="2">
        <f>--1698.69</f>
        <v>1698.69</v>
      </c>
      <c r="U14" s="2"/>
      <c r="V14" s="19"/>
      <c r="W14" s="2"/>
      <c r="X14" s="2">
        <f t="shared" si="2"/>
        <v>-725.2</v>
      </c>
      <c r="Y14" s="2"/>
      <c r="Z14" s="19">
        <f t="shared" si="3"/>
        <v>-0.42691721267565008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--1200</f>
        <v>1200</v>
      </c>
      <c r="E15" s="2"/>
      <c r="F15" s="19"/>
      <c r="G15" s="2"/>
      <c r="H15" s="2">
        <f>--1176120.28</f>
        <v>1176120.28</v>
      </c>
      <c r="I15" s="2"/>
      <c r="J15" s="19"/>
      <c r="K15" s="2"/>
      <c r="L15" s="2">
        <f t="shared" si="0"/>
        <v>-1174920.28</v>
      </c>
      <c r="M15" s="2"/>
      <c r="N15" s="19">
        <f t="shared" si="1"/>
        <v>-0.99897969619229765</v>
      </c>
      <c r="O15" s="11"/>
      <c r="P15" s="2">
        <f>--8714110.38</f>
        <v>8714110.3800000008</v>
      </c>
      <c r="Q15" s="2"/>
      <c r="R15" s="19"/>
      <c r="S15" s="2"/>
      <c r="T15" s="2">
        <f>--9783990.35</f>
        <v>9783990.3499999996</v>
      </c>
      <c r="U15" s="2"/>
      <c r="V15" s="19"/>
      <c r="W15" s="2"/>
      <c r="X15" s="2">
        <f t="shared" si="2"/>
        <v>-1069879.9699999988</v>
      </c>
      <c r="Y15" s="2"/>
      <c r="Z15" s="19">
        <f t="shared" si="3"/>
        <v>-0.10935006390311892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--3102.16</f>
        <v>3102.16</v>
      </c>
      <c r="E16" s="2"/>
      <c r="F16" s="19"/>
      <c r="G16" s="2"/>
      <c r="H16" s="2">
        <f>--18637.32</f>
        <v>18637.32</v>
      </c>
      <c r="I16" s="2"/>
      <c r="J16" s="19"/>
      <c r="K16" s="2"/>
      <c r="L16" s="2">
        <f t="shared" si="0"/>
        <v>-15535.16</v>
      </c>
      <c r="M16" s="2"/>
      <c r="N16" s="19">
        <f t="shared" si="1"/>
        <v>-0.83355117581283145</v>
      </c>
      <c r="O16" s="11"/>
      <c r="P16" s="2">
        <f>--304118.59</f>
        <v>304118.59000000003</v>
      </c>
      <c r="Q16" s="2"/>
      <c r="R16" s="19"/>
      <c r="S16" s="2"/>
      <c r="T16" s="2">
        <f>--306082.42</f>
        <v>306082.42</v>
      </c>
      <c r="U16" s="2"/>
      <c r="V16" s="19"/>
      <c r="W16" s="2"/>
      <c r="X16" s="2">
        <f t="shared" si="2"/>
        <v>-1963.8299999999581</v>
      </c>
      <c r="Y16" s="2"/>
      <c r="Z16" s="19">
        <f t="shared" si="3"/>
        <v>-6.4160169669331491E-3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 t="shared" ref="D17:D18" si="4">0</f>
        <v>0</v>
      </c>
      <c r="E17" s="2"/>
      <c r="F17" s="19"/>
      <c r="G17" s="2"/>
      <c r="H17" s="2">
        <f>--1008.29</f>
        <v>1008.29</v>
      </c>
      <c r="I17" s="2"/>
      <c r="J17" s="19"/>
      <c r="K17" s="2"/>
      <c r="L17" s="2">
        <f t="shared" si="0"/>
        <v>-1008.29</v>
      </c>
      <c r="M17" s="2"/>
      <c r="N17" s="19">
        <f t="shared" si="1"/>
        <v>-1</v>
      </c>
      <c r="O17" s="11"/>
      <c r="P17" s="2">
        <f>--3733.9</f>
        <v>3733.9</v>
      </c>
      <c r="Q17" s="2"/>
      <c r="R17" s="19"/>
      <c r="S17" s="2"/>
      <c r="T17" s="2">
        <f>--7831.52</f>
        <v>7831.52</v>
      </c>
      <c r="U17" s="2"/>
      <c r="V17" s="19"/>
      <c r="W17" s="2"/>
      <c r="X17" s="2">
        <f t="shared" si="2"/>
        <v>-4097.6200000000008</v>
      </c>
      <c r="Y17" s="2"/>
      <c r="Z17" s="19">
        <f t="shared" si="3"/>
        <v>-0.52322154575357027</v>
      </c>
    </row>
    <row r="18" spans="1:26" s="24" customFormat="1" hidden="1" outlineLevel="1" x14ac:dyDescent="0.2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-1054.9000000000001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-8313.7999999999993</v>
      </c>
      <c r="E20" s="4"/>
      <c r="F20" s="12">
        <f t="shared" ref="F20:F22" si="5">IF(D$12=0,0,D20/D$12)</f>
        <v>-1.9117897302642168</v>
      </c>
      <c r="G20" s="4"/>
      <c r="H20" s="4">
        <f>SUM(OSRRefH16x_0)</f>
        <v>306744.14</v>
      </c>
      <c r="I20" s="4"/>
      <c r="J20" s="12">
        <f t="shared" ref="J20:J22" si="6">IF(H$12=0,0,H20/H$12)</f>
        <v>0.25536962034990512</v>
      </c>
      <c r="K20" s="4"/>
      <c r="L20" s="4">
        <f t="shared" ref="L20:L22" si="7">+D20-H20</f>
        <v>-315057.94</v>
      </c>
      <c r="M20" s="4"/>
      <c r="N20" s="12">
        <f t="shared" ref="N20:N22" si="8">IF(H20=0,0,L20/H20)</f>
        <v>-1.0271033702550927</v>
      </c>
      <c r="O20" s="10"/>
      <c r="P20" s="4">
        <f>SUM(OSRRefP16x_0)</f>
        <v>2168733.58</v>
      </c>
      <c r="Q20" s="4"/>
      <c r="R20" s="12">
        <f t="shared" ref="R20:R22" si="9">IF(P$12=0,0,P20/P$12)</f>
        <v>0.23964985703450387</v>
      </c>
      <c r="S20" s="4"/>
      <c r="T20" s="4">
        <f>SUM(OSRRefT16x_0)</f>
        <v>2495041.84</v>
      </c>
      <c r="U20" s="4"/>
      <c r="V20" s="12">
        <f t="shared" ref="V20:V22" si="10">IF(T$12=0,0,T20/T$12)</f>
        <v>0.24654174626620121</v>
      </c>
      <c r="W20" s="4"/>
      <c r="X20" s="4">
        <f t="shared" ref="X20:X22" si="11">+P20-T20</f>
        <v>-326308.25999999978</v>
      </c>
      <c r="Y20" s="4"/>
      <c r="Z20" s="12">
        <f t="shared" ref="Z20:Z22" si="12">IF(T20=0,0,X20/T20)</f>
        <v>-0.13078268058222214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13033.2</v>
      </c>
      <c r="E21" s="2"/>
      <c r="F21" s="19">
        <f t="shared" si="5"/>
        <v>2.9970335962471548</v>
      </c>
      <c r="G21" s="2"/>
      <c r="H21" s="2">
        <v>309456.52</v>
      </c>
      <c r="I21" s="2"/>
      <c r="J21" s="19">
        <f t="shared" si="6"/>
        <v>0.25762772200702128</v>
      </c>
      <c r="K21" s="2"/>
      <c r="L21" s="2">
        <f t="shared" si="7"/>
        <v>-296423.32</v>
      </c>
      <c r="M21" s="2"/>
      <c r="N21" s="19">
        <f t="shared" si="8"/>
        <v>-0.95788358248195893</v>
      </c>
      <c r="O21" s="11"/>
      <c r="P21" s="2">
        <v>2158626.84</v>
      </c>
      <c r="Q21" s="2"/>
      <c r="R21" s="19">
        <f t="shared" si="9"/>
        <v>0.23853303991209598</v>
      </c>
      <c r="S21" s="2"/>
      <c r="T21" s="2">
        <v>2510853.3199999998</v>
      </c>
      <c r="U21" s="2"/>
      <c r="V21" s="19">
        <f t="shared" si="10"/>
        <v>0.24810412082351649</v>
      </c>
      <c r="W21" s="2"/>
      <c r="X21" s="2">
        <f t="shared" si="11"/>
        <v>-352226.48</v>
      </c>
      <c r="Y21" s="2"/>
      <c r="Z21" s="19">
        <f t="shared" si="12"/>
        <v>-0.14028158363308932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-21347</v>
      </c>
      <c r="E22" s="2"/>
      <c r="F22" s="19">
        <f t="shared" si="5"/>
        <v>-4.9088233265113717</v>
      </c>
      <c r="G22" s="2"/>
      <c r="H22" s="2">
        <v>-2712.38</v>
      </c>
      <c r="I22" s="2"/>
      <c r="J22" s="19">
        <f t="shared" si="6"/>
        <v>-2.2581016571161737E-3</v>
      </c>
      <c r="K22" s="2"/>
      <c r="L22" s="2">
        <f t="shared" si="7"/>
        <v>-18634.62</v>
      </c>
      <c r="M22" s="2"/>
      <c r="N22" s="19">
        <f t="shared" si="8"/>
        <v>6.8702099263377541</v>
      </c>
      <c r="O22" s="11"/>
      <c r="P22" s="2">
        <v>10106.74</v>
      </c>
      <c r="Q22" s="2"/>
      <c r="R22" s="19">
        <f t="shared" si="9"/>
        <v>1.1168171224078623E-3</v>
      </c>
      <c r="S22" s="2"/>
      <c r="T22" s="2">
        <v>-15811.48</v>
      </c>
      <c r="U22" s="2"/>
      <c r="V22" s="19">
        <f t="shared" si="10"/>
        <v>-1.5623745573152853E-3</v>
      </c>
      <c r="W22" s="2"/>
      <c r="X22" s="2">
        <f t="shared" si="11"/>
        <v>25918.22</v>
      </c>
      <c r="Y22" s="2"/>
      <c r="Z22" s="19">
        <f t="shared" si="12"/>
        <v>-1.6392026552859063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1">
        <f>D12-D20</f>
        <v>12662.5</v>
      </c>
      <c r="E24" s="14"/>
      <c r="F24" s="20">
        <f>IF(D$12=0,0,D24/D$12)</f>
        <v>2.9117897302642168</v>
      </c>
      <c r="G24" s="14"/>
      <c r="H24" s="21">
        <f>H12-H20</f>
        <v>894432.96000000008</v>
      </c>
      <c r="I24" s="14"/>
      <c r="J24" s="20">
        <f>IF(H$12=0,0,H24/H$12)</f>
        <v>0.74463037965009493</v>
      </c>
      <c r="K24" s="15"/>
      <c r="L24" s="21">
        <f>+D24-H24</f>
        <v>-881770.46000000008</v>
      </c>
      <c r="M24" s="15"/>
      <c r="N24" s="20">
        <f>IF(H24=0,0,L24/H24)</f>
        <v>-0.98584298592931996</v>
      </c>
      <c r="O24" s="29"/>
      <c r="P24" s="21">
        <f>P12-P20</f>
        <v>6880859.0500000007</v>
      </c>
      <c r="Q24" s="14"/>
      <c r="R24" s="20">
        <f>IF(P$12=0,0,P24/P$12)</f>
        <v>0.76035014296549608</v>
      </c>
      <c r="S24" s="14"/>
      <c r="T24" s="21">
        <f>T12-T20</f>
        <v>7625117.8399999999</v>
      </c>
      <c r="U24" s="14"/>
      <c r="V24" s="20">
        <f>IF(T$12=0,0,T24/T$12)</f>
        <v>0.75345825373379882</v>
      </c>
      <c r="W24" s="15"/>
      <c r="X24" s="21">
        <f>+P24-T24</f>
        <v>-744258.78999999911</v>
      </c>
      <c r="Y24" s="15"/>
      <c r="Z24" s="20">
        <f>IF(T24=0,0,X24/T24)</f>
        <v>-9.7606201716090343E-2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2">
        <f>SUM(OSRRefD22x_0)</f>
        <v>102481.71</v>
      </c>
      <c r="E26" s="22"/>
      <c r="F26" s="35">
        <f t="shared" ref="F26:F36" si="13">IF(D$12=0,0,D26/D$12)</f>
        <v>23.566056522638952</v>
      </c>
      <c r="G26" s="22"/>
      <c r="H26" s="22">
        <f>SUM(OSRRefH22x_0)</f>
        <v>463931.63</v>
      </c>
      <c r="I26" s="22"/>
      <c r="J26" s="35">
        <f t="shared" ref="J26:J36" si="14">IF(H$12=0,0,H26/H$12)</f>
        <v>0.38623083140695902</v>
      </c>
      <c r="K26" s="4"/>
      <c r="L26" s="22">
        <f t="shared" ref="L26:L36" si="15">+D26-H26</f>
        <v>-361449.92</v>
      </c>
      <c r="M26" s="4"/>
      <c r="N26" s="35">
        <f t="shared" ref="N26:N36" si="16">IF(H26=0,0,L26/H26)</f>
        <v>-0.77910169651506622</v>
      </c>
      <c r="O26" s="10"/>
      <c r="P26" s="22">
        <f>SUM(OSRRefP22x_0)</f>
        <v>4638949.9800000023</v>
      </c>
      <c r="Q26" s="22"/>
      <c r="R26" s="35">
        <f t="shared" ref="R26:R36" si="17">IF(P$12=0,0,P26/P$12)</f>
        <v>0.51261423244860493</v>
      </c>
      <c r="S26" s="22"/>
      <c r="T26" s="22">
        <f>SUM(OSRRefT22x_0)</f>
        <v>4531634.5999999987</v>
      </c>
      <c r="U26" s="22"/>
      <c r="V26" s="35">
        <f t="shared" ref="V26:V36" si="18">IF(T$12=0,0,T26/T$12)</f>
        <v>0.44778291482452171</v>
      </c>
      <c r="W26" s="4"/>
      <c r="X26" s="22">
        <f t="shared" ref="X26:X36" si="19">+P26-T26</f>
        <v>107315.38000000361</v>
      </c>
      <c r="Y26" s="4"/>
      <c r="Z26" s="35">
        <f t="shared" ref="Z26:Z36" si="20">IF(T26=0,0,X26/T26)</f>
        <v>2.3681384196334726E-2</v>
      </c>
    </row>
    <row r="27" spans="1:26" s="25" customFormat="1" outlineLevel="1" collapsed="1" x14ac:dyDescent="0.25">
      <c r="A27" s="26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-1376.2799999999843</v>
      </c>
      <c r="E27" s="1"/>
      <c r="F27" s="5">
        <f t="shared" si="13"/>
        <v>-0.31648078736173668</v>
      </c>
      <c r="G27" s="1"/>
      <c r="H27" s="1">
        <f>SUM(OSRRefH22_0x_0)</f>
        <v>86597.94</v>
      </c>
      <c r="I27" s="1"/>
      <c r="J27" s="5">
        <f t="shared" si="14"/>
        <v>7.2094231566685707E-2</v>
      </c>
      <c r="K27" s="1"/>
      <c r="L27" s="1">
        <f t="shared" si="15"/>
        <v>-87974.219999999987</v>
      </c>
      <c r="M27" s="1"/>
      <c r="N27" s="5">
        <f t="shared" si="16"/>
        <v>-1.015892756802298</v>
      </c>
      <c r="O27" s="13"/>
      <c r="P27" s="1">
        <f>SUM(OSRRefP22_0x_0)</f>
        <v>871891.82000000007</v>
      </c>
      <c r="Q27" s="1"/>
      <c r="R27" s="5">
        <f t="shared" si="17"/>
        <v>9.6345974415425154E-2</v>
      </c>
      <c r="S27" s="1"/>
      <c r="T27" s="1">
        <f>SUM(OSRRefT22_0x_0)</f>
        <v>889563.88000000012</v>
      </c>
      <c r="U27" s="1"/>
      <c r="V27" s="5">
        <f t="shared" si="18"/>
        <v>8.7900182223211734E-2</v>
      </c>
      <c r="W27" s="1"/>
      <c r="X27" s="1">
        <f t="shared" si="19"/>
        <v>-17672.060000000056</v>
      </c>
      <c r="Y27" s="1"/>
      <c r="Z27" s="5">
        <f t="shared" si="20"/>
        <v>-1.9865981968602474E-2</v>
      </c>
    </row>
    <row r="28" spans="1:26" s="24" customFormat="1" hidden="1" outlineLevel="2" x14ac:dyDescent="0.25">
      <c r="A28" s="27"/>
      <c r="B28" s="11" t="str">
        <f>CONCATENATE("          ", "6111", " - ", "F.I.C.A.")</f>
        <v xml:space="preserve">          6111 - F.I.C.A.</v>
      </c>
      <c r="C28" s="11"/>
      <c r="D28" s="6">
        <v>10899.07</v>
      </c>
      <c r="E28" s="2"/>
      <c r="F28" s="7">
        <f t="shared" si="13"/>
        <v>2.5062823372502128</v>
      </c>
      <c r="G28" s="2"/>
      <c r="H28" s="6">
        <v>11159.65</v>
      </c>
      <c r="I28" s="2"/>
      <c r="J28" s="7">
        <f t="shared" si="14"/>
        <v>9.2905950338214062E-3</v>
      </c>
      <c r="K28" s="2"/>
      <c r="L28" s="6">
        <f t="shared" si="15"/>
        <v>-260.57999999999993</v>
      </c>
      <c r="M28" s="2"/>
      <c r="N28" s="7">
        <f t="shared" si="16"/>
        <v>-2.3350194674564159E-2</v>
      </c>
      <c r="O28" s="11"/>
      <c r="P28" s="6">
        <v>136908.18</v>
      </c>
      <c r="Q28" s="2"/>
      <c r="R28" s="7">
        <f t="shared" si="17"/>
        <v>1.5128656680759339E-2</v>
      </c>
      <c r="S28" s="2"/>
      <c r="T28" s="6">
        <v>121907.77</v>
      </c>
      <c r="U28" s="2"/>
      <c r="V28" s="7">
        <f t="shared" si="18"/>
        <v>1.2046032261815063E-2</v>
      </c>
      <c r="W28" s="2"/>
      <c r="X28" s="6">
        <f t="shared" si="19"/>
        <v>15000.409999999989</v>
      </c>
      <c r="Y28" s="2"/>
      <c r="Z28" s="7">
        <f t="shared" si="20"/>
        <v>0.12304720199541004</v>
      </c>
    </row>
    <row r="29" spans="1:26" s="24" customFormat="1" hidden="1" outlineLevel="2" x14ac:dyDescent="0.25">
      <c r="A29" s="27"/>
      <c r="B29" s="11" t="str">
        <f>CONCATENATE("          ", "6112", " - ", "COMPENSATION INSURANCE")</f>
        <v xml:space="preserve">          6112 - COMPENSATION INSURANCE</v>
      </c>
      <c r="C29" s="11"/>
      <c r="D29" s="6">
        <v>3524.09</v>
      </c>
      <c r="E29" s="2"/>
      <c r="F29" s="7">
        <f t="shared" si="13"/>
        <v>0.81037781405937415</v>
      </c>
      <c r="G29" s="2"/>
      <c r="H29" s="6">
        <v>7818.81</v>
      </c>
      <c r="I29" s="2"/>
      <c r="J29" s="7">
        <f t="shared" si="14"/>
        <v>6.5092899290204584E-3</v>
      </c>
      <c r="K29" s="2"/>
      <c r="L29" s="6">
        <f t="shared" si="15"/>
        <v>-4294.72</v>
      </c>
      <c r="M29" s="2"/>
      <c r="N29" s="7">
        <f t="shared" si="16"/>
        <v>-0.54928051711193904</v>
      </c>
      <c r="O29" s="11"/>
      <c r="P29" s="6">
        <v>85976</v>
      </c>
      <c r="Q29" s="2"/>
      <c r="R29" s="7">
        <f t="shared" si="17"/>
        <v>9.5005381474281888E-3</v>
      </c>
      <c r="S29" s="2"/>
      <c r="T29" s="6">
        <v>74831.48000000001</v>
      </c>
      <c r="U29" s="2"/>
      <c r="V29" s="7">
        <f t="shared" si="18"/>
        <v>7.3942983476719222E-3</v>
      </c>
      <c r="W29" s="2"/>
      <c r="X29" s="6">
        <f t="shared" si="19"/>
        <v>11144.51999999999</v>
      </c>
      <c r="Y29" s="2"/>
      <c r="Z29" s="7">
        <f t="shared" si="20"/>
        <v>0.14892823180832435</v>
      </c>
    </row>
    <row r="30" spans="1:26" s="24" customFormat="1" hidden="1" outlineLevel="2" x14ac:dyDescent="0.25">
      <c r="A30" s="27"/>
      <c r="B30" s="11" t="str">
        <f>CONCATENATE("          ", "6113", " - ", "GROUP INSURANCE")</f>
        <v xml:space="preserve">          6113 - GROUP INSURANCE</v>
      </c>
      <c r="C30" s="11"/>
      <c r="D30" s="6">
        <v>41691.06</v>
      </c>
      <c r="E30" s="2"/>
      <c r="F30" s="7">
        <f t="shared" si="13"/>
        <v>9.5870168096212662</v>
      </c>
      <c r="G30" s="2"/>
      <c r="H30" s="6">
        <v>45732.28</v>
      </c>
      <c r="I30" s="2"/>
      <c r="J30" s="7">
        <f t="shared" si="14"/>
        <v>3.8072887003923063E-2</v>
      </c>
      <c r="K30" s="2"/>
      <c r="L30" s="6">
        <f t="shared" si="15"/>
        <v>-4041.2200000000012</v>
      </c>
      <c r="M30" s="2"/>
      <c r="N30" s="7">
        <f t="shared" si="16"/>
        <v>-8.8366904077382569E-2</v>
      </c>
      <c r="O30" s="11"/>
      <c r="P30" s="6">
        <v>474557.54</v>
      </c>
      <c r="Q30" s="2"/>
      <c r="R30" s="7">
        <f t="shared" si="17"/>
        <v>5.2439657717498818E-2</v>
      </c>
      <c r="S30" s="2"/>
      <c r="T30" s="6">
        <v>452441.77999999997</v>
      </c>
      <c r="U30" s="2"/>
      <c r="V30" s="7">
        <f t="shared" si="18"/>
        <v>4.4706980354681514E-2</v>
      </c>
      <c r="W30" s="2"/>
      <c r="X30" s="6">
        <f t="shared" si="19"/>
        <v>22115.760000000009</v>
      </c>
      <c r="Y30" s="2"/>
      <c r="Z30" s="7">
        <f t="shared" si="20"/>
        <v>4.8880896896833913E-2</v>
      </c>
    </row>
    <row r="31" spans="1:26" s="24" customFormat="1" hidden="1" outlineLevel="2" x14ac:dyDescent="0.2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6">
        <v>239.91</v>
      </c>
      <c r="E31" s="2"/>
      <c r="F31" s="7">
        <f t="shared" si="13"/>
        <v>5.5168211189550904E-2</v>
      </c>
      <c r="G31" s="2"/>
      <c r="H31" s="6">
        <v>583.61</v>
      </c>
      <c r="I31" s="2"/>
      <c r="J31" s="7">
        <f t="shared" si="14"/>
        <v>4.8586507351830129E-4</v>
      </c>
      <c r="K31" s="2"/>
      <c r="L31" s="6">
        <f t="shared" si="15"/>
        <v>-343.70000000000005</v>
      </c>
      <c r="M31" s="2"/>
      <c r="N31" s="7">
        <f t="shared" si="16"/>
        <v>-0.58892068333304781</v>
      </c>
      <c r="O31" s="11"/>
      <c r="P31" s="6">
        <v>6774.66</v>
      </c>
      <c r="Q31" s="2"/>
      <c r="R31" s="7">
        <f t="shared" si="17"/>
        <v>7.4861491306708677E-4</v>
      </c>
      <c r="S31" s="2"/>
      <c r="T31" s="6">
        <v>6350.81</v>
      </c>
      <c r="U31" s="2"/>
      <c r="V31" s="7">
        <f t="shared" si="18"/>
        <v>6.2754049351126451E-4</v>
      </c>
      <c r="W31" s="2"/>
      <c r="X31" s="6">
        <f t="shared" si="19"/>
        <v>423.84999999999945</v>
      </c>
      <c r="Y31" s="2"/>
      <c r="Z31" s="7">
        <f t="shared" si="20"/>
        <v>6.6739518266173831E-2</v>
      </c>
    </row>
    <row r="32" spans="1:26" s="24" customFormat="1" hidden="1" outlineLevel="2" x14ac:dyDescent="0.25">
      <c r="A32" s="27"/>
      <c r="B32" s="11" t="str">
        <f>CONCATENATE("          ", "6115", " - ", "P.E.R.S.")</f>
        <v xml:space="preserve">          6115 - P.E.R.S.</v>
      </c>
      <c r="C32" s="11"/>
      <c r="D32" s="6">
        <v>4977.51</v>
      </c>
      <c r="E32" s="2"/>
      <c r="F32" s="7">
        <f t="shared" si="13"/>
        <v>1.1445972359555729</v>
      </c>
      <c r="G32" s="2"/>
      <c r="H32" s="6">
        <v>3639.48</v>
      </c>
      <c r="I32" s="2"/>
      <c r="J32" s="7">
        <f t="shared" si="14"/>
        <v>3.0299278932307315E-3</v>
      </c>
      <c r="K32" s="2"/>
      <c r="L32" s="6">
        <f t="shared" si="15"/>
        <v>1338.0300000000002</v>
      </c>
      <c r="M32" s="2"/>
      <c r="N32" s="7">
        <f t="shared" si="16"/>
        <v>0.36764317979491579</v>
      </c>
      <c r="O32" s="11"/>
      <c r="P32" s="6">
        <v>45122.979999999996</v>
      </c>
      <c r="Q32" s="2"/>
      <c r="R32" s="7">
        <f t="shared" si="17"/>
        <v>4.9861890855080393E-3</v>
      </c>
      <c r="S32" s="2"/>
      <c r="T32" s="6">
        <v>41263.89</v>
      </c>
      <c r="U32" s="2"/>
      <c r="V32" s="7">
        <f t="shared" si="18"/>
        <v>4.077395150350039E-3</v>
      </c>
      <c r="W32" s="2"/>
      <c r="X32" s="6">
        <f t="shared" si="19"/>
        <v>3859.0899999999965</v>
      </c>
      <c r="Y32" s="2"/>
      <c r="Z32" s="7">
        <f t="shared" si="20"/>
        <v>9.3522205492501953E-2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3442.8</v>
      </c>
      <c r="E33" s="2"/>
      <c r="F33" s="7">
        <f t="shared" si="13"/>
        <v>0.79168487134086052</v>
      </c>
      <c r="G33" s="2"/>
      <c r="H33" s="6">
        <v>2140.3200000000002</v>
      </c>
      <c r="I33" s="2"/>
      <c r="J33" s="7">
        <f t="shared" si="14"/>
        <v>1.7818521515270314E-3</v>
      </c>
      <c r="K33" s="2"/>
      <c r="L33" s="6">
        <f t="shared" si="15"/>
        <v>1302.48</v>
      </c>
      <c r="M33" s="2"/>
      <c r="N33" s="7">
        <f t="shared" si="16"/>
        <v>0.60854451670778198</v>
      </c>
      <c r="O33" s="11"/>
      <c r="P33" s="6">
        <v>17975.060000000001</v>
      </c>
      <c r="Q33" s="2"/>
      <c r="R33" s="7">
        <f t="shared" si="17"/>
        <v>1.9862838842503788E-3</v>
      </c>
      <c r="S33" s="2"/>
      <c r="T33" s="6">
        <v>15620.18</v>
      </c>
      <c r="U33" s="2"/>
      <c r="V33" s="7">
        <f t="shared" si="18"/>
        <v>1.543471693521737E-3</v>
      </c>
      <c r="W33" s="2"/>
      <c r="X33" s="6">
        <f t="shared" si="19"/>
        <v>2354.880000000001</v>
      </c>
      <c r="Y33" s="2"/>
      <c r="Z33" s="7">
        <f t="shared" si="20"/>
        <v>0.15075882608267005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8575.35</v>
      </c>
      <c r="E34" s="2"/>
      <c r="F34" s="7">
        <f t="shared" si="13"/>
        <v>1.9719341412376115</v>
      </c>
      <c r="G34" s="2"/>
      <c r="H34" s="6">
        <v>7536.4</v>
      </c>
      <c r="I34" s="2"/>
      <c r="J34" s="7">
        <f t="shared" si="14"/>
        <v>6.2741788866937263E-3</v>
      </c>
      <c r="K34" s="2"/>
      <c r="L34" s="6">
        <f t="shared" si="15"/>
        <v>1038.9500000000007</v>
      </c>
      <c r="M34" s="2"/>
      <c r="N34" s="7">
        <f t="shared" si="16"/>
        <v>0.13785759779204937</v>
      </c>
      <c r="O34" s="11"/>
      <c r="P34" s="6">
        <v>86833.560000000012</v>
      </c>
      <c r="Q34" s="2"/>
      <c r="R34" s="7">
        <f t="shared" si="17"/>
        <v>9.5953004240368778E-3</v>
      </c>
      <c r="S34" s="2"/>
      <c r="T34" s="6">
        <v>81012.509999999995</v>
      </c>
      <c r="U34" s="2"/>
      <c r="V34" s="7">
        <f t="shared" si="18"/>
        <v>8.0050624260505736E-3</v>
      </c>
      <c r="W34" s="2"/>
      <c r="X34" s="6">
        <f t="shared" si="19"/>
        <v>5821.0500000000175</v>
      </c>
      <c r="Y34" s="2"/>
      <c r="Z34" s="7">
        <f t="shared" si="20"/>
        <v>7.1853717407348791E-2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-76600.569999999992</v>
      </c>
      <c r="E35" s="2"/>
      <c r="F35" s="7">
        <f t="shared" si="13"/>
        <v>-17.614590567295973</v>
      </c>
      <c r="G35" s="2"/>
      <c r="H35" s="6">
        <v>4785.3</v>
      </c>
      <c r="I35" s="2"/>
      <c r="J35" s="7">
        <f t="shared" si="14"/>
        <v>3.983842182805516E-3</v>
      </c>
      <c r="K35" s="2"/>
      <c r="L35" s="6">
        <f t="shared" si="15"/>
        <v>-81385.87</v>
      </c>
      <c r="M35" s="2"/>
      <c r="N35" s="7">
        <f t="shared" si="16"/>
        <v>-17.007474975445636</v>
      </c>
      <c r="O35" s="11"/>
      <c r="P35" s="6">
        <v>-18787.990000000002</v>
      </c>
      <c r="Q35" s="2"/>
      <c r="R35" s="7">
        <f t="shared" si="17"/>
        <v>-2.0761144471538495E-3</v>
      </c>
      <c r="S35" s="2"/>
      <c r="T35" s="6">
        <v>61781.590000000004</v>
      </c>
      <c r="U35" s="2"/>
      <c r="V35" s="7">
        <f t="shared" si="18"/>
        <v>6.1048038720274431E-3</v>
      </c>
      <c r="W35" s="2"/>
      <c r="X35" s="6">
        <f t="shared" si="19"/>
        <v>-80569.58</v>
      </c>
      <c r="Y35" s="2"/>
      <c r="Z35" s="7">
        <f t="shared" si="20"/>
        <v>-1.3041033744842112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1874.5</v>
      </c>
      <c r="E36" s="2"/>
      <c r="F36" s="7">
        <f t="shared" si="13"/>
        <v>0.4310483592797848</v>
      </c>
      <c r="G36" s="2"/>
      <c r="H36" s="6">
        <v>3202.09</v>
      </c>
      <c r="I36" s="2"/>
      <c r="J36" s="7">
        <f t="shared" si="14"/>
        <v>2.6657934121454697E-3</v>
      </c>
      <c r="K36" s="2"/>
      <c r="L36" s="6">
        <f t="shared" si="15"/>
        <v>-1327.5900000000001</v>
      </c>
      <c r="M36" s="2"/>
      <c r="N36" s="7">
        <f t="shared" si="16"/>
        <v>-0.41460108866396639</v>
      </c>
      <c r="O36" s="11"/>
      <c r="P36" s="6">
        <v>36531.83</v>
      </c>
      <c r="Q36" s="2"/>
      <c r="R36" s="7">
        <f t="shared" si="17"/>
        <v>4.0368480100302587E-3</v>
      </c>
      <c r="S36" s="2"/>
      <c r="T36" s="6">
        <v>34353.870000000003</v>
      </c>
      <c r="U36" s="2"/>
      <c r="V36" s="7">
        <f t="shared" si="18"/>
        <v>3.3945976235821612E-3</v>
      </c>
      <c r="W36" s="2"/>
      <c r="X36" s="6">
        <f t="shared" si="19"/>
        <v>2177.9599999999991</v>
      </c>
      <c r="Y36" s="2"/>
      <c r="Z36" s="7">
        <f t="shared" si="20"/>
        <v>6.3397806418898334E-2</v>
      </c>
    </row>
    <row r="37" spans="1:26" s="25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91193.55</v>
      </c>
      <c r="E37" s="1"/>
      <c r="F37" s="5">
        <f t="shared" ref="F37:F44" si="21">IF(D$12=0,0,D37/D$12)</f>
        <v>20.970301469404649</v>
      </c>
      <c r="G37" s="1"/>
      <c r="H37" s="1">
        <f>SUM(OSRRefH22_1x_0)</f>
        <v>222811.05</v>
      </c>
      <c r="I37" s="1"/>
      <c r="J37" s="5">
        <f t="shared" ref="J37:J44" si="22">IF(H$12=0,0,H37/H$12)</f>
        <v>0.18549392092140282</v>
      </c>
      <c r="K37" s="1"/>
      <c r="L37" s="1">
        <f t="shared" ref="L37:L44" si="23">+D37-H37</f>
        <v>-131617.5</v>
      </c>
      <c r="M37" s="1"/>
      <c r="N37" s="5">
        <f t="shared" ref="N37:N44" si="24">IF(H37=0,0,L37/H37)</f>
        <v>-0.59071352161394153</v>
      </c>
      <c r="O37" s="13"/>
      <c r="P37" s="1">
        <f>SUM(OSRRefP22_1x_0)</f>
        <v>2468623.9500000002</v>
      </c>
      <c r="Q37" s="1"/>
      <c r="R37" s="5">
        <f t="shared" ref="R37:R44" si="25">IF(P$12=0,0,P37/P$12)</f>
        <v>0.27278840616718458</v>
      </c>
      <c r="S37" s="1"/>
      <c r="T37" s="1">
        <f>SUM(OSRRefT22_1x_0)</f>
        <v>2292057.9700000002</v>
      </c>
      <c r="U37" s="1"/>
      <c r="V37" s="5">
        <f t="shared" ref="V37:V44" si="26">IF(T$12=0,0,T37/T$12)</f>
        <v>0.22648436808064279</v>
      </c>
      <c r="W37" s="1"/>
      <c r="X37" s="1">
        <f t="shared" ref="X37:X44" si="27">+P37-T37</f>
        <v>176565.97999999998</v>
      </c>
      <c r="Y37" s="1"/>
      <c r="Z37" s="5">
        <f t="shared" ref="Z37:Z44" si="28">IF(T37=0,0,X37/T37)</f>
        <v>7.7033819524206876E-2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>
        <v>11199.31</v>
      </c>
      <c r="E38" s="2"/>
      <c r="F38" s="7">
        <f t="shared" si="21"/>
        <v>2.5753236599443512</v>
      </c>
      <c r="G38" s="2"/>
      <c r="H38" s="6">
        <v>5930.85</v>
      </c>
      <c r="I38" s="2"/>
      <c r="J38" s="7">
        <f t="shared" si="22"/>
        <v>4.9375316928702683E-3</v>
      </c>
      <c r="K38" s="2"/>
      <c r="L38" s="6">
        <f t="shared" si="23"/>
        <v>5268.4599999999991</v>
      </c>
      <c r="M38" s="2"/>
      <c r="N38" s="7">
        <f t="shared" si="24"/>
        <v>0.88831449117748695</v>
      </c>
      <c r="O38" s="11"/>
      <c r="P38" s="6">
        <v>82672.17</v>
      </c>
      <c r="Q38" s="2"/>
      <c r="R38" s="7">
        <f t="shared" si="25"/>
        <v>9.135457625566069E-3</v>
      </c>
      <c r="S38" s="2"/>
      <c r="T38" s="6">
        <v>76310.320000000007</v>
      </c>
      <c r="U38" s="2"/>
      <c r="V38" s="7">
        <f t="shared" si="26"/>
        <v>7.540426476749032E-3</v>
      </c>
      <c r="W38" s="2"/>
      <c r="X38" s="6">
        <f t="shared" si="27"/>
        <v>6361.8499999999913</v>
      </c>
      <c r="Y38" s="2"/>
      <c r="Z38" s="7">
        <f t="shared" si="28"/>
        <v>8.3368147322668687E-2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31169.759999999998</v>
      </c>
      <c r="E39" s="2"/>
      <c r="F39" s="7">
        <f t="shared" si="21"/>
        <v>7.1676041115735734</v>
      </c>
      <c r="G39" s="2"/>
      <c r="H39" s="6">
        <v>33733.279999999999</v>
      </c>
      <c r="I39" s="2"/>
      <c r="J39" s="7">
        <f t="shared" si="22"/>
        <v>2.8083519074747591E-2</v>
      </c>
      <c r="K39" s="2"/>
      <c r="L39" s="6">
        <f t="shared" si="23"/>
        <v>-2563.5200000000004</v>
      </c>
      <c r="M39" s="2"/>
      <c r="N39" s="7">
        <f t="shared" si="24"/>
        <v>-7.5993796037622213E-2</v>
      </c>
      <c r="O39" s="11"/>
      <c r="P39" s="6">
        <v>395573.99</v>
      </c>
      <c r="Q39" s="2"/>
      <c r="R39" s="7">
        <f t="shared" si="25"/>
        <v>4.3711800759809447E-2</v>
      </c>
      <c r="S39" s="2"/>
      <c r="T39" s="6">
        <v>369105.73000000004</v>
      </c>
      <c r="U39" s="2"/>
      <c r="V39" s="7">
        <f t="shared" si="26"/>
        <v>3.6472322737105274E-2</v>
      </c>
      <c r="W39" s="2"/>
      <c r="X39" s="6">
        <f t="shared" si="27"/>
        <v>26468.259999999951</v>
      </c>
      <c r="Y39" s="2"/>
      <c r="Z39" s="7">
        <f t="shared" si="28"/>
        <v>7.1709154989276241E-2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60644.480000000003</v>
      </c>
      <c r="E40" s="2"/>
      <c r="F40" s="7">
        <f t="shared" si="21"/>
        <v>13.945427369098812</v>
      </c>
      <c r="G40" s="2"/>
      <c r="H40" s="6">
        <v>51422.07</v>
      </c>
      <c r="I40" s="2"/>
      <c r="J40" s="7">
        <f t="shared" si="22"/>
        <v>4.2809732220169698E-2</v>
      </c>
      <c r="K40" s="2"/>
      <c r="L40" s="6">
        <f t="shared" si="23"/>
        <v>9222.4100000000035</v>
      </c>
      <c r="M40" s="2"/>
      <c r="N40" s="7">
        <f t="shared" si="24"/>
        <v>0.17934731137816901</v>
      </c>
      <c r="O40" s="11"/>
      <c r="P40" s="6">
        <v>623031.21</v>
      </c>
      <c r="Q40" s="2"/>
      <c r="R40" s="7">
        <f t="shared" si="25"/>
        <v>6.8846326621886833E-2</v>
      </c>
      <c r="S40" s="2"/>
      <c r="T40" s="6">
        <v>554326.44999999995</v>
      </c>
      <c r="U40" s="2"/>
      <c r="V40" s="7">
        <f t="shared" si="26"/>
        <v>5.4774476641459471E-2</v>
      </c>
      <c r="W40" s="2"/>
      <c r="X40" s="6">
        <f t="shared" si="27"/>
        <v>68704.760000000009</v>
      </c>
      <c r="Y40" s="2"/>
      <c r="Z40" s="7">
        <f t="shared" si="28"/>
        <v>0.1239427777620931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36211.9</v>
      </c>
      <c r="I41" s="2"/>
      <c r="J41" s="7">
        <f t="shared" si="22"/>
        <v>3.014701162717804E-2</v>
      </c>
      <c r="K41" s="2"/>
      <c r="L41" s="6">
        <f t="shared" si="23"/>
        <v>-36211.9</v>
      </c>
      <c r="M41" s="2"/>
      <c r="N41" s="7">
        <f t="shared" si="24"/>
        <v>-1</v>
      </c>
      <c r="O41" s="11"/>
      <c r="P41" s="6">
        <v>393545.39999999997</v>
      </c>
      <c r="Q41" s="2"/>
      <c r="R41" s="7">
        <f t="shared" si="25"/>
        <v>4.3487637078311221E-2</v>
      </c>
      <c r="S41" s="2"/>
      <c r="T41" s="6">
        <v>375478.74000000005</v>
      </c>
      <c r="U41" s="2"/>
      <c r="V41" s="7">
        <f t="shared" si="26"/>
        <v>3.7102056871893156E-2</v>
      </c>
      <c r="W41" s="2"/>
      <c r="X41" s="6">
        <f t="shared" si="27"/>
        <v>18066.659999999916</v>
      </c>
      <c r="Y41" s="2"/>
      <c r="Z41" s="7">
        <f t="shared" si="28"/>
        <v>4.8116332764938742E-2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5349.85</v>
      </c>
      <c r="I42" s="2"/>
      <c r="J42" s="7">
        <f t="shared" si="22"/>
        <v>4.4538394879489462E-3</v>
      </c>
      <c r="K42" s="2"/>
      <c r="L42" s="6">
        <f t="shared" si="23"/>
        <v>-5349.85</v>
      </c>
      <c r="M42" s="2"/>
      <c r="N42" s="7">
        <f t="shared" si="24"/>
        <v>-1</v>
      </c>
      <c r="O42" s="11"/>
      <c r="P42" s="6">
        <v>34130.700000000004</v>
      </c>
      <c r="Q42" s="2"/>
      <c r="R42" s="7">
        <f t="shared" si="25"/>
        <v>3.7715178346099765E-3</v>
      </c>
      <c r="S42" s="2"/>
      <c r="T42" s="6">
        <v>25632.550000000003</v>
      </c>
      <c r="U42" s="2"/>
      <c r="V42" s="7">
        <f t="shared" si="26"/>
        <v>2.5328207074297865E-3</v>
      </c>
      <c r="W42" s="2"/>
      <c r="X42" s="6">
        <f t="shared" si="27"/>
        <v>8498.1500000000015</v>
      </c>
      <c r="Y42" s="2"/>
      <c r="Z42" s="7">
        <f t="shared" si="28"/>
        <v>0.3315374397006931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-11820</v>
      </c>
      <c r="E43" s="2"/>
      <c r="F43" s="7">
        <f t="shared" si="21"/>
        <v>-2.7180536712120866</v>
      </c>
      <c r="G43" s="2"/>
      <c r="H43" s="6">
        <v>70552.099999999991</v>
      </c>
      <c r="I43" s="2"/>
      <c r="J43" s="7">
        <f t="shared" si="22"/>
        <v>5.8735801739810044E-2</v>
      </c>
      <c r="K43" s="2"/>
      <c r="L43" s="6">
        <f t="shared" si="23"/>
        <v>-82372.099999999991</v>
      </c>
      <c r="M43" s="2"/>
      <c r="N43" s="7">
        <f t="shared" si="24"/>
        <v>-1.1675357643500335</v>
      </c>
      <c r="O43" s="11"/>
      <c r="P43" s="6">
        <v>767218.78</v>
      </c>
      <c r="Q43" s="2"/>
      <c r="R43" s="7">
        <f t="shared" si="25"/>
        <v>8.4779371996991204E-2</v>
      </c>
      <c r="S43" s="2"/>
      <c r="T43" s="6">
        <v>701118.74</v>
      </c>
      <c r="U43" s="2"/>
      <c r="V43" s="7">
        <f t="shared" si="26"/>
        <v>6.927941476907605E-2</v>
      </c>
      <c r="W43" s="2"/>
      <c r="X43" s="6">
        <f t="shared" si="27"/>
        <v>66100.040000000037</v>
      </c>
      <c r="Y43" s="2"/>
      <c r="Z43" s="7">
        <f t="shared" si="28"/>
        <v>9.4277953546071297E-2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19611</v>
      </c>
      <c r="I44" s="2"/>
      <c r="J44" s="7">
        <f t="shared" si="22"/>
        <v>1.6326485078678239E-2</v>
      </c>
      <c r="K44" s="2"/>
      <c r="L44" s="6">
        <f t="shared" si="23"/>
        <v>-19611</v>
      </c>
      <c r="M44" s="2"/>
      <c r="N44" s="7">
        <f t="shared" si="24"/>
        <v>-1</v>
      </c>
      <c r="O44" s="11"/>
      <c r="P44" s="6">
        <v>172451.69999999998</v>
      </c>
      <c r="Q44" s="2"/>
      <c r="R44" s="7">
        <f t="shared" si="25"/>
        <v>1.9056294250009789E-2</v>
      </c>
      <c r="S44" s="2"/>
      <c r="T44" s="6">
        <v>190085.44</v>
      </c>
      <c r="U44" s="2"/>
      <c r="V44" s="7">
        <f t="shared" si="26"/>
        <v>1.8782849876930005E-2</v>
      </c>
      <c r="W44" s="2"/>
      <c r="X44" s="6">
        <f t="shared" si="27"/>
        <v>-17633.74000000002</v>
      </c>
      <c r="Y44" s="2"/>
      <c r="Z44" s="7">
        <f t="shared" si="28"/>
        <v>-9.2767441840890183E-2</v>
      </c>
    </row>
    <row r="45" spans="1:26" s="25" customFormat="1" outlineLevel="1" collapsed="1" x14ac:dyDescent="0.25">
      <c r="A45" s="26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70" si="29">IF(D$12=0,0,D45/D$12)</f>
        <v>0</v>
      </c>
      <c r="G45" s="1"/>
      <c r="H45" s="1">
        <f>SUM(OSRRefH22_2x_0)</f>
        <v>212.09</v>
      </c>
      <c r="I45" s="1"/>
      <c r="J45" s="5">
        <f t="shared" ref="J45:J70" si="30">IF(H$12=0,0,H45/H$12)</f>
        <v>1.7656846771387831E-4</v>
      </c>
      <c r="K45" s="1"/>
      <c r="L45" s="1">
        <f t="shared" ref="L45:L70" si="31">+D45-H45</f>
        <v>-212.09</v>
      </c>
      <c r="M45" s="1"/>
      <c r="N45" s="5">
        <f t="shared" ref="N45:N70" si="32">IF(H45=0,0,L45/H45)</f>
        <v>-1</v>
      </c>
      <c r="O45" s="13"/>
      <c r="P45" s="1">
        <f>SUM(OSRRefP22_2x_0)</f>
        <v>8477.7099999999991</v>
      </c>
      <c r="Q45" s="1"/>
      <c r="R45" s="5">
        <f t="shared" ref="R45:R70" si="33">IF(P$12=0,0,P45/P$12)</f>
        <v>9.3680570459004167E-4</v>
      </c>
      <c r="S45" s="1"/>
      <c r="T45" s="1">
        <f>SUM(OSRRefT22_2x_0)</f>
        <v>13227.11</v>
      </c>
      <c r="U45" s="1"/>
      <c r="V45" s="5">
        <f t="shared" ref="V45:V70" si="34">IF(T$12=0,0,T45/T$12)</f>
        <v>1.307006057042768E-3</v>
      </c>
      <c r="W45" s="1"/>
      <c r="X45" s="1">
        <f t="shared" ref="X45:X70" si="35">+P45-T45</f>
        <v>-4749.4000000000015</v>
      </c>
      <c r="Y45" s="1"/>
      <c r="Z45" s="5">
        <f t="shared" ref="Z45:Z70" si="36">IF(T45=0,0,X45/T45)</f>
        <v>-0.35906558575531627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9"/>
        <v>0</v>
      </c>
      <c r="G46" s="2"/>
      <c r="H46" s="6">
        <v>212.09</v>
      </c>
      <c r="I46" s="2"/>
      <c r="J46" s="7">
        <f t="shared" si="30"/>
        <v>1.7656846771387831E-4</v>
      </c>
      <c r="K46" s="2"/>
      <c r="L46" s="6">
        <f t="shared" si="31"/>
        <v>-212.09</v>
      </c>
      <c r="M46" s="2"/>
      <c r="N46" s="7">
        <f t="shared" si="32"/>
        <v>-1</v>
      </c>
      <c r="O46" s="11"/>
      <c r="P46" s="6">
        <v>8477.7099999999991</v>
      </c>
      <c r="Q46" s="2"/>
      <c r="R46" s="7">
        <f t="shared" si="33"/>
        <v>9.3680570459004167E-4</v>
      </c>
      <c r="S46" s="2"/>
      <c r="T46" s="6">
        <v>13227.11</v>
      </c>
      <c r="U46" s="2"/>
      <c r="V46" s="7">
        <f t="shared" si="34"/>
        <v>1.307006057042768E-3</v>
      </c>
      <c r="W46" s="2"/>
      <c r="X46" s="6">
        <f t="shared" si="35"/>
        <v>-4749.4000000000015</v>
      </c>
      <c r="Y46" s="2"/>
      <c r="Z46" s="7">
        <f t="shared" si="36"/>
        <v>-0.35906558575531627</v>
      </c>
    </row>
    <row r="47" spans="1:26" s="25" customFormat="1" outlineLevel="1" collapsed="1" x14ac:dyDescent="0.25">
      <c r="A47" s="26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-0.67</v>
      </c>
      <c r="I47" s="1"/>
      <c r="J47" s="5">
        <f t="shared" si="30"/>
        <v>-5.5778619156159403E-7</v>
      </c>
      <c r="K47" s="1"/>
      <c r="L47" s="1">
        <f t="shared" si="31"/>
        <v>0.67</v>
      </c>
      <c r="M47" s="1"/>
      <c r="N47" s="5">
        <f t="shared" si="32"/>
        <v>-1</v>
      </c>
      <c r="O47" s="13"/>
      <c r="P47" s="1">
        <f>SUM(OSRRefP22_3x_0)</f>
        <v>63.55</v>
      </c>
      <c r="Q47" s="1"/>
      <c r="R47" s="5">
        <f t="shared" si="33"/>
        <v>7.0224155493284331E-6</v>
      </c>
      <c r="S47" s="1"/>
      <c r="T47" s="1">
        <f>SUM(OSRRefT22_3x_0)</f>
        <v>20.71</v>
      </c>
      <c r="U47" s="1"/>
      <c r="V47" s="5">
        <f t="shared" si="34"/>
        <v>2.0464103981410698E-6</v>
      </c>
      <c r="W47" s="1"/>
      <c r="X47" s="1">
        <f t="shared" si="35"/>
        <v>42.839999999999996</v>
      </c>
      <c r="Y47" s="1"/>
      <c r="Z47" s="5">
        <f t="shared" si="36"/>
        <v>2.0685659101883145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29"/>
        <v>0</v>
      </c>
      <c r="G48" s="2"/>
      <c r="H48" s="6">
        <v>-0.67</v>
      </c>
      <c r="I48" s="2"/>
      <c r="J48" s="7">
        <f t="shared" si="30"/>
        <v>-5.5778619156159403E-7</v>
      </c>
      <c r="K48" s="2"/>
      <c r="L48" s="6">
        <f t="shared" si="31"/>
        <v>0.67</v>
      </c>
      <c r="M48" s="2"/>
      <c r="N48" s="7">
        <f t="shared" si="32"/>
        <v>-1</v>
      </c>
      <c r="O48" s="11"/>
      <c r="P48" s="6">
        <v>63.55</v>
      </c>
      <c r="Q48" s="2"/>
      <c r="R48" s="7">
        <f t="shared" si="33"/>
        <v>7.0224155493284331E-6</v>
      </c>
      <c r="S48" s="2"/>
      <c r="T48" s="6">
        <v>20.71</v>
      </c>
      <c r="U48" s="2"/>
      <c r="V48" s="7">
        <f t="shared" si="34"/>
        <v>2.0464103981410698E-6</v>
      </c>
      <c r="W48" s="2"/>
      <c r="X48" s="6">
        <f t="shared" si="35"/>
        <v>42.839999999999996</v>
      </c>
      <c r="Y48" s="2"/>
      <c r="Z48" s="7">
        <f t="shared" si="36"/>
        <v>2.0685659101883145</v>
      </c>
    </row>
    <row r="49" spans="1:26" s="25" customFormat="1" outlineLevel="1" collapsed="1" x14ac:dyDescent="0.25">
      <c r="A49" s="26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0</v>
      </c>
      <c r="E49" s="1"/>
      <c r="F49" s="5">
        <f t="shared" si="29"/>
        <v>0</v>
      </c>
      <c r="G49" s="1"/>
      <c r="H49" s="1">
        <f>SUM(OSRRefH22_4x_0)</f>
        <v>315.82</v>
      </c>
      <c r="I49" s="1"/>
      <c r="J49" s="5">
        <f t="shared" si="30"/>
        <v>2.6292542540146661E-4</v>
      </c>
      <c r="K49" s="1"/>
      <c r="L49" s="1">
        <f t="shared" si="31"/>
        <v>-315.82</v>
      </c>
      <c r="M49" s="1"/>
      <c r="N49" s="5">
        <f t="shared" si="32"/>
        <v>-1</v>
      </c>
      <c r="O49" s="13"/>
      <c r="P49" s="1">
        <f>SUM(OSRRefP22_4x_0)</f>
        <v>3152.34</v>
      </c>
      <c r="Q49" s="1"/>
      <c r="R49" s="5">
        <f t="shared" si="33"/>
        <v>3.4834054182171509E-4</v>
      </c>
      <c r="S49" s="1"/>
      <c r="T49" s="1">
        <f>SUM(OSRRefT22_4x_0)</f>
        <v>3903.1</v>
      </c>
      <c r="U49" s="1"/>
      <c r="V49" s="5">
        <f t="shared" si="34"/>
        <v>3.8567573273705499E-4</v>
      </c>
      <c r="W49" s="1"/>
      <c r="X49" s="1">
        <f t="shared" si="35"/>
        <v>-750.75999999999976</v>
      </c>
      <c r="Y49" s="1"/>
      <c r="Z49" s="5">
        <f t="shared" si="36"/>
        <v>-0.19234967077451251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6"/>
      <c r="E50" s="2"/>
      <c r="F50" s="7">
        <f t="shared" si="29"/>
        <v>0</v>
      </c>
      <c r="G50" s="2"/>
      <c r="H50" s="6">
        <v>315.82</v>
      </c>
      <c r="I50" s="2"/>
      <c r="J50" s="7">
        <f t="shared" si="30"/>
        <v>2.6292542540146661E-4</v>
      </c>
      <c r="K50" s="2"/>
      <c r="L50" s="6">
        <f t="shared" si="31"/>
        <v>-315.82</v>
      </c>
      <c r="M50" s="2"/>
      <c r="N50" s="7">
        <f t="shared" si="32"/>
        <v>-1</v>
      </c>
      <c r="O50" s="11"/>
      <c r="P50" s="6">
        <v>3152.34</v>
      </c>
      <c r="Q50" s="2"/>
      <c r="R50" s="7">
        <f t="shared" si="33"/>
        <v>3.4834054182171509E-4</v>
      </c>
      <c r="S50" s="2"/>
      <c r="T50" s="6">
        <v>3903.1</v>
      </c>
      <c r="U50" s="2"/>
      <c r="V50" s="7">
        <f t="shared" si="34"/>
        <v>3.8567573273705499E-4</v>
      </c>
      <c r="W50" s="2"/>
      <c r="X50" s="6">
        <f t="shared" si="35"/>
        <v>-750.75999999999976</v>
      </c>
      <c r="Y50" s="2"/>
      <c r="Z50" s="7">
        <f t="shared" si="36"/>
        <v>-0.19234967077451251</v>
      </c>
    </row>
    <row r="51" spans="1:26" s="25" customFormat="1" outlineLevel="1" collapsed="1" x14ac:dyDescent="0.25">
      <c r="A51" s="26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213.02</v>
      </c>
      <c r="E51" s="1"/>
      <c r="F51" s="5">
        <f t="shared" si="29"/>
        <v>4.8984754064433055E-2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213.02</v>
      </c>
      <c r="M51" s="1"/>
      <c r="N51" s="5">
        <f t="shared" si="32"/>
        <v>0</v>
      </c>
      <c r="O51" s="13"/>
      <c r="P51" s="1">
        <f>SUM(OSRRefP22_5x_0)</f>
        <v>426.04</v>
      </c>
      <c r="Q51" s="1"/>
      <c r="R51" s="5">
        <f t="shared" si="33"/>
        <v>4.7078362244467128E-5</v>
      </c>
      <c r="S51" s="1"/>
      <c r="T51" s="1">
        <f>SUM(OSRRefT22_5x_0)</f>
        <v>0</v>
      </c>
      <c r="U51" s="1"/>
      <c r="V51" s="5">
        <f t="shared" si="34"/>
        <v>0</v>
      </c>
      <c r="W51" s="1"/>
      <c r="X51" s="1">
        <f t="shared" si="35"/>
        <v>426.04</v>
      </c>
      <c r="Y51" s="1"/>
      <c r="Z51" s="5">
        <f t="shared" si="36"/>
        <v>0</v>
      </c>
    </row>
    <row r="52" spans="1:26" s="24" customFormat="1" hidden="1" outlineLevel="2" x14ac:dyDescent="0.25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213.02</v>
      </c>
      <c r="E52" s="2"/>
      <c r="F52" s="7">
        <f t="shared" si="29"/>
        <v>4.8984754064433055E-2</v>
      </c>
      <c r="G52" s="2"/>
      <c r="H52" s="6"/>
      <c r="I52" s="2"/>
      <c r="J52" s="7">
        <f t="shared" si="30"/>
        <v>0</v>
      </c>
      <c r="K52" s="2"/>
      <c r="L52" s="6">
        <f t="shared" si="31"/>
        <v>213.02</v>
      </c>
      <c r="M52" s="2"/>
      <c r="N52" s="7">
        <f t="shared" si="32"/>
        <v>0</v>
      </c>
      <c r="O52" s="11"/>
      <c r="P52" s="6">
        <v>426.04</v>
      </c>
      <c r="Q52" s="2"/>
      <c r="R52" s="7">
        <f t="shared" si="33"/>
        <v>4.7078362244467128E-5</v>
      </c>
      <c r="S52" s="2"/>
      <c r="T52" s="6"/>
      <c r="U52" s="2"/>
      <c r="V52" s="7">
        <f t="shared" si="34"/>
        <v>0</v>
      </c>
      <c r="W52" s="2"/>
      <c r="X52" s="6">
        <f t="shared" si="35"/>
        <v>426.04</v>
      </c>
      <c r="Y52" s="2"/>
      <c r="Z52" s="7">
        <f t="shared" si="36"/>
        <v>0</v>
      </c>
    </row>
    <row r="53" spans="1:26" s="25" customFormat="1" outlineLevel="1" collapsed="1" x14ac:dyDescent="0.25">
      <c r="A53" s="26"/>
      <c r="B53" s="13" t="str">
        <f>CONCATENATE("     ","Donations                                         ")</f>
        <v xml:space="preserve">     Donations                                         </v>
      </c>
      <c r="C53" s="13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16536.649999999998</v>
      </c>
      <c r="I53" s="1"/>
      <c r="J53" s="5">
        <f t="shared" si="30"/>
        <v>1.3767037350279152E-2</v>
      </c>
      <c r="K53" s="1"/>
      <c r="L53" s="1">
        <f t="shared" si="31"/>
        <v>-16536.649999999998</v>
      </c>
      <c r="M53" s="1"/>
      <c r="N53" s="5">
        <f t="shared" si="32"/>
        <v>-1</v>
      </c>
      <c r="O53" s="13"/>
      <c r="P53" s="1">
        <f>SUM(OSRRefP22_6x_0)</f>
        <v>120143.85</v>
      </c>
      <c r="Q53" s="1"/>
      <c r="R53" s="5">
        <f t="shared" si="33"/>
        <v>1.3276161139200361E-2</v>
      </c>
      <c r="S53" s="1"/>
      <c r="T53" s="1">
        <f>SUM(OSRRefT22_6x_0)</f>
        <v>124861.68000000001</v>
      </c>
      <c r="U53" s="1"/>
      <c r="V53" s="5">
        <f t="shared" si="34"/>
        <v>1.2337915996202939E-2</v>
      </c>
      <c r="W53" s="1"/>
      <c r="X53" s="1">
        <f t="shared" si="35"/>
        <v>-4717.8300000000017</v>
      </c>
      <c r="Y53" s="1"/>
      <c r="Z53" s="5">
        <f t="shared" si="36"/>
        <v>-3.778445076183503E-2</v>
      </c>
    </row>
    <row r="54" spans="1:26" s="24" customFormat="1" hidden="1" outlineLevel="2" x14ac:dyDescent="0.25">
      <c r="A54" s="27"/>
      <c r="B54" s="11" t="str">
        <f>CONCATENATE("          ", "6399", " - ", "DONATION-ON CAMPUS")</f>
        <v xml:space="preserve">          6399 - DONATION-ON CAMPUS</v>
      </c>
      <c r="C54" s="11"/>
      <c r="D54" s="6"/>
      <c r="E54" s="2"/>
      <c r="F54" s="7">
        <f t="shared" si="29"/>
        <v>0</v>
      </c>
      <c r="G54" s="2"/>
      <c r="H54" s="6">
        <v>16536.649999999998</v>
      </c>
      <c r="I54" s="2"/>
      <c r="J54" s="7">
        <f t="shared" si="30"/>
        <v>1.3767037350279152E-2</v>
      </c>
      <c r="K54" s="2"/>
      <c r="L54" s="6">
        <f t="shared" si="31"/>
        <v>-16536.649999999998</v>
      </c>
      <c r="M54" s="2"/>
      <c r="N54" s="7">
        <f t="shared" si="32"/>
        <v>-1</v>
      </c>
      <c r="O54" s="11"/>
      <c r="P54" s="6">
        <v>120143.85</v>
      </c>
      <c r="Q54" s="2"/>
      <c r="R54" s="7">
        <f t="shared" si="33"/>
        <v>1.3276161139200361E-2</v>
      </c>
      <c r="S54" s="2"/>
      <c r="T54" s="6">
        <v>124861.68000000001</v>
      </c>
      <c r="U54" s="2"/>
      <c r="V54" s="7">
        <f t="shared" si="34"/>
        <v>1.2337915996202939E-2</v>
      </c>
      <c r="W54" s="2"/>
      <c r="X54" s="6">
        <f t="shared" si="35"/>
        <v>-4717.8300000000017</v>
      </c>
      <c r="Y54" s="2"/>
      <c r="Z54" s="7">
        <f t="shared" si="36"/>
        <v>-3.778445076183503E-2</v>
      </c>
    </row>
    <row r="55" spans="1:26" s="25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991.36</v>
      </c>
      <c r="I55" s="1"/>
      <c r="J55" s="5">
        <f t="shared" si="30"/>
        <v>8.2532375950224157E-4</v>
      </c>
      <c r="K55" s="1"/>
      <c r="L55" s="1">
        <f t="shared" si="31"/>
        <v>-991.36</v>
      </c>
      <c r="M55" s="1"/>
      <c r="N55" s="5">
        <f t="shared" si="32"/>
        <v>-1</v>
      </c>
      <c r="O55" s="13"/>
      <c r="P55" s="1">
        <f>SUM(OSRRefP22_7x_0)</f>
        <v>1798.43</v>
      </c>
      <c r="Q55" s="1"/>
      <c r="R55" s="5">
        <f t="shared" si="33"/>
        <v>1.9873049246858749E-4</v>
      </c>
      <c r="S55" s="1"/>
      <c r="T55" s="1">
        <f>SUM(OSRRefT22_7x_0)</f>
        <v>2348.46</v>
      </c>
      <c r="U55" s="1"/>
      <c r="V55" s="5">
        <f t="shared" si="34"/>
        <v>2.3205760326501095E-4</v>
      </c>
      <c r="W55" s="1"/>
      <c r="X55" s="1">
        <f t="shared" si="35"/>
        <v>-550.03</v>
      </c>
      <c r="Y55" s="1"/>
      <c r="Z55" s="5">
        <f t="shared" si="36"/>
        <v>-0.23420880066085858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29"/>
        <v>0</v>
      </c>
      <c r="G56" s="2"/>
      <c r="H56" s="6">
        <v>991.36</v>
      </c>
      <c r="I56" s="2"/>
      <c r="J56" s="7">
        <f t="shared" si="30"/>
        <v>8.2532375950224157E-4</v>
      </c>
      <c r="K56" s="2"/>
      <c r="L56" s="6">
        <f t="shared" si="31"/>
        <v>-991.36</v>
      </c>
      <c r="M56" s="2"/>
      <c r="N56" s="7">
        <f t="shared" si="32"/>
        <v>-1</v>
      </c>
      <c r="O56" s="11"/>
      <c r="P56" s="6">
        <v>1798.43</v>
      </c>
      <c r="Q56" s="2"/>
      <c r="R56" s="7">
        <f t="shared" si="33"/>
        <v>1.9873049246858749E-4</v>
      </c>
      <c r="S56" s="2"/>
      <c r="T56" s="6">
        <v>2348.46</v>
      </c>
      <c r="U56" s="2"/>
      <c r="V56" s="7">
        <f t="shared" si="34"/>
        <v>2.3205760326501095E-4</v>
      </c>
      <c r="W56" s="2"/>
      <c r="X56" s="6">
        <f t="shared" si="35"/>
        <v>-550.03</v>
      </c>
      <c r="Y56" s="2"/>
      <c r="Z56" s="7">
        <f t="shared" si="36"/>
        <v>-0.23420880066085858</v>
      </c>
    </row>
    <row r="57" spans="1:26" s="25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91.26</v>
      </c>
      <c r="E57" s="1"/>
      <c r="F57" s="5">
        <f t="shared" si="29"/>
        <v>2.0985581898038497E-2</v>
      </c>
      <c r="G57" s="1"/>
      <c r="H57" s="1">
        <f>SUM(OSRRefH22_8x_0)</f>
        <v>523.16999999999996</v>
      </c>
      <c r="I57" s="1"/>
      <c r="J57" s="5">
        <f t="shared" si="30"/>
        <v>4.3554776393922253E-4</v>
      </c>
      <c r="K57" s="1"/>
      <c r="L57" s="1">
        <f t="shared" si="31"/>
        <v>-431.90999999999997</v>
      </c>
      <c r="M57" s="1"/>
      <c r="N57" s="5">
        <f t="shared" si="32"/>
        <v>-0.82556339239635301</v>
      </c>
      <c r="O57" s="13"/>
      <c r="P57" s="1">
        <f>SUM(OSRRefP22_8x_0)</f>
        <v>4859.6000000000004</v>
      </c>
      <c r="Q57" s="1"/>
      <c r="R57" s="5">
        <f t="shared" si="33"/>
        <v>5.3699654765564846E-4</v>
      </c>
      <c r="S57" s="1"/>
      <c r="T57" s="1">
        <f>SUM(OSRRefT22_8x_0)</f>
        <v>4906.1099999999997</v>
      </c>
      <c r="U57" s="1"/>
      <c r="V57" s="5">
        <f t="shared" si="34"/>
        <v>4.8478582899197891E-4</v>
      </c>
      <c r="W57" s="1"/>
      <c r="X57" s="1">
        <f t="shared" si="35"/>
        <v>-46.509999999999309</v>
      </c>
      <c r="Y57" s="1"/>
      <c r="Z57" s="5">
        <f t="shared" si="36"/>
        <v>-9.4800157354807194E-3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6">
        <v>91.26</v>
      </c>
      <c r="E58" s="2"/>
      <c r="F58" s="7">
        <f t="shared" si="29"/>
        <v>2.0985581898038497E-2</v>
      </c>
      <c r="G58" s="2"/>
      <c r="H58" s="6">
        <v>523.16999999999996</v>
      </c>
      <c r="I58" s="2"/>
      <c r="J58" s="7">
        <f t="shared" si="30"/>
        <v>4.3554776393922253E-4</v>
      </c>
      <c r="K58" s="2"/>
      <c r="L58" s="6">
        <f t="shared" si="31"/>
        <v>-431.90999999999997</v>
      </c>
      <c r="M58" s="2"/>
      <c r="N58" s="7">
        <f t="shared" si="32"/>
        <v>-0.82556339239635301</v>
      </c>
      <c r="O58" s="11"/>
      <c r="P58" s="6">
        <v>4859.6000000000004</v>
      </c>
      <c r="Q58" s="2"/>
      <c r="R58" s="7">
        <f t="shared" si="33"/>
        <v>5.3699654765564846E-4</v>
      </c>
      <c r="S58" s="2"/>
      <c r="T58" s="6">
        <v>4906.1099999999997</v>
      </c>
      <c r="U58" s="2"/>
      <c r="V58" s="7">
        <f t="shared" si="34"/>
        <v>4.8478582899197891E-4</v>
      </c>
      <c r="W58" s="2"/>
      <c r="X58" s="6">
        <f t="shared" si="35"/>
        <v>-46.509999999999309</v>
      </c>
      <c r="Y58" s="2"/>
      <c r="Z58" s="7">
        <f t="shared" si="36"/>
        <v>-9.4800157354807194E-3</v>
      </c>
    </row>
    <row r="59" spans="1:26" s="25" customFormat="1" outlineLevel="1" collapsed="1" x14ac:dyDescent="0.25">
      <c r="A59" s="26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0</v>
      </c>
      <c r="E59" s="1"/>
      <c r="F59" s="5">
        <f t="shared" si="29"/>
        <v>0</v>
      </c>
      <c r="G59" s="1"/>
      <c r="H59" s="1">
        <f>SUM(OSRRefH22_9x_0)</f>
        <v>0</v>
      </c>
      <c r="I59" s="1"/>
      <c r="J59" s="5">
        <f t="shared" si="30"/>
        <v>0</v>
      </c>
      <c r="K59" s="1"/>
      <c r="L59" s="1">
        <f t="shared" si="31"/>
        <v>0</v>
      </c>
      <c r="M59" s="1"/>
      <c r="N59" s="5">
        <f t="shared" si="32"/>
        <v>0</v>
      </c>
      <c r="O59" s="13"/>
      <c r="P59" s="1">
        <f>SUM(OSRRefP22_9x_0)</f>
        <v>0</v>
      </c>
      <c r="Q59" s="1"/>
      <c r="R59" s="5">
        <f t="shared" si="33"/>
        <v>0</v>
      </c>
      <c r="S59" s="1"/>
      <c r="T59" s="1">
        <f>SUM(OSRRefT22_9x_0)</f>
        <v>7.4</v>
      </c>
      <c r="U59" s="1"/>
      <c r="V59" s="5">
        <f t="shared" si="34"/>
        <v>7.3121375887223156E-7</v>
      </c>
      <c r="W59" s="1"/>
      <c r="X59" s="1">
        <f t="shared" si="35"/>
        <v>-7.4</v>
      </c>
      <c r="Y59" s="1"/>
      <c r="Z59" s="5">
        <f t="shared" si="36"/>
        <v>-1</v>
      </c>
    </row>
    <row r="60" spans="1:26" s="24" customFormat="1" hidden="1" outlineLevel="2" x14ac:dyDescent="0.25">
      <c r="A60" s="27"/>
      <c r="B60" s="11" t="str">
        <f>CONCATENATE("          ", "6307", " - ", "POSTAGE")</f>
        <v xml:space="preserve">          6307 - POSTAGE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/>
      <c r="Q60" s="2"/>
      <c r="R60" s="7">
        <f t="shared" si="33"/>
        <v>0</v>
      </c>
      <c r="S60" s="2"/>
      <c r="T60" s="6">
        <v>7.4</v>
      </c>
      <c r="U60" s="2"/>
      <c r="V60" s="7">
        <f t="shared" si="34"/>
        <v>7.3121375887223156E-7</v>
      </c>
      <c r="W60" s="2"/>
      <c r="X60" s="6">
        <f t="shared" si="35"/>
        <v>-7.4</v>
      </c>
      <c r="Y60" s="2"/>
      <c r="Z60" s="7">
        <f t="shared" si="36"/>
        <v>-1</v>
      </c>
    </row>
    <row r="61" spans="1:26" s="25" customFormat="1" outlineLevel="1" collapsed="1" x14ac:dyDescent="0.25">
      <c r="A61" s="26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SUM(OSRRefD22_10x_0)</f>
        <v>87</v>
      </c>
      <c r="E61" s="1"/>
      <c r="F61" s="5">
        <f t="shared" si="29"/>
        <v>2.0005978798261551E-2</v>
      </c>
      <c r="G61" s="1"/>
      <c r="H61" s="1">
        <f>SUM(OSRRefH22_10x_0)</f>
        <v>313.48</v>
      </c>
      <c r="I61" s="1"/>
      <c r="J61" s="5">
        <f t="shared" si="30"/>
        <v>2.6097733631452014E-4</v>
      </c>
      <c r="K61" s="1"/>
      <c r="L61" s="1">
        <f t="shared" si="31"/>
        <v>-226.48000000000002</v>
      </c>
      <c r="M61" s="1"/>
      <c r="N61" s="5">
        <f t="shared" si="32"/>
        <v>-0.72247033303560038</v>
      </c>
      <c r="O61" s="13"/>
      <c r="P61" s="1">
        <f>SUM(OSRRefP22_10x_0)</f>
        <v>9014.11</v>
      </c>
      <c r="Q61" s="1"/>
      <c r="R61" s="5">
        <f t="shared" si="33"/>
        <v>9.9607909091041589E-4</v>
      </c>
      <c r="S61" s="1"/>
      <c r="T61" s="1">
        <f>SUM(OSRRefT22_10x_0)</f>
        <v>9959.69</v>
      </c>
      <c r="U61" s="1"/>
      <c r="V61" s="5">
        <f t="shared" si="34"/>
        <v>9.8414356244624001E-4</v>
      </c>
      <c r="W61" s="1"/>
      <c r="X61" s="1">
        <f t="shared" si="35"/>
        <v>-945.57999999999993</v>
      </c>
      <c r="Y61" s="1"/>
      <c r="Z61" s="5">
        <f t="shared" si="36"/>
        <v>-9.4940705985828863E-2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6">
        <v>87</v>
      </c>
      <c r="E62" s="2"/>
      <c r="F62" s="7">
        <f t="shared" si="29"/>
        <v>2.0005978798261551E-2</v>
      </c>
      <c r="G62" s="2"/>
      <c r="H62" s="6">
        <v>313.48</v>
      </c>
      <c r="I62" s="2"/>
      <c r="J62" s="7">
        <f t="shared" si="30"/>
        <v>2.6097733631452014E-4</v>
      </c>
      <c r="K62" s="2"/>
      <c r="L62" s="6">
        <f t="shared" si="31"/>
        <v>-226.48000000000002</v>
      </c>
      <c r="M62" s="2"/>
      <c r="N62" s="7">
        <f t="shared" si="32"/>
        <v>-0.72247033303560038</v>
      </c>
      <c r="O62" s="11"/>
      <c r="P62" s="6">
        <v>9014.11</v>
      </c>
      <c r="Q62" s="2"/>
      <c r="R62" s="7">
        <f t="shared" si="33"/>
        <v>9.9607909091041589E-4</v>
      </c>
      <c r="S62" s="2"/>
      <c r="T62" s="6">
        <v>9959.69</v>
      </c>
      <c r="U62" s="2"/>
      <c r="V62" s="7">
        <f t="shared" si="34"/>
        <v>9.8414356244624001E-4</v>
      </c>
      <c r="W62" s="2"/>
      <c r="X62" s="6">
        <f t="shared" si="35"/>
        <v>-945.57999999999993</v>
      </c>
      <c r="Y62" s="2"/>
      <c r="Z62" s="7">
        <f t="shared" si="36"/>
        <v>-9.4940705985828863E-2</v>
      </c>
    </row>
    <row r="63" spans="1:26" s="25" customFormat="1" outlineLevel="1" collapsed="1" x14ac:dyDescent="0.25">
      <c r="A63" s="26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SUM(OSRRefD22_11x_0)</f>
        <v>5.9</v>
      </c>
      <c r="E63" s="1"/>
      <c r="F63" s="5">
        <f t="shared" si="29"/>
        <v>1.3567272978131397E-3</v>
      </c>
      <c r="G63" s="1"/>
      <c r="H63" s="1">
        <f>SUM(OSRRefH22_11x_0)</f>
        <v>4.93</v>
      </c>
      <c r="I63" s="1"/>
      <c r="J63" s="5">
        <f t="shared" si="30"/>
        <v>4.1043073498487441E-6</v>
      </c>
      <c r="K63" s="1"/>
      <c r="L63" s="1">
        <f t="shared" si="31"/>
        <v>0.97000000000000064</v>
      </c>
      <c r="M63" s="1"/>
      <c r="N63" s="5">
        <f t="shared" si="32"/>
        <v>0.19675456389452348</v>
      </c>
      <c r="O63" s="13"/>
      <c r="P63" s="1">
        <f>SUM(OSRRefP22_11x_0)</f>
        <v>59</v>
      </c>
      <c r="Q63" s="1"/>
      <c r="R63" s="5">
        <f t="shared" si="33"/>
        <v>6.5196304863946115E-6</v>
      </c>
      <c r="S63" s="1"/>
      <c r="T63" s="1">
        <f>SUM(OSRRefT22_11x_0)</f>
        <v>49.3</v>
      </c>
      <c r="U63" s="1"/>
      <c r="V63" s="5">
        <f t="shared" si="34"/>
        <v>4.8714646368109476E-6</v>
      </c>
      <c r="W63" s="1"/>
      <c r="X63" s="1">
        <f t="shared" si="35"/>
        <v>9.7000000000000028</v>
      </c>
      <c r="Y63" s="1"/>
      <c r="Z63" s="5">
        <f t="shared" si="36"/>
        <v>0.19675456389452339</v>
      </c>
    </row>
    <row r="64" spans="1:26" s="24" customFormat="1" hidden="1" outlineLevel="2" x14ac:dyDescent="0.25">
      <c r="A64" s="27"/>
      <c r="B64" s="11" t="str">
        <f>CONCATENATE("          ", "6314", " - ", "LIABILITY INSURANCE")</f>
        <v xml:space="preserve">          6314 - LIABILITY INSURANCE</v>
      </c>
      <c r="C64" s="11"/>
      <c r="D64" s="6">
        <v>5.9</v>
      </c>
      <c r="E64" s="2"/>
      <c r="F64" s="7">
        <f t="shared" si="29"/>
        <v>1.3567272978131397E-3</v>
      </c>
      <c r="G64" s="2"/>
      <c r="H64" s="6">
        <v>4.93</v>
      </c>
      <c r="I64" s="2"/>
      <c r="J64" s="7">
        <f t="shared" si="30"/>
        <v>4.1043073498487441E-6</v>
      </c>
      <c r="K64" s="2"/>
      <c r="L64" s="6">
        <f t="shared" si="31"/>
        <v>0.97000000000000064</v>
      </c>
      <c r="M64" s="2"/>
      <c r="N64" s="7">
        <f t="shared" si="32"/>
        <v>0.19675456389452348</v>
      </c>
      <c r="O64" s="11"/>
      <c r="P64" s="6">
        <v>59</v>
      </c>
      <c r="Q64" s="2"/>
      <c r="R64" s="7">
        <f t="shared" si="33"/>
        <v>6.5196304863946115E-6</v>
      </c>
      <c r="S64" s="2"/>
      <c r="T64" s="6">
        <v>49.3</v>
      </c>
      <c r="U64" s="2"/>
      <c r="V64" s="7">
        <f t="shared" si="34"/>
        <v>4.8714646368109476E-6</v>
      </c>
      <c r="W64" s="2"/>
      <c r="X64" s="6">
        <f t="shared" si="35"/>
        <v>9.7000000000000028</v>
      </c>
      <c r="Y64" s="2"/>
      <c r="Z64" s="7">
        <f t="shared" si="36"/>
        <v>0.19675456389452339</v>
      </c>
    </row>
    <row r="65" spans="1:26" s="25" customFormat="1" outlineLevel="1" collapsed="1" x14ac:dyDescent="0.25">
      <c r="A65" s="26"/>
      <c r="B65" s="13" t="str">
        <f>CONCATENATE("     ","R/H Commissions                                   ")</f>
        <v xml:space="preserve">     R/H Commissions                                   </v>
      </c>
      <c r="C65" s="13"/>
      <c r="D65" s="1">
        <f>SUM(OSRRefD22_12x_0)</f>
        <v>3314.86</v>
      </c>
      <c r="E65" s="1"/>
      <c r="F65" s="5">
        <f t="shared" si="29"/>
        <v>0.76226458481845161</v>
      </c>
      <c r="G65" s="1"/>
      <c r="H65" s="1">
        <f>SUM(OSRRefH22_12x_0)</f>
        <v>94771.23</v>
      </c>
      <c r="I65" s="1"/>
      <c r="J65" s="5">
        <f t="shared" si="30"/>
        <v>7.889863201687744E-2</v>
      </c>
      <c r="K65" s="1"/>
      <c r="L65" s="1">
        <f t="shared" si="31"/>
        <v>-91456.37</v>
      </c>
      <c r="M65" s="1"/>
      <c r="N65" s="5">
        <f t="shared" si="32"/>
        <v>-0.9650225073579819</v>
      </c>
      <c r="O65" s="13"/>
      <c r="P65" s="1">
        <f>SUM(OSRRefP22_12x_0)</f>
        <v>705863.29</v>
      </c>
      <c r="Q65" s="1"/>
      <c r="R65" s="5">
        <f t="shared" si="33"/>
        <v>7.7999454656115269E-2</v>
      </c>
      <c r="S65" s="1"/>
      <c r="T65" s="1">
        <f>SUM(OSRRefT22_12x_0)</f>
        <v>788999.4</v>
      </c>
      <c r="U65" s="1"/>
      <c r="V65" s="5">
        <f t="shared" si="34"/>
        <v>7.7963137435396679E-2</v>
      </c>
      <c r="W65" s="1"/>
      <c r="X65" s="1">
        <f t="shared" si="35"/>
        <v>-83136.109999999986</v>
      </c>
      <c r="Y65" s="1"/>
      <c r="Z65" s="5">
        <f t="shared" si="36"/>
        <v>-0.10536904083830734</v>
      </c>
    </row>
    <row r="66" spans="1:26" s="24" customFormat="1" hidden="1" outlineLevel="2" x14ac:dyDescent="0.25">
      <c r="A66" s="27"/>
      <c r="B66" s="11" t="str">
        <f>CONCATENATE("          ", "6387", " - ", "COMMISSION DUE HOUSING")</f>
        <v xml:space="preserve">          6387 - COMMISSION DUE HOUSING</v>
      </c>
      <c r="C66" s="11"/>
      <c r="D66" s="6">
        <v>3314.86</v>
      </c>
      <c r="E66" s="2"/>
      <c r="F66" s="7">
        <f t="shared" si="29"/>
        <v>0.76226458481845161</v>
      </c>
      <c r="G66" s="2"/>
      <c r="H66" s="6">
        <v>94771.23</v>
      </c>
      <c r="I66" s="2"/>
      <c r="J66" s="7">
        <f t="shared" si="30"/>
        <v>7.889863201687744E-2</v>
      </c>
      <c r="K66" s="2"/>
      <c r="L66" s="6">
        <f t="shared" si="31"/>
        <v>-91456.37</v>
      </c>
      <c r="M66" s="2"/>
      <c r="N66" s="7">
        <f t="shared" si="32"/>
        <v>-0.9650225073579819</v>
      </c>
      <c r="O66" s="11"/>
      <c r="P66" s="6">
        <v>705863.29</v>
      </c>
      <c r="Q66" s="2"/>
      <c r="R66" s="7">
        <f t="shared" si="33"/>
        <v>7.7999454656115269E-2</v>
      </c>
      <c r="S66" s="2"/>
      <c r="T66" s="6">
        <v>788999.4</v>
      </c>
      <c r="U66" s="2"/>
      <c r="V66" s="7">
        <f t="shared" si="34"/>
        <v>7.7963137435396679E-2</v>
      </c>
      <c r="W66" s="2"/>
      <c r="X66" s="6">
        <f t="shared" si="35"/>
        <v>-83136.109999999986</v>
      </c>
      <c r="Y66" s="2"/>
      <c r="Z66" s="7">
        <f t="shared" si="36"/>
        <v>-0.10536904083830734</v>
      </c>
    </row>
    <row r="67" spans="1:26" s="25" customFormat="1" outlineLevel="1" collapsed="1" x14ac:dyDescent="0.25">
      <c r="A67" s="26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SUM(OSRRefD22_13x_0)</f>
        <v>51.62</v>
      </c>
      <c r="E67" s="1"/>
      <c r="F67" s="5">
        <f t="shared" si="29"/>
        <v>1.187021408696852E-2</v>
      </c>
      <c r="G67" s="1"/>
      <c r="H67" s="1">
        <f>SUM(OSRRefH22_13x_0)</f>
        <v>242.78</v>
      </c>
      <c r="I67" s="1"/>
      <c r="J67" s="5">
        <f t="shared" si="30"/>
        <v>2.0211840535421462E-4</v>
      </c>
      <c r="K67" s="1"/>
      <c r="L67" s="1">
        <f t="shared" si="31"/>
        <v>-191.16</v>
      </c>
      <c r="M67" s="1"/>
      <c r="N67" s="5">
        <f t="shared" si="32"/>
        <v>-0.78737952055358762</v>
      </c>
      <c r="O67" s="13"/>
      <c r="P67" s="1">
        <f>SUM(OSRRefP22_13x_0)</f>
        <v>64845.020000000011</v>
      </c>
      <c r="Q67" s="1"/>
      <c r="R67" s="5">
        <f t="shared" si="33"/>
        <v>7.1655181234384479E-3</v>
      </c>
      <c r="S67" s="1"/>
      <c r="T67" s="1">
        <f>SUM(OSRRefT22_13x_0)</f>
        <v>13583.9</v>
      </c>
      <c r="U67" s="1"/>
      <c r="V67" s="5">
        <f t="shared" si="34"/>
        <v>1.3422614296141225E-3</v>
      </c>
      <c r="W67" s="1"/>
      <c r="X67" s="1">
        <f t="shared" si="35"/>
        <v>51261.12000000001</v>
      </c>
      <c r="Y67" s="1"/>
      <c r="Z67" s="5">
        <f t="shared" si="36"/>
        <v>3.7736673562084535</v>
      </c>
    </row>
    <row r="68" spans="1:26" s="24" customFormat="1" hidden="1" outlineLevel="2" x14ac:dyDescent="0.25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29"/>
        <v>0</v>
      </c>
      <c r="G68" s="2"/>
      <c r="H68" s="6"/>
      <c r="I68" s="2"/>
      <c r="J68" s="7">
        <f t="shared" si="30"/>
        <v>0</v>
      </c>
      <c r="K68" s="2"/>
      <c r="L68" s="6">
        <f t="shared" si="31"/>
        <v>0</v>
      </c>
      <c r="M68" s="2"/>
      <c r="N68" s="7">
        <f t="shared" si="32"/>
        <v>0</v>
      </c>
      <c r="O68" s="11"/>
      <c r="P68" s="6">
        <v>63062.930000000008</v>
      </c>
      <c r="Q68" s="2"/>
      <c r="R68" s="7">
        <f t="shared" si="33"/>
        <v>6.968593237107956E-3</v>
      </c>
      <c r="S68" s="2"/>
      <c r="T68" s="6">
        <v>10358.120000000001</v>
      </c>
      <c r="U68" s="2"/>
      <c r="V68" s="7">
        <f t="shared" si="34"/>
        <v>1.0235134946013026E-3</v>
      </c>
      <c r="W68" s="2"/>
      <c r="X68" s="6">
        <f t="shared" si="35"/>
        <v>52704.810000000005</v>
      </c>
      <c r="Y68" s="2"/>
      <c r="Z68" s="7">
        <f t="shared" si="36"/>
        <v>5.0882602248284439</v>
      </c>
    </row>
    <row r="69" spans="1:26" s="24" customFormat="1" hidden="1" outlineLevel="2" x14ac:dyDescent="0.25">
      <c r="A69" s="27"/>
      <c r="B69" s="11" t="str">
        <f>CONCATENATE("          ", "6373", " - ", "MAINTENANCE CONTRACTS")</f>
        <v xml:space="preserve">          6373 - MAINTENANCE CONTRACTS</v>
      </c>
      <c r="C69" s="11"/>
      <c r="D69" s="6">
        <v>1.62</v>
      </c>
      <c r="E69" s="2"/>
      <c r="F69" s="7">
        <f t="shared" si="29"/>
        <v>3.7252512245038752E-4</v>
      </c>
      <c r="G69" s="2"/>
      <c r="H69" s="6">
        <v>7.06</v>
      </c>
      <c r="I69" s="2"/>
      <c r="J69" s="7">
        <f t="shared" si="30"/>
        <v>5.8775679289923186E-6</v>
      </c>
      <c r="K69" s="2"/>
      <c r="L69" s="6">
        <f t="shared" si="31"/>
        <v>-5.4399999999999995</v>
      </c>
      <c r="M69" s="2"/>
      <c r="N69" s="7">
        <f t="shared" si="32"/>
        <v>-0.77053824362606227</v>
      </c>
      <c r="O69" s="11"/>
      <c r="P69" s="6">
        <v>722.9</v>
      </c>
      <c r="Q69" s="2"/>
      <c r="R69" s="7">
        <f t="shared" si="33"/>
        <v>7.9882048790079065E-5</v>
      </c>
      <c r="S69" s="2"/>
      <c r="T69" s="6">
        <v>708.3</v>
      </c>
      <c r="U69" s="2"/>
      <c r="V69" s="7">
        <f t="shared" si="34"/>
        <v>6.9989014244486704E-5</v>
      </c>
      <c r="W69" s="2"/>
      <c r="X69" s="6">
        <f t="shared" si="35"/>
        <v>14.600000000000023</v>
      </c>
      <c r="Y69" s="2"/>
      <c r="Z69" s="7">
        <f t="shared" si="36"/>
        <v>2.0612734716927889E-2</v>
      </c>
    </row>
    <row r="70" spans="1:26" s="24" customFormat="1" hidden="1" outlineLevel="2" x14ac:dyDescent="0.25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50</v>
      </c>
      <c r="E70" s="2"/>
      <c r="F70" s="7">
        <f t="shared" si="29"/>
        <v>1.1497688964518133E-2</v>
      </c>
      <c r="G70" s="2"/>
      <c r="H70" s="6">
        <v>235.72</v>
      </c>
      <c r="I70" s="2"/>
      <c r="J70" s="7">
        <f t="shared" si="30"/>
        <v>1.962408374252223E-4</v>
      </c>
      <c r="K70" s="2"/>
      <c r="L70" s="6">
        <f t="shared" si="31"/>
        <v>-185.72</v>
      </c>
      <c r="M70" s="2"/>
      <c r="N70" s="7">
        <f t="shared" si="32"/>
        <v>-0.78788393008654334</v>
      </c>
      <c r="O70" s="11"/>
      <c r="P70" s="6">
        <v>1059.19</v>
      </c>
      <c r="Q70" s="2"/>
      <c r="R70" s="7">
        <f t="shared" si="33"/>
        <v>1.1704283754041202E-4</v>
      </c>
      <c r="S70" s="2"/>
      <c r="T70" s="6">
        <v>2517.48</v>
      </c>
      <c r="U70" s="2"/>
      <c r="V70" s="7">
        <f t="shared" si="34"/>
        <v>2.4875892076833318E-4</v>
      </c>
      <c r="W70" s="2"/>
      <c r="X70" s="6">
        <f t="shared" si="35"/>
        <v>-1458.29</v>
      </c>
      <c r="Y70" s="2"/>
      <c r="Z70" s="7">
        <f t="shared" si="36"/>
        <v>-0.57926577371021815</v>
      </c>
    </row>
    <row r="71" spans="1:26" s="25" customFormat="1" outlineLevel="1" collapsed="1" x14ac:dyDescent="0.25">
      <c r="A71" s="26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SUM(OSRRefD22_14x_0)</f>
        <v>4900.3499999999995</v>
      </c>
      <c r="E71" s="1"/>
      <c r="F71" s="5">
        <f t="shared" ref="F71:F74" si="37">IF(D$12=0,0,D71/D$12)</f>
        <v>1.1268540023455285</v>
      </c>
      <c r="G71" s="1"/>
      <c r="H71" s="1">
        <f>SUM(OSRRefH22_14x_0)</f>
        <v>17759.55</v>
      </c>
      <c r="I71" s="1"/>
      <c r="J71" s="5">
        <f t="shared" ref="J71:J74" si="38">IF(H$12=0,0,H71/H$12)</f>
        <v>1.4785122027384636E-2</v>
      </c>
      <c r="K71" s="1"/>
      <c r="L71" s="1">
        <f t="shared" ref="L71:L74" si="39">+D71-H71</f>
        <v>-12859.2</v>
      </c>
      <c r="M71" s="1"/>
      <c r="N71" s="5">
        <f t="shared" ref="N71:N74" si="40">IF(H71=0,0,L71/H71)</f>
        <v>-0.72407240048312038</v>
      </c>
      <c r="O71" s="13"/>
      <c r="P71" s="1">
        <f>SUM(OSRRefP22_14x_0)</f>
        <v>175863.81</v>
      </c>
      <c r="Q71" s="1"/>
      <c r="R71" s="5">
        <f t="shared" ref="R71:R74" si="41">IF(P$12=0,0,P71/P$12)</f>
        <v>1.943333995134762E-2</v>
      </c>
      <c r="S71" s="1"/>
      <c r="T71" s="1">
        <f>SUM(OSRRefT22_14x_0)</f>
        <v>159674.85999999999</v>
      </c>
      <c r="U71" s="1"/>
      <c r="V71" s="5">
        <f t="shared" ref="V71:V74" si="42">IF(T$12=0,0,T71/T$12)</f>
        <v>1.5777899267296936E-2</v>
      </c>
      <c r="W71" s="1"/>
      <c r="X71" s="1">
        <f t="shared" ref="X71:X74" si="43">+P71-T71</f>
        <v>16188.950000000012</v>
      </c>
      <c r="Y71" s="1"/>
      <c r="Z71" s="5">
        <f t="shared" ref="Z71:Z74" si="44">IF(T71=0,0,X71/T71)</f>
        <v>0.10138696849334963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1580.07</v>
      </c>
      <c r="E72" s="2"/>
      <c r="F72" s="7">
        <f t="shared" si="37"/>
        <v>0.36334306804332328</v>
      </c>
      <c r="G72" s="2"/>
      <c r="H72" s="6">
        <v>1508.3</v>
      </c>
      <c r="I72" s="2"/>
      <c r="J72" s="7">
        <f t="shared" si="38"/>
        <v>1.255684944376645E-3</v>
      </c>
      <c r="K72" s="2"/>
      <c r="L72" s="6">
        <f t="shared" si="39"/>
        <v>71.769999999999982</v>
      </c>
      <c r="M72" s="2"/>
      <c r="N72" s="7">
        <f t="shared" si="40"/>
        <v>4.7583372008221166E-2</v>
      </c>
      <c r="O72" s="11"/>
      <c r="P72" s="6">
        <v>16861.3</v>
      </c>
      <c r="Q72" s="2"/>
      <c r="R72" s="7">
        <f t="shared" si="41"/>
        <v>1.8632109410211095E-3</v>
      </c>
      <c r="S72" s="2"/>
      <c r="T72" s="6">
        <v>13738.82</v>
      </c>
      <c r="U72" s="2"/>
      <c r="V72" s="7">
        <f t="shared" si="42"/>
        <v>1.3575694884687827E-3</v>
      </c>
      <c r="W72" s="2"/>
      <c r="X72" s="6">
        <f t="shared" si="43"/>
        <v>3122.4799999999996</v>
      </c>
      <c r="Y72" s="2"/>
      <c r="Z72" s="7">
        <f t="shared" si="44"/>
        <v>0.22727424917132619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2411.5</v>
      </c>
      <c r="E73" s="2"/>
      <c r="F73" s="7">
        <f t="shared" si="37"/>
        <v>0.55453353875870948</v>
      </c>
      <c r="G73" s="2"/>
      <c r="H73" s="6">
        <v>11457.01</v>
      </c>
      <c r="I73" s="2"/>
      <c r="J73" s="7">
        <f t="shared" si="38"/>
        <v>9.5381522008702955E-3</v>
      </c>
      <c r="K73" s="2"/>
      <c r="L73" s="6">
        <f t="shared" si="39"/>
        <v>-9045.51</v>
      </c>
      <c r="M73" s="2"/>
      <c r="N73" s="7">
        <f t="shared" si="40"/>
        <v>-0.78951750936762732</v>
      </c>
      <c r="O73" s="11"/>
      <c r="P73" s="6">
        <v>117464.51999999999</v>
      </c>
      <c r="Q73" s="2"/>
      <c r="R73" s="7">
        <f t="shared" si="41"/>
        <v>1.2980089248503551E-2</v>
      </c>
      <c r="S73" s="2"/>
      <c r="T73" s="6">
        <v>107402.37000000001</v>
      </c>
      <c r="U73" s="2"/>
      <c r="V73" s="7">
        <f t="shared" si="42"/>
        <v>1.0612714956687325E-2</v>
      </c>
      <c r="W73" s="2"/>
      <c r="X73" s="6">
        <f t="shared" si="43"/>
        <v>10062.14999999998</v>
      </c>
      <c r="Y73" s="2"/>
      <c r="Z73" s="7">
        <f t="shared" si="44"/>
        <v>9.3686480102813177E-2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6">
        <v>908.78</v>
      </c>
      <c r="E74" s="2"/>
      <c r="F74" s="7">
        <f t="shared" si="37"/>
        <v>0.20897739554349576</v>
      </c>
      <c r="G74" s="2"/>
      <c r="H74" s="6">
        <v>4794.24</v>
      </c>
      <c r="I74" s="2"/>
      <c r="J74" s="7">
        <f t="shared" si="38"/>
        <v>3.9912848821376957E-3</v>
      </c>
      <c r="K74" s="2"/>
      <c r="L74" s="6">
        <f t="shared" si="39"/>
        <v>-3885.46</v>
      </c>
      <c r="M74" s="2"/>
      <c r="N74" s="7">
        <f t="shared" si="40"/>
        <v>-0.81044336537177952</v>
      </c>
      <c r="O74" s="11"/>
      <c r="P74" s="6">
        <v>41537.990000000005</v>
      </c>
      <c r="Q74" s="2"/>
      <c r="R74" s="7">
        <f t="shared" si="41"/>
        <v>4.5900397618229586E-3</v>
      </c>
      <c r="S74" s="2"/>
      <c r="T74" s="6">
        <v>38533.67</v>
      </c>
      <c r="U74" s="2"/>
      <c r="V74" s="7">
        <f t="shared" si="42"/>
        <v>3.8076148221408302E-3</v>
      </c>
      <c r="W74" s="2"/>
      <c r="X74" s="6">
        <f t="shared" si="43"/>
        <v>3004.320000000007</v>
      </c>
      <c r="Y74" s="2"/>
      <c r="Z74" s="7">
        <f t="shared" si="44"/>
        <v>7.7966100815209327E-2</v>
      </c>
    </row>
    <row r="75" spans="1:26" s="25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SUM(OSRRefD22_15x_0)</f>
        <v>3354.2799999999997</v>
      </c>
      <c r="E75" s="1"/>
      <c r="F75" s="5">
        <f t="shared" ref="F75:F83" si="45">IF(D$12=0,0,D75/D$12)</f>
        <v>0.77132936279807751</v>
      </c>
      <c r="G75" s="1"/>
      <c r="H75" s="1">
        <f>SUM(OSRRefH22_15x_0)</f>
        <v>21163.08</v>
      </c>
      <c r="I75" s="1"/>
      <c r="J75" s="5">
        <f t="shared" ref="J75:J83" si="46">IF(H$12=0,0,H75/H$12)</f>
        <v>1.7618617604348269E-2</v>
      </c>
      <c r="K75" s="1"/>
      <c r="L75" s="1">
        <f t="shared" ref="L75:L83" si="47">+D75-H75</f>
        <v>-17808.800000000003</v>
      </c>
      <c r="M75" s="1"/>
      <c r="N75" s="5">
        <f t="shared" ref="N75:N83" si="48">IF(H75=0,0,L75/H75)</f>
        <v>-0.84150322164826674</v>
      </c>
      <c r="O75" s="13"/>
      <c r="P75" s="1">
        <f>SUM(OSRRefP22_15x_0)</f>
        <v>189014.47</v>
      </c>
      <c r="Q75" s="1"/>
      <c r="R75" s="5">
        <f t="shared" ref="R75:R83" si="49">IF(P$12=0,0,P75/P$12)</f>
        <v>2.088651696579186E-2</v>
      </c>
      <c r="S75" s="1"/>
      <c r="T75" s="1">
        <f>SUM(OSRRefT22_15x_0)</f>
        <v>210555.7</v>
      </c>
      <c r="U75" s="1"/>
      <c r="V75" s="5">
        <f t="shared" ref="V75:V83" si="50">IF(T$12=0,0,T75/T$12)</f>
        <v>2.0805570925537017E-2</v>
      </c>
      <c r="W75" s="1"/>
      <c r="X75" s="1">
        <f t="shared" ref="X75:X83" si="51">+P75-T75</f>
        <v>-21541.23000000001</v>
      </c>
      <c r="Y75" s="1"/>
      <c r="Z75" s="5">
        <f t="shared" ref="Z75:Z83" si="52">IF(T75=0,0,X75/T75)</f>
        <v>-0.10230656306146074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>
        <v>118.34</v>
      </c>
      <c r="Q76" s="2"/>
      <c r="R76" s="7">
        <f t="shared" si="49"/>
        <v>1.3076831724744718E-5</v>
      </c>
      <c r="S76" s="2"/>
      <c r="T76" s="6">
        <v>30.98</v>
      </c>
      <c r="U76" s="2"/>
      <c r="V76" s="7">
        <f t="shared" si="50"/>
        <v>3.0612165202515855E-6</v>
      </c>
      <c r="W76" s="2"/>
      <c r="X76" s="6">
        <f t="shared" si="51"/>
        <v>87.36</v>
      </c>
      <c r="Y76" s="2"/>
      <c r="Z76" s="7">
        <f t="shared" si="52"/>
        <v>2.8198837959974177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6">
        <v>1472.58</v>
      </c>
      <c r="E77" s="2"/>
      <c r="F77" s="7">
        <f t="shared" si="45"/>
        <v>0.33862533630740221</v>
      </c>
      <c r="G77" s="2"/>
      <c r="H77" s="6">
        <v>7605.4</v>
      </c>
      <c r="I77" s="2"/>
      <c r="J77" s="7">
        <f t="shared" si="46"/>
        <v>6.3316225392575321E-3</v>
      </c>
      <c r="K77" s="2"/>
      <c r="L77" s="6">
        <f t="shared" si="47"/>
        <v>-6132.82</v>
      </c>
      <c r="M77" s="2"/>
      <c r="N77" s="7">
        <f t="shared" si="48"/>
        <v>-0.80637704788702769</v>
      </c>
      <c r="O77" s="11"/>
      <c r="P77" s="6">
        <v>73131.320000000007</v>
      </c>
      <c r="Q77" s="2"/>
      <c r="R77" s="7">
        <f t="shared" si="49"/>
        <v>8.0811725996996625E-3</v>
      </c>
      <c r="S77" s="2"/>
      <c r="T77" s="6">
        <v>94540.6</v>
      </c>
      <c r="U77" s="2"/>
      <c r="V77" s="7">
        <f t="shared" si="50"/>
        <v>9.3418091205454187E-3</v>
      </c>
      <c r="W77" s="2"/>
      <c r="X77" s="6">
        <f t="shared" si="51"/>
        <v>-21409.279999999999</v>
      </c>
      <c r="Y77" s="2"/>
      <c r="Z77" s="7">
        <f t="shared" si="52"/>
        <v>-0.22645593533360267</v>
      </c>
    </row>
    <row r="78" spans="1:26" s="24" customFormat="1" hidden="1" outlineLevel="2" x14ac:dyDescent="0.25">
      <c r="A78" s="27"/>
      <c r="B78" s="11" t="str">
        <f>CONCATENATE("          ", "6239", " - ", "KITCHEN SUPPLIES")</f>
        <v xml:space="preserve">          6239 - KITCHEN SUPPLIES</v>
      </c>
      <c r="C78" s="11"/>
      <c r="D78" s="6"/>
      <c r="E78" s="2"/>
      <c r="F78" s="7">
        <f t="shared" si="45"/>
        <v>0</v>
      </c>
      <c r="G78" s="2"/>
      <c r="H78" s="6">
        <v>2395.89</v>
      </c>
      <c r="I78" s="2"/>
      <c r="J78" s="7">
        <f t="shared" si="46"/>
        <v>1.9946184455231454E-3</v>
      </c>
      <c r="K78" s="2"/>
      <c r="L78" s="6">
        <f t="shared" si="47"/>
        <v>-2395.89</v>
      </c>
      <c r="M78" s="2"/>
      <c r="N78" s="7">
        <f t="shared" si="48"/>
        <v>-1</v>
      </c>
      <c r="O78" s="11"/>
      <c r="P78" s="6">
        <v>26798.5</v>
      </c>
      <c r="Q78" s="2"/>
      <c r="R78" s="7">
        <f t="shared" si="49"/>
        <v>2.9612935184685765E-3</v>
      </c>
      <c r="S78" s="2"/>
      <c r="T78" s="6">
        <v>23876.59</v>
      </c>
      <c r="U78" s="2"/>
      <c r="V78" s="7">
        <f t="shared" si="50"/>
        <v>2.3593096112096128E-3</v>
      </c>
      <c r="W78" s="2"/>
      <c r="X78" s="6">
        <f t="shared" si="51"/>
        <v>2921.91</v>
      </c>
      <c r="Y78" s="2"/>
      <c r="Z78" s="7">
        <f t="shared" si="52"/>
        <v>0.12237551509658623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6"/>
      <c r="E79" s="2"/>
      <c r="F79" s="7">
        <f t="shared" si="45"/>
        <v>0</v>
      </c>
      <c r="G79" s="2"/>
      <c r="H79" s="6">
        <v>1401.08</v>
      </c>
      <c r="I79" s="2"/>
      <c r="J79" s="7">
        <f t="shared" si="46"/>
        <v>1.1664225033927134E-3</v>
      </c>
      <c r="K79" s="2"/>
      <c r="L79" s="6">
        <f t="shared" si="47"/>
        <v>-1401.08</v>
      </c>
      <c r="M79" s="2"/>
      <c r="N79" s="7">
        <f t="shared" si="48"/>
        <v>-1</v>
      </c>
      <c r="O79" s="11"/>
      <c r="P79" s="6">
        <v>28380.449999999997</v>
      </c>
      <c r="Q79" s="2"/>
      <c r="R79" s="7">
        <f t="shared" si="49"/>
        <v>3.1361024921626769E-3</v>
      </c>
      <c r="S79" s="2"/>
      <c r="T79" s="6">
        <v>11777.19</v>
      </c>
      <c r="U79" s="2"/>
      <c r="V79" s="7">
        <f t="shared" si="50"/>
        <v>1.1637355903854672E-3</v>
      </c>
      <c r="W79" s="2"/>
      <c r="X79" s="6">
        <f t="shared" si="51"/>
        <v>16603.259999999995</v>
      </c>
      <c r="Y79" s="2"/>
      <c r="Z79" s="7">
        <f t="shared" si="52"/>
        <v>1.4097811107743012</v>
      </c>
    </row>
    <row r="80" spans="1:26" s="24" customFormat="1" hidden="1" outlineLevel="2" x14ac:dyDescent="0.25">
      <c r="A80" s="27"/>
      <c r="B80" s="11" t="str">
        <f>CONCATENATE("          ", "6243", " - ", "PAPER SUPPLIES")</f>
        <v xml:space="preserve">          6243 - PAPER SUPPLIES</v>
      </c>
      <c r="C80" s="11"/>
      <c r="D80" s="6">
        <v>1881.7</v>
      </c>
      <c r="E80" s="2"/>
      <c r="F80" s="7">
        <f t="shared" si="45"/>
        <v>0.43270402649067541</v>
      </c>
      <c r="G80" s="2"/>
      <c r="H80" s="6">
        <v>9605.56</v>
      </c>
      <c r="I80" s="2"/>
      <c r="J80" s="7">
        <f t="shared" si="46"/>
        <v>7.9967891495766937E-3</v>
      </c>
      <c r="K80" s="2"/>
      <c r="L80" s="6">
        <f t="shared" si="47"/>
        <v>-7723.86</v>
      </c>
      <c r="M80" s="2"/>
      <c r="N80" s="7">
        <f t="shared" si="48"/>
        <v>-0.80410304032247992</v>
      </c>
      <c r="O80" s="11"/>
      <c r="P80" s="6">
        <v>58693.440000000002</v>
      </c>
      <c r="Q80" s="2"/>
      <c r="R80" s="7">
        <f t="shared" si="49"/>
        <v>6.4857549283961523E-3</v>
      </c>
      <c r="S80" s="2"/>
      <c r="T80" s="6">
        <v>68264.850000000006</v>
      </c>
      <c r="U80" s="2"/>
      <c r="V80" s="7">
        <f t="shared" si="50"/>
        <v>6.7454321036958193E-3</v>
      </c>
      <c r="W80" s="2"/>
      <c r="X80" s="6">
        <f t="shared" si="51"/>
        <v>-9571.4100000000035</v>
      </c>
      <c r="Y80" s="2"/>
      <c r="Z80" s="7">
        <f t="shared" si="52"/>
        <v>-0.14020993234439105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5"/>
        <v>0</v>
      </c>
      <c r="G81" s="2"/>
      <c r="H81" s="6"/>
      <c r="I81" s="2"/>
      <c r="J81" s="7">
        <f t="shared" si="46"/>
        <v>0</v>
      </c>
      <c r="K81" s="2"/>
      <c r="L81" s="6">
        <f t="shared" si="47"/>
        <v>0</v>
      </c>
      <c r="M81" s="2"/>
      <c r="N81" s="7">
        <f t="shared" si="48"/>
        <v>0</v>
      </c>
      <c r="O81" s="11"/>
      <c r="P81" s="6">
        <v>1351.44</v>
      </c>
      <c r="Q81" s="2"/>
      <c r="R81" s="7">
        <f t="shared" si="49"/>
        <v>1.493371088903921E-4</v>
      </c>
      <c r="S81" s="2"/>
      <c r="T81" s="6">
        <v>1849.6</v>
      </c>
      <c r="U81" s="2"/>
      <c r="V81" s="7">
        <f t="shared" si="50"/>
        <v>1.8276391465001074E-4</v>
      </c>
      <c r="W81" s="2"/>
      <c r="X81" s="6">
        <f t="shared" si="51"/>
        <v>-498.15999999999985</v>
      </c>
      <c r="Y81" s="2"/>
      <c r="Z81" s="7">
        <f t="shared" si="52"/>
        <v>-0.269333910034602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5"/>
        <v>0</v>
      </c>
      <c r="G82" s="2"/>
      <c r="H82" s="6">
        <v>137.47</v>
      </c>
      <c r="I82" s="2"/>
      <c r="J82" s="7">
        <f t="shared" si="46"/>
        <v>1.1444607127458557E-4</v>
      </c>
      <c r="K82" s="2"/>
      <c r="L82" s="6">
        <f t="shared" si="47"/>
        <v>-137.47</v>
      </c>
      <c r="M82" s="2"/>
      <c r="N82" s="7">
        <f t="shared" si="48"/>
        <v>-1</v>
      </c>
      <c r="O82" s="11"/>
      <c r="P82" s="6">
        <v>667.78</v>
      </c>
      <c r="Q82" s="2"/>
      <c r="R82" s="7">
        <f t="shared" si="49"/>
        <v>7.3791166884823627E-5</v>
      </c>
      <c r="S82" s="2"/>
      <c r="T82" s="6">
        <v>-86.48</v>
      </c>
      <c r="U82" s="2"/>
      <c r="V82" s="7">
        <f t="shared" si="50"/>
        <v>-8.5453197117933236E-6</v>
      </c>
      <c r="W82" s="2"/>
      <c r="X82" s="6">
        <f t="shared" si="51"/>
        <v>754.26</v>
      </c>
      <c r="Y82" s="2"/>
      <c r="Z82" s="7">
        <f t="shared" si="52"/>
        <v>-8.7217853839037929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5"/>
        <v>0</v>
      </c>
      <c r="G83" s="2"/>
      <c r="H83" s="6">
        <v>17.68</v>
      </c>
      <c r="I83" s="2"/>
      <c r="J83" s="7">
        <f t="shared" si="46"/>
        <v>1.4718895323595495E-5</v>
      </c>
      <c r="K83" s="2"/>
      <c r="L83" s="6">
        <f t="shared" si="47"/>
        <v>-17.68</v>
      </c>
      <c r="M83" s="2"/>
      <c r="N83" s="7">
        <f t="shared" si="48"/>
        <v>-1</v>
      </c>
      <c r="O83" s="11"/>
      <c r="P83" s="6">
        <v>-126.8</v>
      </c>
      <c r="Q83" s="2"/>
      <c r="R83" s="7">
        <f t="shared" si="49"/>
        <v>-1.4011680435166724E-5</v>
      </c>
      <c r="S83" s="2"/>
      <c r="T83" s="6">
        <v>10302.370000000001</v>
      </c>
      <c r="U83" s="2"/>
      <c r="V83" s="7">
        <f t="shared" si="50"/>
        <v>1.0180046882422315E-3</v>
      </c>
      <c r="W83" s="2"/>
      <c r="X83" s="6">
        <f t="shared" si="51"/>
        <v>-10429.17</v>
      </c>
      <c r="Y83" s="2"/>
      <c r="Z83" s="7">
        <f t="shared" si="52"/>
        <v>-1.0123078476117631</v>
      </c>
    </row>
    <row r="84" spans="1:26" s="25" customFormat="1" outlineLevel="1" collapsed="1" x14ac:dyDescent="0.25">
      <c r="A84" s="26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SUM(OSRRefD22_16x_0)</f>
        <v>646.15</v>
      </c>
      <c r="E84" s="1"/>
      <c r="F84" s="5">
        <f t="shared" ref="F84:F90" si="53">IF(D$12=0,0,D84/D$12)</f>
        <v>0.14858463448846781</v>
      </c>
      <c r="G84" s="1"/>
      <c r="H84" s="1">
        <f>SUM(OSRRefH22_16x_0)</f>
        <v>741.95</v>
      </c>
      <c r="I84" s="1"/>
      <c r="J84" s="5">
        <f t="shared" ref="J84:J90" si="54">IF(H$12=0,0,H84/H$12)</f>
        <v>6.1768576840167864E-4</v>
      </c>
      <c r="K84" s="1"/>
      <c r="L84" s="1">
        <f t="shared" ref="L84:L90" si="55">+D84-H84</f>
        <v>-95.800000000000068</v>
      </c>
      <c r="M84" s="1"/>
      <c r="N84" s="5">
        <f t="shared" ref="N84:N90" si="56">IF(H84=0,0,L84/H84)</f>
        <v>-0.12911921288496539</v>
      </c>
      <c r="O84" s="13"/>
      <c r="P84" s="1">
        <f>SUM(OSRRefP22_16x_0)</f>
        <v>6560.5</v>
      </c>
      <c r="Q84" s="1"/>
      <c r="R84" s="5">
        <f t="shared" ref="R84:R90" si="57">IF(P$12=0,0,P84/P$12)</f>
        <v>7.2494975942359065E-4</v>
      </c>
      <c r="S84" s="1"/>
      <c r="T84" s="1">
        <f>SUM(OSRRefT22_16x_0)</f>
        <v>7181.5</v>
      </c>
      <c r="U84" s="1"/>
      <c r="V84" s="5">
        <f t="shared" ref="V84:V90" si="58">IF(T$12=0,0,T84/T$12)</f>
        <v>7.0962319045147712E-4</v>
      </c>
      <c r="W84" s="1"/>
      <c r="X84" s="1">
        <f t="shared" ref="X84:X90" si="59">+P84-T84</f>
        <v>-621</v>
      </c>
      <c r="Y84" s="1"/>
      <c r="Z84" s="5">
        <f t="shared" ref="Z84:Z90" si="60">IF(T84=0,0,X84/T84)</f>
        <v>-8.6472185476571747E-2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6">
        <v>646.15</v>
      </c>
      <c r="E85" s="2"/>
      <c r="F85" s="7">
        <f t="shared" si="53"/>
        <v>0.14858463448846781</v>
      </c>
      <c r="G85" s="2"/>
      <c r="H85" s="6">
        <v>741.95</v>
      </c>
      <c r="I85" s="2"/>
      <c r="J85" s="7">
        <f t="shared" si="54"/>
        <v>6.1768576840167864E-4</v>
      </c>
      <c r="K85" s="2"/>
      <c r="L85" s="6">
        <f t="shared" si="55"/>
        <v>-95.800000000000068</v>
      </c>
      <c r="M85" s="2"/>
      <c r="N85" s="7">
        <f t="shared" si="56"/>
        <v>-0.12911921288496539</v>
      </c>
      <c r="O85" s="11"/>
      <c r="P85" s="6">
        <v>6560.5</v>
      </c>
      <c r="Q85" s="2"/>
      <c r="R85" s="7">
        <f t="shared" si="57"/>
        <v>7.2494975942359065E-4</v>
      </c>
      <c r="S85" s="2"/>
      <c r="T85" s="6">
        <v>7181.5</v>
      </c>
      <c r="U85" s="2"/>
      <c r="V85" s="7">
        <f t="shared" si="58"/>
        <v>7.0962319045147712E-4</v>
      </c>
      <c r="W85" s="2"/>
      <c r="X85" s="6">
        <f t="shared" si="59"/>
        <v>-621</v>
      </c>
      <c r="Y85" s="2"/>
      <c r="Z85" s="7">
        <f t="shared" si="60"/>
        <v>-8.6472185476571747E-2</v>
      </c>
    </row>
    <row r="86" spans="1:26" s="25" customFormat="1" outlineLevel="1" collapsed="1" x14ac:dyDescent="0.25">
      <c r="A86" s="26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SUM(OSRRefD22_17x_0)</f>
        <v>0</v>
      </c>
      <c r="E86" s="1"/>
      <c r="F86" s="5">
        <f t="shared" si="53"/>
        <v>0</v>
      </c>
      <c r="G86" s="1"/>
      <c r="H86" s="1">
        <f>SUM(OSRRefH22_17x_0)</f>
        <v>557.89</v>
      </c>
      <c r="I86" s="1"/>
      <c r="J86" s="5">
        <f t="shared" si="54"/>
        <v>4.6445274389596665E-4</v>
      </c>
      <c r="K86" s="1"/>
      <c r="L86" s="1">
        <f t="shared" si="55"/>
        <v>-557.89</v>
      </c>
      <c r="M86" s="1"/>
      <c r="N86" s="5">
        <f t="shared" si="56"/>
        <v>-1</v>
      </c>
      <c r="O86" s="13"/>
      <c r="P86" s="1">
        <f>SUM(OSRRefP22_17x_0)</f>
        <v>6398.23</v>
      </c>
      <c r="Q86" s="1"/>
      <c r="R86" s="5">
        <f t="shared" si="57"/>
        <v>7.0701856554177282E-4</v>
      </c>
      <c r="S86" s="1"/>
      <c r="T86" s="1">
        <f>SUM(OSRRefT22_17x_0)</f>
        <v>8515.59</v>
      </c>
      <c r="U86" s="1"/>
      <c r="V86" s="5">
        <f t="shared" si="58"/>
        <v>8.4144818552902526E-4</v>
      </c>
      <c r="W86" s="1"/>
      <c r="X86" s="1">
        <f t="shared" si="59"/>
        <v>-2117.3600000000006</v>
      </c>
      <c r="Y86" s="1"/>
      <c r="Z86" s="5">
        <f t="shared" si="60"/>
        <v>-0.24864513204604738</v>
      </c>
    </row>
    <row r="87" spans="1:26" s="24" customFormat="1" hidden="1" outlineLevel="2" x14ac:dyDescent="0.25">
      <c r="A87" s="27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53"/>
        <v>0</v>
      </c>
      <c r="G87" s="2"/>
      <c r="H87" s="6">
        <v>557.89</v>
      </c>
      <c r="I87" s="2"/>
      <c r="J87" s="7">
        <f t="shared" si="54"/>
        <v>4.6445274389596665E-4</v>
      </c>
      <c r="K87" s="2"/>
      <c r="L87" s="6">
        <f t="shared" si="55"/>
        <v>-557.89</v>
      </c>
      <c r="M87" s="2"/>
      <c r="N87" s="7">
        <f t="shared" si="56"/>
        <v>-1</v>
      </c>
      <c r="O87" s="11"/>
      <c r="P87" s="6">
        <v>6398.23</v>
      </c>
      <c r="Q87" s="2"/>
      <c r="R87" s="7">
        <f t="shared" si="57"/>
        <v>7.0701856554177282E-4</v>
      </c>
      <c r="S87" s="2"/>
      <c r="T87" s="6">
        <v>8515.59</v>
      </c>
      <c r="U87" s="2"/>
      <c r="V87" s="7">
        <f t="shared" si="58"/>
        <v>8.4144818552902526E-4</v>
      </c>
      <c r="W87" s="2"/>
      <c r="X87" s="6">
        <f t="shared" si="59"/>
        <v>-2117.3600000000006</v>
      </c>
      <c r="Y87" s="2"/>
      <c r="Z87" s="7">
        <f t="shared" si="60"/>
        <v>-0.24864513204604738</v>
      </c>
    </row>
    <row r="88" spans="1:26" s="25" customFormat="1" outlineLevel="1" collapsed="1" x14ac:dyDescent="0.25">
      <c r="A88" s="26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SUM(OSRRefD22_18x_0)</f>
        <v>0</v>
      </c>
      <c r="E88" s="1"/>
      <c r="F88" s="5">
        <f t="shared" si="53"/>
        <v>0</v>
      </c>
      <c r="G88" s="1"/>
      <c r="H88" s="1">
        <f>SUM(OSRRefH22_18x_0)</f>
        <v>389.33</v>
      </c>
      <c r="I88" s="1"/>
      <c r="J88" s="5">
        <f t="shared" si="54"/>
        <v>3.2412372829951548E-4</v>
      </c>
      <c r="K88" s="1"/>
      <c r="L88" s="1">
        <f t="shared" si="55"/>
        <v>-389.33</v>
      </c>
      <c r="M88" s="1"/>
      <c r="N88" s="5">
        <f t="shared" si="56"/>
        <v>-1</v>
      </c>
      <c r="O88" s="13"/>
      <c r="P88" s="1">
        <f>SUM(OSRRefP22_18x_0)</f>
        <v>1894.26</v>
      </c>
      <c r="Q88" s="1"/>
      <c r="R88" s="5">
        <f t="shared" si="57"/>
        <v>2.0931991940945522E-4</v>
      </c>
      <c r="S88" s="1"/>
      <c r="T88" s="1">
        <f>SUM(OSRRefT22_18x_0)</f>
        <v>2218.2399999999998</v>
      </c>
      <c r="U88" s="1"/>
      <c r="V88" s="5">
        <f t="shared" si="58"/>
        <v>2.19190217362262E-4</v>
      </c>
      <c r="W88" s="1"/>
      <c r="X88" s="1">
        <f t="shared" si="59"/>
        <v>-323.97999999999979</v>
      </c>
      <c r="Y88" s="1"/>
      <c r="Z88" s="5">
        <f t="shared" si="60"/>
        <v>-0.14605272648586259</v>
      </c>
    </row>
    <row r="89" spans="1:26" s="24" customFormat="1" hidden="1" outlineLevel="2" x14ac:dyDescent="0.25">
      <c r="A89" s="27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53"/>
        <v>0</v>
      </c>
      <c r="G89" s="2"/>
      <c r="H89" s="6">
        <v>389.33</v>
      </c>
      <c r="I89" s="2"/>
      <c r="J89" s="7">
        <f t="shared" si="54"/>
        <v>3.2412372829951548E-4</v>
      </c>
      <c r="K89" s="2"/>
      <c r="L89" s="6">
        <f t="shared" si="55"/>
        <v>-389.33</v>
      </c>
      <c r="M89" s="2"/>
      <c r="N89" s="7">
        <f t="shared" si="56"/>
        <v>-1</v>
      </c>
      <c r="O89" s="11"/>
      <c r="P89" s="6">
        <v>1894.26</v>
      </c>
      <c r="Q89" s="2"/>
      <c r="R89" s="7">
        <f t="shared" si="57"/>
        <v>2.0931991940945522E-4</v>
      </c>
      <c r="S89" s="2"/>
      <c r="T89" s="6">
        <v>1589.86</v>
      </c>
      <c r="U89" s="2"/>
      <c r="V89" s="7">
        <f t="shared" si="58"/>
        <v>1.5709831171359541E-4</v>
      </c>
      <c r="W89" s="2"/>
      <c r="X89" s="6">
        <f t="shared" si="59"/>
        <v>304.40000000000009</v>
      </c>
      <c r="Y89" s="2"/>
      <c r="Z89" s="7">
        <f t="shared" si="60"/>
        <v>0.19146339929301959</v>
      </c>
    </row>
    <row r="90" spans="1:26" s="24" customFormat="1" hidden="1" outlineLevel="2" x14ac:dyDescent="0.25">
      <c r="A90" s="27"/>
      <c r="B90" s="11" t="str">
        <f>CONCATENATE("          ", "6294", " - ", "TRAVEL OPERATIONAL")</f>
        <v xml:space="preserve">          6294 - TRAVEL OPERATIONAL</v>
      </c>
      <c r="C90" s="11"/>
      <c r="D90" s="6"/>
      <c r="E90" s="2"/>
      <c r="F90" s="7">
        <f t="shared" si="53"/>
        <v>0</v>
      </c>
      <c r="G90" s="2"/>
      <c r="H90" s="6"/>
      <c r="I90" s="2"/>
      <c r="J90" s="7">
        <f t="shared" si="54"/>
        <v>0</v>
      </c>
      <c r="K90" s="2"/>
      <c r="L90" s="6">
        <f t="shared" si="55"/>
        <v>0</v>
      </c>
      <c r="M90" s="2"/>
      <c r="N90" s="7">
        <f t="shared" si="56"/>
        <v>0</v>
      </c>
      <c r="O90" s="11"/>
      <c r="P90" s="6"/>
      <c r="Q90" s="2"/>
      <c r="R90" s="7">
        <f t="shared" si="57"/>
        <v>0</v>
      </c>
      <c r="S90" s="2"/>
      <c r="T90" s="6">
        <v>628.38</v>
      </c>
      <c r="U90" s="2"/>
      <c r="V90" s="7">
        <f t="shared" si="58"/>
        <v>6.2091905648666601E-5</v>
      </c>
      <c r="W90" s="2"/>
      <c r="X90" s="6">
        <f t="shared" si="59"/>
        <v>-628.38</v>
      </c>
      <c r="Y90" s="2"/>
      <c r="Z90" s="7">
        <f t="shared" si="60"/>
        <v>-1</v>
      </c>
    </row>
    <row r="91" spans="1:26" s="53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9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8" t="s">
        <v>3</v>
      </c>
      <c r="C94" s="28"/>
      <c r="D94" s="21">
        <f>+D24-D26+D92</f>
        <v>-89819.21</v>
      </c>
      <c r="E94" s="14"/>
      <c r="F94" s="20">
        <f>IF(D$12=0,0,D94/D$12)</f>
        <v>-20.654266792374735</v>
      </c>
      <c r="G94" s="14"/>
      <c r="H94" s="21">
        <f>+H24-H26+H92</f>
        <v>430501.33000000007</v>
      </c>
      <c r="I94" s="14"/>
      <c r="J94" s="20">
        <f>IF(H$12=0,0,H94/H$12)</f>
        <v>0.35839954824313586</v>
      </c>
      <c r="K94" s="15"/>
      <c r="L94" s="21">
        <f>+D94-H94</f>
        <v>-520320.5400000001</v>
      </c>
      <c r="M94" s="15"/>
      <c r="N94" s="20">
        <f>IF(H94=0,0,L94/H94)</f>
        <v>-1.208638635332439</v>
      </c>
      <c r="O94" s="29"/>
      <c r="P94" s="21">
        <f>+P24-P26+P92</f>
        <v>2241909.0699999984</v>
      </c>
      <c r="Q94" s="14"/>
      <c r="R94" s="20">
        <f>IF(P$12=0,0,P94/P$12)</f>
        <v>0.24773591051689123</v>
      </c>
      <c r="S94" s="14"/>
      <c r="T94" s="21">
        <f>+T24-T26+T92</f>
        <v>3093483.2400000012</v>
      </c>
      <c r="U94" s="14"/>
      <c r="V94" s="20">
        <f>IF(T$12=0,0,T94/T$12)</f>
        <v>0.30567533890927712</v>
      </c>
      <c r="W94" s="15"/>
      <c r="X94" s="21">
        <f>+P94-T94</f>
        <v>-851574.17000000272</v>
      </c>
      <c r="Y94" s="15"/>
      <c r="Z94" s="20">
        <f>IF(T94=0,0,X94/T94)</f>
        <v>-0.27528003351975566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1"/>
      <c r="B96" s="10" t="s">
        <v>13</v>
      </c>
      <c r="C96" s="10"/>
      <c r="D96" s="4">
        <v>58296.68</v>
      </c>
      <c r="E96" s="4"/>
      <c r="F96" s="12">
        <f>IF(D$12=0,0,D96/D$12)</f>
        <v>13.405541886080899</v>
      </c>
      <c r="G96" s="4"/>
      <c r="H96" s="4">
        <v>133667.76999999999</v>
      </c>
      <c r="I96" s="4"/>
      <c r="J96" s="12">
        <f>IF(H$12=0,0,H96/H$12)</f>
        <v>0.11128065128780758</v>
      </c>
      <c r="K96" s="4"/>
      <c r="L96" s="4">
        <f>+D96-H96</f>
        <v>-75371.09</v>
      </c>
      <c r="M96" s="4"/>
      <c r="N96" s="12">
        <f>IF(H96=0,0,L96/H96)</f>
        <v>-0.56386883689314182</v>
      </c>
      <c r="O96" s="10"/>
      <c r="P96" s="4">
        <v>1027516.4699999999</v>
      </c>
      <c r="Q96" s="4"/>
      <c r="R96" s="12">
        <f>IF(P$12=0,0,P96/P$12)</f>
        <v>0.11354284242516227</v>
      </c>
      <c r="S96" s="4"/>
      <c r="T96" s="4">
        <v>1052077.1500000001</v>
      </c>
      <c r="U96" s="4"/>
      <c r="V96" s="12">
        <f>IF(T$12=0,0,T96/T$12)</f>
        <v>0.10395855236149794</v>
      </c>
      <c r="W96" s="4"/>
      <c r="X96" s="4">
        <f>+P96-T96</f>
        <v>-24560.680000000284</v>
      </c>
      <c r="Y96" s="4"/>
      <c r="Z96" s="12">
        <f>IF(T96=0,0,X96/T96)</f>
        <v>-2.3344941956015566E-2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4</v>
      </c>
      <c r="C98" s="28"/>
      <c r="D98" s="30">
        <f>+D94-D96</f>
        <v>-148115.89000000001</v>
      </c>
      <c r="E98" s="14"/>
      <c r="F98" s="36">
        <f>IF(D$12=0,0,D98/D$12)</f>
        <v>-34.059808678455632</v>
      </c>
      <c r="G98" s="14"/>
      <c r="H98" s="30">
        <f>+H94-H96</f>
        <v>296833.56000000006</v>
      </c>
      <c r="I98" s="14"/>
      <c r="J98" s="36">
        <f>IF(H$12=0,0,H98/H$12)</f>
        <v>0.24711889695532827</v>
      </c>
      <c r="K98" s="15"/>
      <c r="L98" s="30">
        <f>D98-H98</f>
        <v>-444949.45000000007</v>
      </c>
      <c r="M98" s="15"/>
      <c r="N98" s="36">
        <f>IF(H98=0,0,L98/H98)</f>
        <v>-1.4989863342945453</v>
      </c>
      <c r="O98" s="29"/>
      <c r="P98" s="30">
        <f>+P94-P96</f>
        <v>1214392.5999999987</v>
      </c>
      <c r="Q98" s="14"/>
      <c r="R98" s="36">
        <f>IF(P$12=0,0,P98/P$12)</f>
        <v>0.13419306809172896</v>
      </c>
      <c r="S98" s="14"/>
      <c r="T98" s="30">
        <f>+T94-T96</f>
        <v>2041406.090000001</v>
      </c>
      <c r="U98" s="14"/>
      <c r="V98" s="36">
        <f>IF(T$12=0,0,T98/T$12)</f>
        <v>0.20171678654777916</v>
      </c>
      <c r="W98" s="15"/>
      <c r="X98" s="30">
        <f>P98-T98</f>
        <v>-827013.49000000232</v>
      </c>
      <c r="Y98" s="15"/>
      <c r="Z98" s="36">
        <f>IF(T98=0,0,X98/T98)</f>
        <v>-0.40511953699520997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8" t="s">
        <v>5</v>
      </c>
      <c r="C101" s="28"/>
      <c r="D101" s="31">
        <f>SUM(D98:D100)</f>
        <v>-148115.89000000001</v>
      </c>
      <c r="E101" s="14"/>
      <c r="F101" s="32">
        <f>IF(D$12=0,0,D101/D$12)</f>
        <v>-34.059808678455632</v>
      </c>
      <c r="G101" s="14"/>
      <c r="H101" s="31">
        <f>SUM(H98:H100)</f>
        <v>296833.56000000006</v>
      </c>
      <c r="I101" s="14"/>
      <c r="J101" s="32">
        <f>IF(H$12=0,0,H101/H$12)</f>
        <v>0.24711889695532827</v>
      </c>
      <c r="K101" s="15"/>
      <c r="L101" s="31">
        <f>+D101-H101</f>
        <v>-444949.45000000007</v>
      </c>
      <c r="M101" s="15"/>
      <c r="N101" s="32">
        <f>IF(H101=0,0,L101/H101)</f>
        <v>-1.4989863342945453</v>
      </c>
      <c r="O101" s="29"/>
      <c r="P101" s="31">
        <f>SUM(P98:P100)</f>
        <v>1214392.5999999987</v>
      </c>
      <c r="Q101" s="14"/>
      <c r="R101" s="32">
        <f>IF(P$12=0,0,P101/P$12)</f>
        <v>0.13419306809172896</v>
      </c>
      <c r="S101" s="14"/>
      <c r="T101" s="31">
        <f>SUM(T98:T100)</f>
        <v>2041406.090000001</v>
      </c>
      <c r="U101" s="14"/>
      <c r="V101" s="32">
        <f>IF(T$12=0,0,T101/T$12)</f>
        <v>0.20171678654777916</v>
      </c>
      <c r="W101" s="15"/>
      <c r="X101" s="31">
        <f>+P101-T101</f>
        <v>-827013.49000000232</v>
      </c>
      <c r="Y101" s="15"/>
      <c r="Z101" s="32">
        <f>IF(T101=0,0,X101/T101)</f>
        <v>-0.40511953699520997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4">
        <v>43965.470641747685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9" t="s">
        <v>313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61"/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","430", " - ", "Res Hall Management")</f>
        <v>Department 430 - Res Hall Management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16718.97</v>
      </c>
      <c r="E18" s="22"/>
      <c r="F18" s="35">
        <f t="shared" ref="F18:F27" si="0">IF(D$12=0,0,D18/D$12)</f>
        <v>0</v>
      </c>
      <c r="G18" s="22"/>
      <c r="H18" s="22">
        <f>SUM(OSRRefH22x_0)</f>
        <v>12112.569999999998</v>
      </c>
      <c r="I18" s="22"/>
      <c r="J18" s="35">
        <f t="shared" ref="J18:J27" si="1">IF(H$12=0,0,H18/H$12)</f>
        <v>0</v>
      </c>
      <c r="K18" s="4"/>
      <c r="L18" s="22">
        <f t="shared" ref="L18:L27" si="2">+D18-H18</f>
        <v>4606.4000000000033</v>
      </c>
      <c r="M18" s="4"/>
      <c r="N18" s="35">
        <f t="shared" ref="N18:N27" si="3">IF(H18=0,0,L18/H18)</f>
        <v>0.38029914378203833</v>
      </c>
      <c r="O18" s="10"/>
      <c r="P18" s="22">
        <f>SUM(OSRRefP22x_0)</f>
        <v>196864.15</v>
      </c>
      <c r="Q18" s="22"/>
      <c r="R18" s="35">
        <f t="shared" ref="R18:R27" si="4">IF(P$12=0,0,P18/P$12)</f>
        <v>0</v>
      </c>
      <c r="S18" s="22"/>
      <c r="T18" s="22">
        <f>SUM(OSRRefT22x_0)</f>
        <v>138209.59999999998</v>
      </c>
      <c r="U18" s="22"/>
      <c r="V18" s="35">
        <f t="shared" ref="V18:V27" si="5">IF(T$12=0,0,T18/T$12)</f>
        <v>0</v>
      </c>
      <c r="W18" s="4"/>
      <c r="X18" s="22">
        <f t="shared" ref="X18:X27" si="6">+P18-T18</f>
        <v>58654.550000000017</v>
      </c>
      <c r="Y18" s="4"/>
      <c r="Z18" s="35">
        <f t="shared" ref="Z18:Z27" si="7">IF(T18=0,0,X18/T18)</f>
        <v>0.42438839270209905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5382.66</v>
      </c>
      <c r="E19" s="1"/>
      <c r="F19" s="5">
        <f t="shared" si="0"/>
        <v>0</v>
      </c>
      <c r="G19" s="1"/>
      <c r="H19" s="1">
        <f>SUM(OSRRefH22_0x_0)</f>
        <v>5385.0199999999995</v>
      </c>
      <c r="I19" s="1"/>
      <c r="J19" s="5">
        <f t="shared" si="1"/>
        <v>0</v>
      </c>
      <c r="K19" s="1"/>
      <c r="L19" s="1">
        <f t="shared" si="2"/>
        <v>-2.3599999999996726</v>
      </c>
      <c r="M19" s="1"/>
      <c r="N19" s="5">
        <f t="shared" si="3"/>
        <v>-4.3825278271940918E-4</v>
      </c>
      <c r="O19" s="13"/>
      <c r="P19" s="1">
        <f>SUM(OSRRefP22_0x_0)</f>
        <v>60518.95</v>
      </c>
      <c r="Q19" s="1"/>
      <c r="R19" s="5">
        <f t="shared" si="4"/>
        <v>0</v>
      </c>
      <c r="S19" s="1"/>
      <c r="T19" s="1">
        <f>SUM(OSRRefT22_0x_0)</f>
        <v>54568.799999999996</v>
      </c>
      <c r="U19" s="1"/>
      <c r="V19" s="5">
        <f t="shared" si="5"/>
        <v>0</v>
      </c>
      <c r="W19" s="1"/>
      <c r="X19" s="1">
        <f t="shared" si="6"/>
        <v>5950.1500000000015</v>
      </c>
      <c r="Y19" s="1"/>
      <c r="Z19" s="5">
        <f t="shared" si="7"/>
        <v>0.1090394144639428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1028.1300000000001</v>
      </c>
      <c r="E20" s="2"/>
      <c r="F20" s="7">
        <f t="shared" si="0"/>
        <v>0</v>
      </c>
      <c r="G20" s="2"/>
      <c r="H20" s="6">
        <v>604.94000000000005</v>
      </c>
      <c r="I20" s="2"/>
      <c r="J20" s="7">
        <f t="shared" si="1"/>
        <v>0</v>
      </c>
      <c r="K20" s="2"/>
      <c r="L20" s="6">
        <f t="shared" si="2"/>
        <v>423.19000000000005</v>
      </c>
      <c r="M20" s="2"/>
      <c r="N20" s="7">
        <f t="shared" si="3"/>
        <v>0.69955698085760576</v>
      </c>
      <c r="O20" s="11"/>
      <c r="P20" s="6">
        <v>7875.29</v>
      </c>
      <c r="Q20" s="2"/>
      <c r="R20" s="7">
        <f t="shared" si="4"/>
        <v>0</v>
      </c>
      <c r="S20" s="2"/>
      <c r="T20" s="6">
        <v>7191.96</v>
      </c>
      <c r="U20" s="2"/>
      <c r="V20" s="7">
        <f t="shared" si="5"/>
        <v>0</v>
      </c>
      <c r="W20" s="2"/>
      <c r="X20" s="6">
        <f t="shared" si="6"/>
        <v>683.32999999999993</v>
      </c>
      <c r="Y20" s="2"/>
      <c r="Z20" s="7">
        <f t="shared" si="7"/>
        <v>9.5013042341726028E-2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347.63</v>
      </c>
      <c r="E21" s="2"/>
      <c r="F21" s="7">
        <f t="shared" si="0"/>
        <v>0</v>
      </c>
      <c r="G21" s="2"/>
      <c r="H21" s="6">
        <v>276.77</v>
      </c>
      <c r="I21" s="2"/>
      <c r="J21" s="7">
        <f t="shared" si="1"/>
        <v>0</v>
      </c>
      <c r="K21" s="2"/>
      <c r="L21" s="6">
        <f t="shared" si="2"/>
        <v>70.860000000000014</v>
      </c>
      <c r="M21" s="2"/>
      <c r="N21" s="7">
        <f t="shared" si="3"/>
        <v>0.25602485818549703</v>
      </c>
      <c r="O21" s="11"/>
      <c r="P21" s="6">
        <v>3230.07</v>
      </c>
      <c r="Q21" s="2"/>
      <c r="R21" s="7">
        <f t="shared" si="4"/>
        <v>0</v>
      </c>
      <c r="S21" s="2"/>
      <c r="T21" s="6">
        <v>3005.97</v>
      </c>
      <c r="U21" s="2"/>
      <c r="V21" s="7">
        <f t="shared" si="5"/>
        <v>0</v>
      </c>
      <c r="W21" s="2"/>
      <c r="X21" s="6">
        <f t="shared" si="6"/>
        <v>224.10000000000036</v>
      </c>
      <c r="Y21" s="2"/>
      <c r="Z21" s="7">
        <f t="shared" si="7"/>
        <v>7.4551642231958523E-2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2730.6</v>
      </c>
      <c r="I22" s="2"/>
      <c r="J22" s="7">
        <f t="shared" si="1"/>
        <v>0</v>
      </c>
      <c r="K22" s="2"/>
      <c r="L22" s="6">
        <f t="shared" si="2"/>
        <v>7.3000000000001819</v>
      </c>
      <c r="M22" s="2"/>
      <c r="N22" s="7">
        <f t="shared" si="3"/>
        <v>2.6734051124295694E-3</v>
      </c>
      <c r="O22" s="11"/>
      <c r="P22" s="6">
        <v>27335.200000000001</v>
      </c>
      <c r="Q22" s="2"/>
      <c r="R22" s="7">
        <f t="shared" si="4"/>
        <v>0</v>
      </c>
      <c r="S22" s="2"/>
      <c r="T22" s="6">
        <v>25961.27</v>
      </c>
      <c r="U22" s="2"/>
      <c r="V22" s="7">
        <f t="shared" si="5"/>
        <v>0</v>
      </c>
      <c r="W22" s="2"/>
      <c r="X22" s="6">
        <f t="shared" si="6"/>
        <v>1373.9300000000003</v>
      </c>
      <c r="Y22" s="2"/>
      <c r="Z22" s="7">
        <f t="shared" si="7"/>
        <v>5.2922295403884337E-2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23.29</v>
      </c>
      <c r="E23" s="2"/>
      <c r="F23" s="7">
        <f t="shared" si="0"/>
        <v>0</v>
      </c>
      <c r="G23" s="2"/>
      <c r="H23" s="6">
        <v>20.56</v>
      </c>
      <c r="I23" s="2"/>
      <c r="J23" s="7">
        <f t="shared" si="1"/>
        <v>0</v>
      </c>
      <c r="K23" s="2"/>
      <c r="L23" s="6">
        <f t="shared" si="2"/>
        <v>2.7300000000000004</v>
      </c>
      <c r="M23" s="2"/>
      <c r="N23" s="7">
        <f t="shared" si="3"/>
        <v>0.1327821011673152</v>
      </c>
      <c r="O23" s="11"/>
      <c r="P23" s="6">
        <v>255.51</v>
      </c>
      <c r="Q23" s="2"/>
      <c r="R23" s="7">
        <f t="shared" si="4"/>
        <v>0</v>
      </c>
      <c r="S23" s="2"/>
      <c r="T23" s="6">
        <v>253.93</v>
      </c>
      <c r="U23" s="2"/>
      <c r="V23" s="7">
        <f t="shared" si="5"/>
        <v>0</v>
      </c>
      <c r="W23" s="2"/>
      <c r="X23" s="6">
        <f t="shared" si="6"/>
        <v>1.5799999999999841</v>
      </c>
      <c r="Y23" s="2"/>
      <c r="Z23" s="7">
        <f t="shared" si="7"/>
        <v>6.2221872169494902E-3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625.82000000000005</v>
      </c>
      <c r="E24" s="2"/>
      <c r="F24" s="7">
        <f t="shared" si="0"/>
        <v>0</v>
      </c>
      <c r="G24" s="2"/>
      <c r="H24" s="6">
        <v>541.04999999999995</v>
      </c>
      <c r="I24" s="2"/>
      <c r="J24" s="7">
        <f t="shared" si="1"/>
        <v>0</v>
      </c>
      <c r="K24" s="2"/>
      <c r="L24" s="6">
        <f t="shared" si="2"/>
        <v>84.770000000000095</v>
      </c>
      <c r="M24" s="2"/>
      <c r="N24" s="7">
        <f t="shared" si="3"/>
        <v>0.15667683208575936</v>
      </c>
      <c r="O24" s="11"/>
      <c r="P24" s="6">
        <v>6087.55</v>
      </c>
      <c r="Q24" s="2"/>
      <c r="R24" s="7">
        <f t="shared" si="4"/>
        <v>0</v>
      </c>
      <c r="S24" s="2"/>
      <c r="T24" s="6">
        <v>5943.68</v>
      </c>
      <c r="U24" s="2"/>
      <c r="V24" s="7">
        <f t="shared" si="5"/>
        <v>0</v>
      </c>
      <c r="W24" s="2"/>
      <c r="X24" s="6">
        <f t="shared" si="6"/>
        <v>143.86999999999989</v>
      </c>
      <c r="Y24" s="2"/>
      <c r="Z24" s="7">
        <f t="shared" si="7"/>
        <v>2.4205542694088492E-2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>
        <v>730.48</v>
      </c>
      <c r="I25" s="2"/>
      <c r="J25" s="7">
        <f t="shared" si="1"/>
        <v>0</v>
      </c>
      <c r="K25" s="2"/>
      <c r="L25" s="6">
        <f t="shared" si="2"/>
        <v>-730.48</v>
      </c>
      <c r="M25" s="2"/>
      <c r="N25" s="7">
        <f t="shared" si="3"/>
        <v>-1</v>
      </c>
      <c r="O25" s="11"/>
      <c r="P25" s="6">
        <v>9187.49</v>
      </c>
      <c r="Q25" s="2"/>
      <c r="R25" s="7">
        <f t="shared" si="4"/>
        <v>0</v>
      </c>
      <c r="S25" s="2"/>
      <c r="T25" s="6">
        <v>6882.44</v>
      </c>
      <c r="U25" s="2"/>
      <c r="V25" s="7">
        <f t="shared" si="5"/>
        <v>0</v>
      </c>
      <c r="W25" s="2"/>
      <c r="X25" s="6">
        <f t="shared" si="6"/>
        <v>2305.0500000000002</v>
      </c>
      <c r="Y25" s="2"/>
      <c r="Z25" s="7">
        <f t="shared" si="7"/>
        <v>0.3349175583078095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6">
        <v>619.89</v>
      </c>
      <c r="E26" s="2"/>
      <c r="F26" s="7">
        <f t="shared" si="0"/>
        <v>0</v>
      </c>
      <c r="G26" s="2"/>
      <c r="H26" s="6">
        <v>364.74</v>
      </c>
      <c r="I26" s="2"/>
      <c r="J26" s="7">
        <f t="shared" si="1"/>
        <v>0</v>
      </c>
      <c r="K26" s="2"/>
      <c r="L26" s="6">
        <f t="shared" si="2"/>
        <v>255.14999999999998</v>
      </c>
      <c r="M26" s="2"/>
      <c r="N26" s="7">
        <f t="shared" si="3"/>
        <v>0.69953939792729058</v>
      </c>
      <c r="O26" s="11"/>
      <c r="P26" s="6">
        <v>5323.25</v>
      </c>
      <c r="Q26" s="2"/>
      <c r="R26" s="7">
        <f t="shared" si="4"/>
        <v>0</v>
      </c>
      <c r="S26" s="2"/>
      <c r="T26" s="6">
        <v>3949.99</v>
      </c>
      <c r="U26" s="2"/>
      <c r="V26" s="7">
        <f t="shared" si="5"/>
        <v>0</v>
      </c>
      <c r="W26" s="2"/>
      <c r="X26" s="6">
        <f t="shared" si="6"/>
        <v>1373.2600000000002</v>
      </c>
      <c r="Y26" s="2"/>
      <c r="Z26" s="7">
        <f t="shared" si="7"/>
        <v>0.34766163964972069</v>
      </c>
    </row>
    <row r="27" spans="1:26" s="24" customFormat="1" hidden="1" outlineLevel="2" x14ac:dyDescent="0.25">
      <c r="A27" s="27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115.88</v>
      </c>
      <c r="I27" s="2"/>
      <c r="J27" s="7">
        <f t="shared" si="1"/>
        <v>0</v>
      </c>
      <c r="K27" s="2"/>
      <c r="L27" s="6">
        <f t="shared" si="2"/>
        <v>-115.88</v>
      </c>
      <c r="M27" s="2"/>
      <c r="N27" s="7">
        <f t="shared" si="3"/>
        <v>-1</v>
      </c>
      <c r="O27" s="11"/>
      <c r="P27" s="6">
        <v>1224.5899999999999</v>
      </c>
      <c r="Q27" s="2"/>
      <c r="R27" s="7">
        <f t="shared" si="4"/>
        <v>0</v>
      </c>
      <c r="S27" s="2"/>
      <c r="T27" s="6">
        <v>1379.56</v>
      </c>
      <c r="U27" s="2"/>
      <c r="V27" s="7">
        <f t="shared" si="5"/>
        <v>0</v>
      </c>
      <c r="W27" s="2"/>
      <c r="X27" s="6">
        <f t="shared" si="6"/>
        <v>-154.97000000000003</v>
      </c>
      <c r="Y27" s="2"/>
      <c r="Z27" s="7">
        <f t="shared" si="7"/>
        <v>-0.11233291774188875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11199.31</v>
      </c>
      <c r="E28" s="1"/>
      <c r="F28" s="5">
        <f t="shared" ref="F28:F40" si="8">IF(D$12=0,0,D28/D$12)</f>
        <v>0</v>
      </c>
      <c r="G28" s="1"/>
      <c r="H28" s="1">
        <f>SUM(OSRRefH22_1x_0)</f>
        <v>5930.85</v>
      </c>
      <c r="I28" s="1"/>
      <c r="J28" s="5">
        <f t="shared" ref="J28:J40" si="9">IF(H$12=0,0,H28/H$12)</f>
        <v>0</v>
      </c>
      <c r="K28" s="1"/>
      <c r="L28" s="1">
        <f t="shared" ref="L28:L40" si="10">+D28-H28</f>
        <v>5268.4599999999991</v>
      </c>
      <c r="M28" s="1"/>
      <c r="N28" s="5">
        <f t="shared" ref="N28:N40" si="11">IF(H28=0,0,L28/H28)</f>
        <v>0.88831449117748695</v>
      </c>
      <c r="O28" s="13"/>
      <c r="P28" s="1">
        <f>SUM(OSRRefP22_1x_0)</f>
        <v>82672.17</v>
      </c>
      <c r="Q28" s="1"/>
      <c r="R28" s="5">
        <f t="shared" ref="R28:R40" si="12">IF(P$12=0,0,P28/P$12)</f>
        <v>0</v>
      </c>
      <c r="S28" s="1"/>
      <c r="T28" s="1">
        <f>SUM(OSRRefT22_1x_0)</f>
        <v>76310.320000000007</v>
      </c>
      <c r="U28" s="1"/>
      <c r="V28" s="5">
        <f t="shared" ref="V28:V40" si="13">IF(T$12=0,0,T28/T$12)</f>
        <v>0</v>
      </c>
      <c r="W28" s="1"/>
      <c r="X28" s="1">
        <f t="shared" ref="X28:X40" si="14">+P28-T28</f>
        <v>6361.8499999999913</v>
      </c>
      <c r="Y28" s="1"/>
      <c r="Z28" s="5">
        <f t="shared" ref="Z28:Z40" si="15">IF(T28=0,0,X28/T28)</f>
        <v>8.3368147322668687E-2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>
        <v>11199.31</v>
      </c>
      <c r="E29" s="2"/>
      <c r="F29" s="7">
        <f t="shared" si="8"/>
        <v>0</v>
      </c>
      <c r="G29" s="2"/>
      <c r="H29" s="6">
        <v>5930.85</v>
      </c>
      <c r="I29" s="2"/>
      <c r="J29" s="7">
        <f t="shared" si="9"/>
        <v>0</v>
      </c>
      <c r="K29" s="2"/>
      <c r="L29" s="6">
        <f t="shared" si="10"/>
        <v>5268.4599999999991</v>
      </c>
      <c r="M29" s="2"/>
      <c r="N29" s="7">
        <f t="shared" si="11"/>
        <v>0.88831449117748695</v>
      </c>
      <c r="O29" s="11"/>
      <c r="P29" s="6">
        <v>82672.17</v>
      </c>
      <c r="Q29" s="2"/>
      <c r="R29" s="7">
        <f t="shared" si="12"/>
        <v>0</v>
      </c>
      <c r="S29" s="2"/>
      <c r="T29" s="6">
        <v>76310.320000000007</v>
      </c>
      <c r="U29" s="2"/>
      <c r="V29" s="7">
        <f t="shared" si="13"/>
        <v>0</v>
      </c>
      <c r="W29" s="2"/>
      <c r="X29" s="6">
        <f t="shared" si="14"/>
        <v>6361.8499999999913</v>
      </c>
      <c r="Y29" s="2"/>
      <c r="Z29" s="7">
        <f t="shared" si="15"/>
        <v>8.3368147322668687E-2</v>
      </c>
    </row>
    <row r="30" spans="1:26" s="25" customFormat="1" outlineLevel="1" collapsed="1" x14ac:dyDescent="0.25">
      <c r="A30" s="26"/>
      <c r="B30" s="13" t="str">
        <f>CONCATENATE("     ","Donations                                         ")</f>
        <v xml:space="preserve">     Donations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276</v>
      </c>
      <c r="U30" s="1"/>
      <c r="V30" s="5">
        <f t="shared" si="13"/>
        <v>0</v>
      </c>
      <c r="W30" s="1"/>
      <c r="X30" s="1">
        <f t="shared" si="14"/>
        <v>-276</v>
      </c>
      <c r="Y30" s="1"/>
      <c r="Z30" s="5">
        <f t="shared" si="15"/>
        <v>-1</v>
      </c>
    </row>
    <row r="31" spans="1:26" s="24" customFormat="1" hidden="1" outlineLevel="2" x14ac:dyDescent="0.25">
      <c r="A31" s="27"/>
      <c r="B31" s="11" t="str">
        <f>CONCATENATE("          ", "6399", " - ", "DONATION-ON CAMPUS")</f>
        <v xml:space="preserve">          6399 - DONATION-ON CAMPUS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276</v>
      </c>
      <c r="U31" s="2"/>
      <c r="V31" s="7">
        <f t="shared" si="13"/>
        <v>0</v>
      </c>
      <c r="W31" s="2"/>
      <c r="X31" s="6">
        <f t="shared" si="14"/>
        <v>-276</v>
      </c>
      <c r="Y31" s="2"/>
      <c r="Z31" s="7">
        <f t="shared" si="15"/>
        <v>-1</v>
      </c>
    </row>
    <row r="32" spans="1:26" s="25" customFormat="1" outlineLevel="1" collapsed="1" x14ac:dyDescent="0.25">
      <c r="A32" s="26"/>
      <c r="B32" s="13" t="str">
        <f>CONCATENATE("     ","Employees' Appreciation                           ")</f>
        <v xml:space="preserve">     Employees' Appreciation                           </v>
      </c>
      <c r="C32" s="13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910</v>
      </c>
      <c r="I32" s="1"/>
      <c r="J32" s="5">
        <f t="shared" si="9"/>
        <v>0</v>
      </c>
      <c r="K32" s="1"/>
      <c r="L32" s="1">
        <f t="shared" si="10"/>
        <v>-910</v>
      </c>
      <c r="M32" s="1"/>
      <c r="N32" s="5">
        <f t="shared" si="11"/>
        <v>-1</v>
      </c>
      <c r="O32" s="13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950.9</v>
      </c>
      <c r="U32" s="1"/>
      <c r="V32" s="5">
        <f t="shared" si="13"/>
        <v>0</v>
      </c>
      <c r="W32" s="1"/>
      <c r="X32" s="1">
        <f t="shared" si="14"/>
        <v>-950.9</v>
      </c>
      <c r="Y32" s="1"/>
      <c r="Z32" s="5">
        <f t="shared" si="15"/>
        <v>-1</v>
      </c>
    </row>
    <row r="33" spans="1:26" s="24" customFormat="1" hidden="1" outlineLevel="2" x14ac:dyDescent="0.25">
      <c r="A33" s="27"/>
      <c r="B33" s="11" t="str">
        <f>CONCATENATE("          ", "6277", " - ", "EMPLOYEE APPRECIATION")</f>
        <v xml:space="preserve">          6277 - EMPLOYEE APPRECIATION</v>
      </c>
      <c r="C33" s="11"/>
      <c r="D33" s="6"/>
      <c r="E33" s="2"/>
      <c r="F33" s="7">
        <f t="shared" si="8"/>
        <v>0</v>
      </c>
      <c r="G33" s="2"/>
      <c r="H33" s="6">
        <v>910</v>
      </c>
      <c r="I33" s="2"/>
      <c r="J33" s="7">
        <f t="shared" si="9"/>
        <v>0</v>
      </c>
      <c r="K33" s="2"/>
      <c r="L33" s="6">
        <f t="shared" si="10"/>
        <v>-910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950.9</v>
      </c>
      <c r="U33" s="2"/>
      <c r="V33" s="7">
        <f t="shared" si="13"/>
        <v>0</v>
      </c>
      <c r="W33" s="2"/>
      <c r="X33" s="6">
        <f t="shared" si="14"/>
        <v>-950.9</v>
      </c>
      <c r="Y33" s="2"/>
      <c r="Z33" s="7">
        <f t="shared" si="15"/>
        <v>-1</v>
      </c>
    </row>
    <row r="34" spans="1:26" s="25" customFormat="1" outlineLevel="1" collapsed="1" x14ac:dyDescent="0.25">
      <c r="A34" s="26"/>
      <c r="B34" s="13" t="str">
        <f>CONCATENATE("     ","General                                           ")</f>
        <v xml:space="preserve">     General                                           </v>
      </c>
      <c r="C34" s="13"/>
      <c r="D34" s="1">
        <f>SUM(OSRRefD22_4x_0)</f>
        <v>87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87</v>
      </c>
      <c r="M34" s="1"/>
      <c r="N34" s="5">
        <f t="shared" si="11"/>
        <v>0</v>
      </c>
      <c r="O34" s="13"/>
      <c r="P34" s="1">
        <f>SUM(OSRRefP22_4x_0)</f>
        <v>293.82</v>
      </c>
      <c r="Q34" s="1"/>
      <c r="R34" s="5">
        <f t="shared" si="12"/>
        <v>0</v>
      </c>
      <c r="S34" s="1"/>
      <c r="T34" s="1">
        <f>SUM(OSRRefT22_4x_0)</f>
        <v>323.31</v>
      </c>
      <c r="U34" s="1"/>
      <c r="V34" s="5">
        <f t="shared" si="13"/>
        <v>0</v>
      </c>
      <c r="W34" s="1"/>
      <c r="X34" s="1">
        <f t="shared" si="14"/>
        <v>-29.490000000000009</v>
      </c>
      <c r="Y34" s="1"/>
      <c r="Z34" s="5">
        <f t="shared" si="15"/>
        <v>-9.1212767931706434E-2</v>
      </c>
    </row>
    <row r="35" spans="1:26" s="24" customFormat="1" hidden="1" outlineLevel="2" x14ac:dyDescent="0.25">
      <c r="A35" s="27"/>
      <c r="B35" s="11" t="str">
        <f>CONCATENATE("          ", "6279", " - ", "GENERAL EXPENSE")</f>
        <v xml:space="preserve">          6279 - GENERAL EXPENSE</v>
      </c>
      <c r="C35" s="11"/>
      <c r="D35" s="6">
        <v>87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87</v>
      </c>
      <c r="M35" s="2"/>
      <c r="N35" s="7">
        <f t="shared" si="11"/>
        <v>0</v>
      </c>
      <c r="O35" s="11"/>
      <c r="P35" s="6">
        <v>293.82</v>
      </c>
      <c r="Q35" s="2"/>
      <c r="R35" s="7">
        <f t="shared" si="12"/>
        <v>0</v>
      </c>
      <c r="S35" s="2"/>
      <c r="T35" s="6">
        <v>323.31</v>
      </c>
      <c r="U35" s="2"/>
      <c r="V35" s="7">
        <f t="shared" si="13"/>
        <v>0</v>
      </c>
      <c r="W35" s="2"/>
      <c r="X35" s="6">
        <f t="shared" si="14"/>
        <v>-29.490000000000009</v>
      </c>
      <c r="Y35" s="2"/>
      <c r="Z35" s="7">
        <f t="shared" si="15"/>
        <v>-9.1212767931706434E-2</v>
      </c>
    </row>
    <row r="36" spans="1:26" s="25" customFormat="1" outlineLevel="1" collapsed="1" x14ac:dyDescent="0.25">
      <c r="A36" s="26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3"/>
      <c r="P36" s="1">
        <f>SUM(OSRRefP22_5x_0)</f>
        <v>46585.43</v>
      </c>
      <c r="Q36" s="1"/>
      <c r="R36" s="5">
        <f t="shared" si="12"/>
        <v>0</v>
      </c>
      <c r="S36" s="1"/>
      <c r="T36" s="1">
        <f>SUM(OSRRefT22_5x_0)</f>
        <v>0</v>
      </c>
      <c r="U36" s="1"/>
      <c r="V36" s="5">
        <f t="shared" si="13"/>
        <v>0</v>
      </c>
      <c r="W36" s="1"/>
      <c r="X36" s="1">
        <f t="shared" si="14"/>
        <v>46585.43</v>
      </c>
      <c r="Y36" s="1"/>
      <c r="Z36" s="5">
        <f t="shared" si="15"/>
        <v>0</v>
      </c>
    </row>
    <row r="37" spans="1:26" s="24" customFormat="1" hidden="1" outlineLevel="2" x14ac:dyDescent="0.25">
      <c r="A37" s="27"/>
      <c r="B37" s="11" t="str">
        <f>CONCATENATE("          ", "6371", " - ", "COMPUTER SOFTWARE MAINTENANCE")</f>
        <v xml:space="preserve">          6371 - COMPUTER SOFTWARE MAINTENANCE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46585.43</v>
      </c>
      <c r="Q37" s="2"/>
      <c r="R37" s="7">
        <f t="shared" si="12"/>
        <v>0</v>
      </c>
      <c r="S37" s="2"/>
      <c r="T37" s="6"/>
      <c r="U37" s="2"/>
      <c r="V37" s="7">
        <f t="shared" si="13"/>
        <v>0</v>
      </c>
      <c r="W37" s="2"/>
      <c r="X37" s="6">
        <f t="shared" si="14"/>
        <v>46585.43</v>
      </c>
      <c r="Y37" s="2"/>
      <c r="Z37" s="7">
        <f t="shared" si="15"/>
        <v>0</v>
      </c>
    </row>
    <row r="38" spans="1:26" s="25" customFormat="1" outlineLevel="1" collapsed="1" x14ac:dyDescent="0.25">
      <c r="A38" s="26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SUM(OSRRefD22_6x_0)</f>
        <v>0</v>
      </c>
      <c r="E38" s="1"/>
      <c r="F38" s="5">
        <f t="shared" si="8"/>
        <v>0</v>
      </c>
      <c r="G38" s="1"/>
      <c r="H38" s="1">
        <f>SUM(OSRRefH22_6x_0)</f>
        <v>-528.62</v>
      </c>
      <c r="I38" s="1"/>
      <c r="J38" s="5">
        <f t="shared" si="9"/>
        <v>0</v>
      </c>
      <c r="K38" s="1"/>
      <c r="L38" s="1">
        <f t="shared" si="10"/>
        <v>528.62</v>
      </c>
      <c r="M38" s="1"/>
      <c r="N38" s="5">
        <f t="shared" si="11"/>
        <v>-1</v>
      </c>
      <c r="O38" s="13"/>
      <c r="P38" s="1">
        <f>SUM(OSRRefP22_6x_0)</f>
        <v>3917.81</v>
      </c>
      <c r="Q38" s="1"/>
      <c r="R38" s="5">
        <f t="shared" si="12"/>
        <v>0</v>
      </c>
      <c r="S38" s="1"/>
      <c r="T38" s="1">
        <f>SUM(OSRRefT22_6x_0)</f>
        <v>769.11</v>
      </c>
      <c r="U38" s="1"/>
      <c r="V38" s="5">
        <f t="shared" si="13"/>
        <v>0</v>
      </c>
      <c r="W38" s="1"/>
      <c r="X38" s="1">
        <f t="shared" si="14"/>
        <v>3148.7</v>
      </c>
      <c r="Y38" s="1"/>
      <c r="Z38" s="5">
        <f t="shared" si="15"/>
        <v>4.0939527505818409</v>
      </c>
    </row>
    <row r="39" spans="1:26" s="24" customFormat="1" hidden="1" outlineLevel="2" x14ac:dyDescent="0.25">
      <c r="A39" s="27"/>
      <c r="B39" s="11" t="str">
        <f>CONCATENATE("          ", "6241", " - ", "OFFICE EXPENSE")</f>
        <v xml:space="preserve">          6241 - OFFICE EXPENSE</v>
      </c>
      <c r="C39" s="11"/>
      <c r="D39" s="6"/>
      <c r="E39" s="2"/>
      <c r="F39" s="7">
        <f t="shared" si="8"/>
        <v>0</v>
      </c>
      <c r="G39" s="2"/>
      <c r="H39" s="6">
        <v>-528.62</v>
      </c>
      <c r="I39" s="2"/>
      <c r="J39" s="7">
        <f t="shared" si="9"/>
        <v>0</v>
      </c>
      <c r="K39" s="2"/>
      <c r="L39" s="6">
        <f t="shared" si="10"/>
        <v>528.62</v>
      </c>
      <c r="M39" s="2"/>
      <c r="N39" s="7">
        <f t="shared" si="11"/>
        <v>-1</v>
      </c>
      <c r="O39" s="11"/>
      <c r="P39" s="6">
        <v>3917.81</v>
      </c>
      <c r="Q39" s="2"/>
      <c r="R39" s="7">
        <f t="shared" si="12"/>
        <v>0</v>
      </c>
      <c r="S39" s="2"/>
      <c r="T39" s="6">
        <v>462.32</v>
      </c>
      <c r="U39" s="2"/>
      <c r="V39" s="7">
        <f t="shared" si="13"/>
        <v>0</v>
      </c>
      <c r="W39" s="2"/>
      <c r="X39" s="6">
        <f t="shared" si="14"/>
        <v>3455.49</v>
      </c>
      <c r="Y39" s="2"/>
      <c r="Z39" s="7">
        <f t="shared" si="15"/>
        <v>7.4742386225990654</v>
      </c>
    </row>
    <row r="40" spans="1:26" s="24" customFormat="1" hidden="1" outlineLevel="2" x14ac:dyDescent="0.25">
      <c r="A40" s="27"/>
      <c r="B40" s="11" t="str">
        <f>CONCATENATE("          ", "6245", " - ", "PRINTING")</f>
        <v xml:space="preserve">          6245 - PRINTING</v>
      </c>
      <c r="C40" s="11"/>
      <c r="D40" s="6"/>
      <c r="E40" s="2"/>
      <c r="F40" s="7">
        <f t="shared" si="8"/>
        <v>0</v>
      </c>
      <c r="G40" s="2"/>
      <c r="H40" s="6"/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306.79000000000002</v>
      </c>
      <c r="U40" s="2"/>
      <c r="V40" s="7">
        <f t="shared" si="13"/>
        <v>0</v>
      </c>
      <c r="W40" s="2"/>
      <c r="X40" s="6">
        <f t="shared" si="14"/>
        <v>-306.79000000000002</v>
      </c>
      <c r="Y40" s="2"/>
      <c r="Z40" s="7">
        <f t="shared" si="15"/>
        <v>-1</v>
      </c>
    </row>
    <row r="41" spans="1:26" s="25" customFormat="1" outlineLevel="1" collapsed="1" x14ac:dyDescent="0.25">
      <c r="A41" s="26"/>
      <c r="B41" s="13" t="str">
        <f>CONCATENATE("     ","Telephone/Data Lines                              ")</f>
        <v xml:space="preserve">     Telephone/Data Lines                              </v>
      </c>
      <c r="C41" s="13"/>
      <c r="D41" s="1">
        <f>SUM(OSRRefD22_7x_0)</f>
        <v>50</v>
      </c>
      <c r="E41" s="1"/>
      <c r="F41" s="5">
        <f t="shared" ref="F41:F46" si="16">IF(D$12=0,0,D41/D$12)</f>
        <v>0</v>
      </c>
      <c r="G41" s="1"/>
      <c r="H41" s="1">
        <f>SUM(OSRRefH22_7x_0)</f>
        <v>50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0</v>
      </c>
      <c r="M41" s="1"/>
      <c r="N41" s="5">
        <f t="shared" ref="N41:N46" si="19">IF(H41=0,0,L41/H41)</f>
        <v>0</v>
      </c>
      <c r="O41" s="13"/>
      <c r="P41" s="1">
        <f>SUM(OSRRefP22_7x_0)</f>
        <v>-400</v>
      </c>
      <c r="Q41" s="1"/>
      <c r="R41" s="5">
        <f t="shared" ref="R41:R46" si="20">IF(P$12=0,0,P41/P$12)</f>
        <v>0</v>
      </c>
      <c r="S41" s="1"/>
      <c r="T41" s="1">
        <f>SUM(OSRRefT22_7x_0)</f>
        <v>410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-810</v>
      </c>
      <c r="Y41" s="1"/>
      <c r="Z41" s="5">
        <f t="shared" ref="Z41:Z46" si="23">IF(T41=0,0,X41/T41)</f>
        <v>-1.975609756097561</v>
      </c>
    </row>
    <row r="42" spans="1:26" s="24" customFormat="1" hidden="1" outlineLevel="2" x14ac:dyDescent="0.25">
      <c r="A42" s="27"/>
      <c r="B42" s="11" t="str">
        <f>CONCATENATE("          ", "6309", " - ", "TELEPHONE")</f>
        <v xml:space="preserve">          6309 - TELEPHONE</v>
      </c>
      <c r="C42" s="11"/>
      <c r="D42" s="6">
        <v>50</v>
      </c>
      <c r="E42" s="2"/>
      <c r="F42" s="7">
        <f t="shared" si="16"/>
        <v>0</v>
      </c>
      <c r="G42" s="2"/>
      <c r="H42" s="6">
        <v>50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-400</v>
      </c>
      <c r="Q42" s="2"/>
      <c r="R42" s="7">
        <f t="shared" si="20"/>
        <v>0</v>
      </c>
      <c r="S42" s="2"/>
      <c r="T42" s="6">
        <v>410</v>
      </c>
      <c r="U42" s="2"/>
      <c r="V42" s="7">
        <f t="shared" si="21"/>
        <v>0</v>
      </c>
      <c r="W42" s="2"/>
      <c r="X42" s="6">
        <f t="shared" si="22"/>
        <v>-810</v>
      </c>
      <c r="Y42" s="2"/>
      <c r="Z42" s="7">
        <f t="shared" si="23"/>
        <v>-1.975609756097561</v>
      </c>
    </row>
    <row r="43" spans="1:26" s="25" customFormat="1" outlineLevel="1" collapsed="1" x14ac:dyDescent="0.25">
      <c r="A43" s="26"/>
      <c r="B43" s="13" t="str">
        <f>CONCATENATE("     ","Training                                          ")</f>
        <v xml:space="preserve">     Training                                          </v>
      </c>
      <c r="C43" s="13"/>
      <c r="D43" s="1">
        <f>SUM(OSRRefD22_8x_0)</f>
        <v>0</v>
      </c>
      <c r="E43" s="1"/>
      <c r="F43" s="5">
        <f t="shared" si="16"/>
        <v>0</v>
      </c>
      <c r="G43" s="1"/>
      <c r="H43" s="1">
        <f>SUM(OSRRefH22_8x_0)</f>
        <v>6.99</v>
      </c>
      <c r="I43" s="1"/>
      <c r="J43" s="5">
        <f t="shared" si="17"/>
        <v>0</v>
      </c>
      <c r="K43" s="1"/>
      <c r="L43" s="1">
        <f t="shared" si="18"/>
        <v>-6.99</v>
      </c>
      <c r="M43" s="1"/>
      <c r="N43" s="5">
        <f t="shared" si="19"/>
        <v>-1</v>
      </c>
      <c r="O43" s="13"/>
      <c r="P43" s="1">
        <f>SUM(OSRRefP22_8x_0)</f>
        <v>2950.22</v>
      </c>
      <c r="Q43" s="1"/>
      <c r="R43" s="5">
        <f t="shared" si="20"/>
        <v>0</v>
      </c>
      <c r="S43" s="1"/>
      <c r="T43" s="1">
        <f>SUM(OSRRefT22_8x_0)</f>
        <v>3042.3</v>
      </c>
      <c r="U43" s="1"/>
      <c r="V43" s="5">
        <f t="shared" si="21"/>
        <v>0</v>
      </c>
      <c r="W43" s="1"/>
      <c r="X43" s="1">
        <f t="shared" si="22"/>
        <v>-92.080000000000382</v>
      </c>
      <c r="Y43" s="1"/>
      <c r="Z43" s="5">
        <f t="shared" si="23"/>
        <v>-3.0266574631035853E-2</v>
      </c>
    </row>
    <row r="44" spans="1:26" s="24" customFormat="1" hidden="1" outlineLevel="2" x14ac:dyDescent="0.25">
      <c r="A44" s="27"/>
      <c r="B44" s="11" t="str">
        <f>CONCATENATE("          ", "6376", " - ", "TRAINING")</f>
        <v xml:space="preserve">          6376 - TRAINING</v>
      </c>
      <c r="C44" s="11"/>
      <c r="D44" s="6"/>
      <c r="E44" s="2"/>
      <c r="F44" s="7">
        <f t="shared" si="16"/>
        <v>0</v>
      </c>
      <c r="G44" s="2"/>
      <c r="H44" s="6">
        <v>6.99</v>
      </c>
      <c r="I44" s="2"/>
      <c r="J44" s="7">
        <f t="shared" si="17"/>
        <v>0</v>
      </c>
      <c r="K44" s="2"/>
      <c r="L44" s="6">
        <f t="shared" si="18"/>
        <v>-6.99</v>
      </c>
      <c r="M44" s="2"/>
      <c r="N44" s="7">
        <f t="shared" si="19"/>
        <v>-1</v>
      </c>
      <c r="O44" s="11"/>
      <c r="P44" s="6">
        <v>2950.22</v>
      </c>
      <c r="Q44" s="2"/>
      <c r="R44" s="7">
        <f t="shared" si="20"/>
        <v>0</v>
      </c>
      <c r="S44" s="2"/>
      <c r="T44" s="6">
        <v>3042.3</v>
      </c>
      <c r="U44" s="2"/>
      <c r="V44" s="7">
        <f t="shared" si="21"/>
        <v>0</v>
      </c>
      <c r="W44" s="2"/>
      <c r="X44" s="6">
        <f t="shared" si="22"/>
        <v>-92.080000000000382</v>
      </c>
      <c r="Y44" s="2"/>
      <c r="Z44" s="7">
        <f t="shared" si="23"/>
        <v>-3.0266574631035853E-2</v>
      </c>
    </row>
    <row r="45" spans="1:26" s="25" customFormat="1" outlineLevel="1" collapsed="1" x14ac:dyDescent="0.25">
      <c r="A45" s="26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SUM(OSRRefD22_9x_0)</f>
        <v>0</v>
      </c>
      <c r="E45" s="1"/>
      <c r="F45" s="5">
        <f t="shared" si="16"/>
        <v>0</v>
      </c>
      <c r="G45" s="1"/>
      <c r="H45" s="1">
        <f>SUM(OSRRefH22_9x_0)</f>
        <v>358.33</v>
      </c>
      <c r="I45" s="1"/>
      <c r="J45" s="5">
        <f t="shared" si="17"/>
        <v>0</v>
      </c>
      <c r="K45" s="1"/>
      <c r="L45" s="1">
        <f t="shared" si="18"/>
        <v>-358.33</v>
      </c>
      <c r="M45" s="1"/>
      <c r="N45" s="5">
        <f t="shared" si="19"/>
        <v>-1</v>
      </c>
      <c r="O45" s="13"/>
      <c r="P45" s="1">
        <f>SUM(OSRRefP22_9x_0)</f>
        <v>325.75</v>
      </c>
      <c r="Q45" s="1"/>
      <c r="R45" s="5">
        <f t="shared" si="20"/>
        <v>0</v>
      </c>
      <c r="S45" s="1"/>
      <c r="T45" s="1">
        <f>SUM(OSRRefT22_9x_0)</f>
        <v>1558.86</v>
      </c>
      <c r="U45" s="1"/>
      <c r="V45" s="5">
        <f t="shared" si="21"/>
        <v>0</v>
      </c>
      <c r="W45" s="1"/>
      <c r="X45" s="1">
        <f t="shared" si="22"/>
        <v>-1233.1099999999999</v>
      </c>
      <c r="Y45" s="1"/>
      <c r="Z45" s="5">
        <f t="shared" si="23"/>
        <v>-0.79103319092157087</v>
      </c>
    </row>
    <row r="46" spans="1:26" s="24" customFormat="1" hidden="1" outlineLevel="2" x14ac:dyDescent="0.25">
      <c r="A46" s="27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16"/>
        <v>0</v>
      </c>
      <c r="G46" s="2"/>
      <c r="H46" s="6">
        <v>358.33</v>
      </c>
      <c r="I46" s="2"/>
      <c r="J46" s="7">
        <f t="shared" si="17"/>
        <v>0</v>
      </c>
      <c r="K46" s="2"/>
      <c r="L46" s="6">
        <f t="shared" si="18"/>
        <v>-358.33</v>
      </c>
      <c r="M46" s="2"/>
      <c r="N46" s="7">
        <f t="shared" si="19"/>
        <v>-1</v>
      </c>
      <c r="O46" s="11"/>
      <c r="P46" s="6">
        <v>325.75</v>
      </c>
      <c r="Q46" s="2"/>
      <c r="R46" s="7">
        <f t="shared" si="20"/>
        <v>0</v>
      </c>
      <c r="S46" s="2"/>
      <c r="T46" s="6">
        <v>1558.86</v>
      </c>
      <c r="U46" s="2"/>
      <c r="V46" s="7">
        <f t="shared" si="21"/>
        <v>0</v>
      </c>
      <c r="W46" s="2"/>
      <c r="X46" s="6">
        <f t="shared" si="22"/>
        <v>-1233.1099999999999</v>
      </c>
      <c r="Y46" s="2"/>
      <c r="Z46" s="7">
        <f t="shared" si="23"/>
        <v>-0.79103319092157087</v>
      </c>
    </row>
    <row r="47" spans="1:26" s="53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1">
        <f>+D16-D18+D48</f>
        <v>-16718.97</v>
      </c>
      <c r="E50" s="14"/>
      <c r="F50" s="20">
        <f>IF(D$12=0,0,D50/D$12)</f>
        <v>0</v>
      </c>
      <c r="G50" s="14"/>
      <c r="H50" s="21">
        <f>+H16-H18+H48</f>
        <v>-12112.569999999998</v>
      </c>
      <c r="I50" s="14"/>
      <c r="J50" s="20">
        <f>IF(H$12=0,0,H50/H$12)</f>
        <v>0</v>
      </c>
      <c r="K50" s="15"/>
      <c r="L50" s="21">
        <f>+D50-H50</f>
        <v>-4606.4000000000033</v>
      </c>
      <c r="M50" s="15"/>
      <c r="N50" s="20">
        <f>IF(H50=0,0,L50/H50)</f>
        <v>0.38029914378203833</v>
      </c>
      <c r="O50" s="29"/>
      <c r="P50" s="21">
        <f>+P16-P18+P48</f>
        <v>-196864.15</v>
      </c>
      <c r="Q50" s="14"/>
      <c r="R50" s="20">
        <f>IF(P$12=0,0,P50/P$12)</f>
        <v>0</v>
      </c>
      <c r="S50" s="14"/>
      <c r="T50" s="21">
        <f>+T16-T18+T48</f>
        <v>-138209.59999999998</v>
      </c>
      <c r="U50" s="14"/>
      <c r="V50" s="20">
        <f>IF(T$12=0,0,T50/T$12)</f>
        <v>0</v>
      </c>
      <c r="W50" s="15"/>
      <c r="X50" s="21">
        <f>+P50-T50</f>
        <v>-58654.550000000017</v>
      </c>
      <c r="Y50" s="15"/>
      <c r="Z50" s="20">
        <f>IF(T50=0,0,X50/T50)</f>
        <v>0.42438839270209905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0">
        <f>+D50-D52</f>
        <v>-16718.97</v>
      </c>
      <c r="E54" s="14"/>
      <c r="F54" s="36">
        <f>IF(D$12=0,0,D54/D$12)</f>
        <v>0</v>
      </c>
      <c r="G54" s="14"/>
      <c r="H54" s="30">
        <f>+H50-H52</f>
        <v>-12112.569999999998</v>
      </c>
      <c r="I54" s="14"/>
      <c r="J54" s="36">
        <f>IF(H$12=0,0,H54/H$12)</f>
        <v>0</v>
      </c>
      <c r="K54" s="15"/>
      <c r="L54" s="30">
        <f>D54-H54</f>
        <v>-4606.4000000000033</v>
      </c>
      <c r="M54" s="15"/>
      <c r="N54" s="36">
        <f>IF(H54=0,0,L54/H54)</f>
        <v>0.38029914378203833</v>
      </c>
      <c r="O54" s="29"/>
      <c r="P54" s="30">
        <f>+P50-P52</f>
        <v>-196864.15</v>
      </c>
      <c r="Q54" s="14"/>
      <c r="R54" s="36">
        <f>IF(P$12=0,0,P54/P$12)</f>
        <v>0</v>
      </c>
      <c r="S54" s="14"/>
      <c r="T54" s="30">
        <f>+T50-T52</f>
        <v>-138209.59999999998</v>
      </c>
      <c r="U54" s="14"/>
      <c r="V54" s="36">
        <f>IF(T$12=0,0,T54/T$12)</f>
        <v>0</v>
      </c>
      <c r="W54" s="15"/>
      <c r="X54" s="30">
        <f>P54-T54</f>
        <v>-58654.550000000017</v>
      </c>
      <c r="Y54" s="15"/>
      <c r="Z54" s="36">
        <f>IF(T54=0,0,X54/T54)</f>
        <v>0.42438839270209905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1">
        <f>SUM(D54:D56)</f>
        <v>-16718.97</v>
      </c>
      <c r="E57" s="14"/>
      <c r="F57" s="32">
        <f>IF(D$12=0,0,D57/D$12)</f>
        <v>0</v>
      </c>
      <c r="G57" s="14"/>
      <c r="H57" s="31">
        <f>SUM(H54:H56)</f>
        <v>-12112.569999999998</v>
      </c>
      <c r="I57" s="14"/>
      <c r="J57" s="32">
        <f>IF(H$12=0,0,H57/H$12)</f>
        <v>0</v>
      </c>
      <c r="K57" s="15"/>
      <c r="L57" s="31">
        <f>+D57-H57</f>
        <v>-4606.4000000000033</v>
      </c>
      <c r="M57" s="15"/>
      <c r="N57" s="32">
        <f>IF(H57=0,0,L57/H57)</f>
        <v>0.38029914378203833</v>
      </c>
      <c r="O57" s="29"/>
      <c r="P57" s="31">
        <f>SUM(P54:P56)</f>
        <v>-196864.15</v>
      </c>
      <c r="Q57" s="14"/>
      <c r="R57" s="32">
        <f>IF(P$12=0,0,P57/P$12)</f>
        <v>0</v>
      </c>
      <c r="S57" s="14"/>
      <c r="T57" s="31">
        <f>SUM(T54:T56)</f>
        <v>-138209.59999999998</v>
      </c>
      <c r="U57" s="14"/>
      <c r="V57" s="32">
        <f>IF(T$12=0,0,T57/T$12)</f>
        <v>0</v>
      </c>
      <c r="W57" s="15"/>
      <c r="X57" s="31">
        <f>+P57-T57</f>
        <v>-58654.550000000017</v>
      </c>
      <c r="Y57" s="15"/>
      <c r="Z57" s="32">
        <f>IF(T57=0,0,X57/T57)</f>
        <v>0.42438839270209905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4">
        <v>43965.471454282408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59" t="s">
        <v>313</v>
      </c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61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","433", " - ", "Hillside Dining Hall")</f>
        <v>Department 433 - Hillside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4348.7</v>
      </c>
      <c r="E12" s="4"/>
      <c r="F12" s="12"/>
      <c r="G12" s="4"/>
      <c r="H12" s="4">
        <f>SUM(OSRRefH13x_0)</f>
        <v>462878.13999999996</v>
      </c>
      <c r="I12" s="4"/>
      <c r="J12" s="12"/>
      <c r="K12" s="4"/>
      <c r="L12" s="4">
        <f t="shared" ref="L12:L16" si="0">+D12-H12</f>
        <v>-458529.43999999994</v>
      </c>
      <c r="M12" s="4"/>
      <c r="N12" s="12">
        <f t="shared" ref="N12:N16" si="1">IF(H12=0,0,L12/H12)</f>
        <v>-0.99060508668653047</v>
      </c>
      <c r="O12" s="10"/>
      <c r="P12" s="4">
        <f>SUM(OSRRefP13x_0)</f>
        <v>3663589.99</v>
      </c>
      <c r="Q12" s="4"/>
      <c r="R12" s="12"/>
      <c r="S12" s="4"/>
      <c r="T12" s="4">
        <f>SUM(OSRRefT13x_0)</f>
        <v>4066983.26</v>
      </c>
      <c r="U12" s="4"/>
      <c r="V12" s="12"/>
      <c r="W12" s="4"/>
      <c r="X12" s="4">
        <f t="shared" ref="X12:X16" si="2">+P12-T12</f>
        <v>-403393.26999999955</v>
      </c>
      <c r="Y12" s="4"/>
      <c r="Z12" s="12">
        <f t="shared" ref="Z12:Z16" si="3">IF(T12=0,0,X12/T12)</f>
        <v>-9.9187344577366068E-2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--46.54</f>
        <v>46.54</v>
      </c>
      <c r="E13" s="2"/>
      <c r="F13" s="19"/>
      <c r="G13" s="2"/>
      <c r="H13" s="2">
        <f>--4787.97</f>
        <v>4787.97</v>
      </c>
      <c r="I13" s="2"/>
      <c r="J13" s="19"/>
      <c r="K13" s="2"/>
      <c r="L13" s="2">
        <f t="shared" si="0"/>
        <v>-4741.43</v>
      </c>
      <c r="M13" s="2"/>
      <c r="N13" s="19">
        <f t="shared" si="1"/>
        <v>-0.99027980542902316</v>
      </c>
      <c r="O13" s="11"/>
      <c r="P13" s="2">
        <f>--21381.66</f>
        <v>21381.66</v>
      </c>
      <c r="Q13" s="2"/>
      <c r="R13" s="19"/>
      <c r="S13" s="2"/>
      <c r="T13" s="2">
        <f>--15868.44</f>
        <v>15868.44</v>
      </c>
      <c r="U13" s="2"/>
      <c r="V13" s="19"/>
      <c r="W13" s="2"/>
      <c r="X13" s="2">
        <f t="shared" si="2"/>
        <v>5513.2199999999993</v>
      </c>
      <c r="Y13" s="2"/>
      <c r="Z13" s="19">
        <f t="shared" si="3"/>
        <v>0.34743301799042625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--1200</f>
        <v>1200</v>
      </c>
      <c r="E14" s="2"/>
      <c r="F14" s="19"/>
      <c r="G14" s="2"/>
      <c r="H14" s="2">
        <f>--445241.56</f>
        <v>445241.56</v>
      </c>
      <c r="I14" s="2"/>
      <c r="J14" s="19"/>
      <c r="K14" s="2"/>
      <c r="L14" s="2">
        <f t="shared" si="0"/>
        <v>-444041.56</v>
      </c>
      <c r="M14" s="2"/>
      <c r="N14" s="19">
        <f t="shared" si="1"/>
        <v>-0.99730483380751789</v>
      </c>
      <c r="O14" s="11"/>
      <c r="P14" s="2">
        <f>--3393840.21</f>
        <v>3393840.21</v>
      </c>
      <c r="Q14" s="2"/>
      <c r="R14" s="19"/>
      <c r="S14" s="2"/>
      <c r="T14" s="2">
        <f>--3813628.71</f>
        <v>3813628.71</v>
      </c>
      <c r="U14" s="2"/>
      <c r="V14" s="19"/>
      <c r="W14" s="2"/>
      <c r="X14" s="2">
        <f t="shared" si="2"/>
        <v>-419788.5</v>
      </c>
      <c r="Y14" s="2"/>
      <c r="Z14" s="19">
        <f t="shared" si="3"/>
        <v>-0.11007587049553128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--3102.16</f>
        <v>3102.16</v>
      </c>
      <c r="E15" s="2"/>
      <c r="F15" s="19"/>
      <c r="G15" s="2"/>
      <c r="H15" s="2">
        <f>--12848.61</f>
        <v>12848.61</v>
      </c>
      <c r="I15" s="2"/>
      <c r="J15" s="19"/>
      <c r="K15" s="2"/>
      <c r="L15" s="2">
        <f t="shared" si="0"/>
        <v>-9746.4500000000007</v>
      </c>
      <c r="M15" s="2"/>
      <c r="N15" s="19">
        <f t="shared" si="1"/>
        <v>-0.75856065364268976</v>
      </c>
      <c r="O15" s="11"/>
      <c r="P15" s="2">
        <f>--248368.12</f>
        <v>248368.12</v>
      </c>
      <c r="Q15" s="2"/>
      <c r="R15" s="19"/>
      <c r="S15" s="2"/>
      <c r="T15" s="2">
        <f>--236431.21</f>
        <v>236431.21</v>
      </c>
      <c r="U15" s="2"/>
      <c r="V15" s="19"/>
      <c r="W15" s="2"/>
      <c r="X15" s="2">
        <f t="shared" si="2"/>
        <v>11936.910000000003</v>
      </c>
      <c r="Y15" s="2"/>
      <c r="Z15" s="19">
        <f t="shared" si="3"/>
        <v>5.0487877636797629E-2</v>
      </c>
    </row>
    <row r="16" spans="1:26" s="24" customFormat="1" hidden="1" outlineLevel="1" x14ac:dyDescent="0.2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-1054.9000000000001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-10627.8</v>
      </c>
      <c r="E18" s="4"/>
      <c r="F18" s="12">
        <f t="shared" ref="F18:F20" si="4">IF(D$12=0,0,D18/D$12)</f>
        <v>-2.4439027755421159</v>
      </c>
      <c r="G18" s="4"/>
      <c r="H18" s="4">
        <f>SUM(OSRRefH16x_0)</f>
        <v>121473.25000000001</v>
      </c>
      <c r="I18" s="4"/>
      <c r="J18" s="12">
        <f t="shared" ref="J18:J20" si="5">IF(H$12=0,0,H18/H$12)</f>
        <v>0.26243030185007232</v>
      </c>
      <c r="K18" s="4"/>
      <c r="L18" s="4">
        <f t="shared" ref="L18:L20" si="6">+D18-H18</f>
        <v>-132101.05000000002</v>
      </c>
      <c r="M18" s="4"/>
      <c r="N18" s="12">
        <f t="shared" ref="N18:N20" si="7">IF(H18=0,0,L18/H18)</f>
        <v>-1.0874908673308732</v>
      </c>
      <c r="O18" s="10"/>
      <c r="P18" s="4">
        <f>SUM(OSRRefP16x_0)</f>
        <v>874879.02</v>
      </c>
      <c r="Q18" s="4"/>
      <c r="R18" s="12">
        <f t="shared" ref="R18:R20" si="8">IF(P$12=0,0,P18/P$12)</f>
        <v>0.23880374779602451</v>
      </c>
      <c r="S18" s="4"/>
      <c r="T18" s="4">
        <f>SUM(OSRRefT16x_0)</f>
        <v>996135.2699999999</v>
      </c>
      <c r="U18" s="4"/>
      <c r="V18" s="12">
        <f t="shared" ref="V18:V20" si="9">IF(T$12=0,0,T18/T$12)</f>
        <v>0.24493222772694667</v>
      </c>
      <c r="W18" s="4"/>
      <c r="X18" s="4">
        <f t="shared" ref="X18:X20" si="10">+P18-T18</f>
        <v>-121256.24999999988</v>
      </c>
      <c r="Y18" s="4"/>
      <c r="Z18" s="12">
        <f t="shared" ref="Z18:Z20" si="11">IF(T18=0,0,X18/T18)</f>
        <v>-0.12172669079371107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13033.2</v>
      </c>
      <c r="E19" s="2"/>
      <c r="F19" s="19">
        <f t="shared" si="4"/>
        <v>2.9970335962471548</v>
      </c>
      <c r="G19" s="2"/>
      <c r="H19" s="2">
        <v>128190.25000000001</v>
      </c>
      <c r="I19" s="2"/>
      <c r="J19" s="19">
        <f t="shared" si="5"/>
        <v>0.27694168059005775</v>
      </c>
      <c r="K19" s="2"/>
      <c r="L19" s="2">
        <f t="shared" si="6"/>
        <v>-115157.05000000002</v>
      </c>
      <c r="M19" s="2"/>
      <c r="N19" s="19">
        <f t="shared" si="7"/>
        <v>-0.89832924110843071</v>
      </c>
      <c r="O19" s="11"/>
      <c r="P19" s="2">
        <v>886656.02</v>
      </c>
      <c r="Q19" s="2"/>
      <c r="R19" s="19">
        <f t="shared" si="8"/>
        <v>0.24201835424274645</v>
      </c>
      <c r="S19" s="2"/>
      <c r="T19" s="2">
        <v>1006138.5199999999</v>
      </c>
      <c r="U19" s="2"/>
      <c r="V19" s="19">
        <f t="shared" si="9"/>
        <v>0.24739185181696566</v>
      </c>
      <c r="W19" s="2"/>
      <c r="X19" s="2">
        <f t="shared" si="10"/>
        <v>-119482.49999999988</v>
      </c>
      <c r="Y19" s="2"/>
      <c r="Z19" s="19">
        <f t="shared" si="11"/>
        <v>-0.11875352908663103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-23661</v>
      </c>
      <c r="E20" s="2"/>
      <c r="F20" s="19">
        <f t="shared" si="4"/>
        <v>-5.4409363717892703</v>
      </c>
      <c r="G20" s="2"/>
      <c r="H20" s="2">
        <v>-6717</v>
      </c>
      <c r="I20" s="2"/>
      <c r="J20" s="19">
        <f t="shared" si="5"/>
        <v>-1.4511378739985432E-2</v>
      </c>
      <c r="K20" s="2"/>
      <c r="L20" s="2">
        <f t="shared" si="6"/>
        <v>-16944</v>
      </c>
      <c r="M20" s="2"/>
      <c r="N20" s="19">
        <f t="shared" si="7"/>
        <v>2.5225547119249665</v>
      </c>
      <c r="O20" s="11"/>
      <c r="P20" s="2">
        <v>-11777</v>
      </c>
      <c r="Q20" s="2"/>
      <c r="R20" s="19">
        <f t="shared" si="8"/>
        <v>-3.2146064467219486E-3</v>
      </c>
      <c r="S20" s="2"/>
      <c r="T20" s="2">
        <v>-10003.25</v>
      </c>
      <c r="U20" s="2"/>
      <c r="V20" s="19">
        <f t="shared" si="9"/>
        <v>-2.4596240900189984E-3</v>
      </c>
      <c r="W20" s="2"/>
      <c r="X20" s="2">
        <f t="shared" si="10"/>
        <v>-1773.75</v>
      </c>
      <c r="Y20" s="2"/>
      <c r="Z20" s="19">
        <f t="shared" si="11"/>
        <v>0.17731737185414739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D12-D18</f>
        <v>14976.5</v>
      </c>
      <c r="E22" s="14"/>
      <c r="F22" s="20">
        <f>IF(D$12=0,0,D22/D$12)</f>
        <v>3.4439027755421163</v>
      </c>
      <c r="G22" s="14"/>
      <c r="H22" s="21">
        <f>H12-H18</f>
        <v>341404.88999999996</v>
      </c>
      <c r="I22" s="14"/>
      <c r="J22" s="20">
        <f>IF(H$12=0,0,H22/H$12)</f>
        <v>0.73756969814992768</v>
      </c>
      <c r="K22" s="15"/>
      <c r="L22" s="21">
        <f>+D22-H22</f>
        <v>-326428.38999999996</v>
      </c>
      <c r="M22" s="15"/>
      <c r="N22" s="20">
        <f>IF(H22=0,0,L22/H22)</f>
        <v>-0.95613273143217137</v>
      </c>
      <c r="O22" s="29"/>
      <c r="P22" s="21">
        <f>P12-P18</f>
        <v>2788710.97</v>
      </c>
      <c r="Q22" s="14"/>
      <c r="R22" s="20">
        <f>IF(P$12=0,0,P22/P$12)</f>
        <v>0.76119625220397547</v>
      </c>
      <c r="S22" s="14"/>
      <c r="T22" s="21">
        <f>T12-T18</f>
        <v>3070847.9899999998</v>
      </c>
      <c r="U22" s="14"/>
      <c r="V22" s="20">
        <f>IF(T$12=0,0,T22/T$12)</f>
        <v>0.75506777227305333</v>
      </c>
      <c r="W22" s="15"/>
      <c r="X22" s="21">
        <f>+P22-T22</f>
        <v>-282137.01999999955</v>
      </c>
      <c r="Y22" s="15"/>
      <c r="Z22" s="20">
        <f>IF(T22=0,0,X22/T22)</f>
        <v>-9.1875931638022754E-2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2">
        <f>SUM(OSRRefD22x_0)</f>
        <v>53061.03</v>
      </c>
      <c r="E24" s="22"/>
      <c r="F24" s="35">
        <f t="shared" ref="F24:F34" si="12">IF(D$12=0,0,D24/D$12)</f>
        <v>12.201584381539311</v>
      </c>
      <c r="G24" s="22"/>
      <c r="H24" s="22">
        <f>SUM(OSRRefH22x_0)</f>
        <v>159080.40000000002</v>
      </c>
      <c r="I24" s="22"/>
      <c r="J24" s="35">
        <f t="shared" ref="J24:J34" si="13">IF(H$12=0,0,H24/H$12)</f>
        <v>0.3436766316076193</v>
      </c>
      <c r="K24" s="4"/>
      <c r="L24" s="22">
        <f t="shared" ref="L24:L34" si="14">+D24-H24</f>
        <v>-106019.37000000002</v>
      </c>
      <c r="M24" s="4"/>
      <c r="N24" s="35">
        <f t="shared" ref="N24:N34" si="15">IF(H24=0,0,L24/H24)</f>
        <v>-0.66645149245287294</v>
      </c>
      <c r="O24" s="10"/>
      <c r="P24" s="22">
        <f>SUM(OSRRefP22x_0)</f>
        <v>1609798.15</v>
      </c>
      <c r="Q24" s="22"/>
      <c r="R24" s="35">
        <f t="shared" ref="R24:R34" si="16">IF(P$12=0,0,P24/P$12)</f>
        <v>0.43940456066154931</v>
      </c>
      <c r="S24" s="22"/>
      <c r="T24" s="22">
        <f>SUM(OSRRefT22x_0)</f>
        <v>1576925.38</v>
      </c>
      <c r="U24" s="22"/>
      <c r="V24" s="35">
        <f t="shared" ref="V24:V34" si="17">IF(T$12=0,0,T24/T$12)</f>
        <v>0.38773835031718323</v>
      </c>
      <c r="W24" s="4"/>
      <c r="X24" s="22">
        <f t="shared" ref="X24:X34" si="18">+P24-T24</f>
        <v>32872.770000000019</v>
      </c>
      <c r="Y24" s="4"/>
      <c r="Z24" s="35">
        <f t="shared" ref="Z24:Z34" si="19">IF(T24=0,0,X24/T24)</f>
        <v>2.0846116383769549E-2</v>
      </c>
    </row>
    <row r="25" spans="1:26" s="25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11623.04</v>
      </c>
      <c r="E25" s="1"/>
      <c r="F25" s="5">
        <f t="shared" si="12"/>
        <v>2.6727619748430569</v>
      </c>
      <c r="G25" s="1"/>
      <c r="H25" s="1">
        <f>SUM(OSRRefH22_0x_0)</f>
        <v>27274.360000000004</v>
      </c>
      <c r="I25" s="1"/>
      <c r="J25" s="5">
        <f t="shared" si="13"/>
        <v>5.8923413406388139E-2</v>
      </c>
      <c r="K25" s="1"/>
      <c r="L25" s="1">
        <f t="shared" si="14"/>
        <v>-15651.320000000003</v>
      </c>
      <c r="M25" s="1"/>
      <c r="N25" s="5">
        <f t="shared" si="15"/>
        <v>-0.57384737900357707</v>
      </c>
      <c r="O25" s="13"/>
      <c r="P25" s="1">
        <f>SUM(OSRRefP22_0x_0)</f>
        <v>267440.86</v>
      </c>
      <c r="Q25" s="1"/>
      <c r="R25" s="5">
        <f t="shared" si="16"/>
        <v>7.2999669922124658E-2</v>
      </c>
      <c r="S25" s="1"/>
      <c r="T25" s="1">
        <f>SUM(OSRRefT22_0x_0)</f>
        <v>280087.77999999997</v>
      </c>
      <c r="U25" s="1"/>
      <c r="V25" s="5">
        <f t="shared" si="17"/>
        <v>6.8868682778891008E-2</v>
      </c>
      <c r="W25" s="1"/>
      <c r="X25" s="1">
        <f t="shared" si="18"/>
        <v>-12646.919999999984</v>
      </c>
      <c r="Y25" s="1"/>
      <c r="Z25" s="5">
        <f t="shared" si="19"/>
        <v>-4.5153415832707822E-2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3703.72</v>
      </c>
      <c r="E26" s="2"/>
      <c r="F26" s="7">
        <f t="shared" si="12"/>
        <v>0.85168441143330187</v>
      </c>
      <c r="G26" s="2"/>
      <c r="H26" s="6">
        <v>3388.93</v>
      </c>
      <c r="I26" s="2"/>
      <c r="J26" s="7">
        <f t="shared" si="13"/>
        <v>7.3214302148725367E-3</v>
      </c>
      <c r="K26" s="2"/>
      <c r="L26" s="6">
        <f t="shared" si="14"/>
        <v>314.78999999999996</v>
      </c>
      <c r="M26" s="2"/>
      <c r="N26" s="7">
        <f t="shared" si="15"/>
        <v>9.2887725624312092E-2</v>
      </c>
      <c r="O26" s="11"/>
      <c r="P26" s="6">
        <v>43637.18</v>
      </c>
      <c r="Q26" s="2"/>
      <c r="R26" s="7">
        <f t="shared" si="16"/>
        <v>1.1911043571772615E-2</v>
      </c>
      <c r="S26" s="2"/>
      <c r="T26" s="6">
        <v>37199.93</v>
      </c>
      <c r="U26" s="2"/>
      <c r="V26" s="7">
        <f t="shared" si="17"/>
        <v>9.1468116837048405E-3</v>
      </c>
      <c r="W26" s="2"/>
      <c r="X26" s="6">
        <f t="shared" si="18"/>
        <v>6437.25</v>
      </c>
      <c r="Y26" s="2"/>
      <c r="Z26" s="7">
        <f t="shared" si="19"/>
        <v>0.17304468046042021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1149.3800000000001</v>
      </c>
      <c r="E27" s="2"/>
      <c r="F27" s="7">
        <f t="shared" si="12"/>
        <v>0.26430427484075703</v>
      </c>
      <c r="G27" s="2"/>
      <c r="H27" s="6">
        <v>2484.44</v>
      </c>
      <c r="I27" s="2"/>
      <c r="J27" s="7">
        <f t="shared" si="13"/>
        <v>5.3673737973454535E-3</v>
      </c>
      <c r="K27" s="2"/>
      <c r="L27" s="6">
        <f t="shared" si="14"/>
        <v>-1335.06</v>
      </c>
      <c r="M27" s="2"/>
      <c r="N27" s="7">
        <f t="shared" si="15"/>
        <v>-0.5373685820547085</v>
      </c>
      <c r="O27" s="11"/>
      <c r="P27" s="6">
        <v>29057.14</v>
      </c>
      <c r="Q27" s="2"/>
      <c r="R27" s="7">
        <f t="shared" si="16"/>
        <v>7.9313296737116585E-3</v>
      </c>
      <c r="S27" s="2"/>
      <c r="T27" s="6">
        <v>24045.18</v>
      </c>
      <c r="U27" s="2"/>
      <c r="V27" s="7">
        <f t="shared" si="17"/>
        <v>5.9122889037905709E-3</v>
      </c>
      <c r="W27" s="2"/>
      <c r="X27" s="6">
        <f t="shared" si="18"/>
        <v>5011.9599999999991</v>
      </c>
      <c r="Y27" s="2"/>
      <c r="Z27" s="7">
        <f t="shared" si="19"/>
        <v>0.20843927972258885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9826.58</v>
      </c>
      <c r="E28" s="2"/>
      <c r="F28" s="7">
        <f t="shared" si="12"/>
        <v>2.2596592084990919</v>
      </c>
      <c r="G28" s="2"/>
      <c r="H28" s="6">
        <v>14616.94</v>
      </c>
      <c r="I28" s="2"/>
      <c r="J28" s="7">
        <f t="shared" si="13"/>
        <v>3.157837611428356E-2</v>
      </c>
      <c r="K28" s="2"/>
      <c r="L28" s="6">
        <f t="shared" si="14"/>
        <v>-4790.3600000000006</v>
      </c>
      <c r="M28" s="2"/>
      <c r="N28" s="7">
        <f t="shared" si="15"/>
        <v>-0.32772659667481707</v>
      </c>
      <c r="O28" s="11"/>
      <c r="P28" s="6">
        <v>127674.87</v>
      </c>
      <c r="Q28" s="2"/>
      <c r="R28" s="7">
        <f t="shared" si="16"/>
        <v>3.4849661219868107E-2</v>
      </c>
      <c r="S28" s="2"/>
      <c r="T28" s="6">
        <v>143152.07</v>
      </c>
      <c r="U28" s="2"/>
      <c r="V28" s="7">
        <f t="shared" si="17"/>
        <v>3.5198588449562494E-2</v>
      </c>
      <c r="W28" s="2"/>
      <c r="X28" s="6">
        <f t="shared" si="18"/>
        <v>-15477.200000000012</v>
      </c>
      <c r="Y28" s="2"/>
      <c r="Z28" s="7">
        <f t="shared" si="19"/>
        <v>-0.10811719313594285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77.02</v>
      </c>
      <c r="E29" s="2"/>
      <c r="F29" s="7">
        <f t="shared" si="12"/>
        <v>1.7711040080943732E-2</v>
      </c>
      <c r="G29" s="2"/>
      <c r="H29" s="6">
        <v>184.56</v>
      </c>
      <c r="I29" s="2"/>
      <c r="J29" s="7">
        <f t="shared" si="13"/>
        <v>3.9872265300754973E-4</v>
      </c>
      <c r="K29" s="2"/>
      <c r="L29" s="6">
        <f t="shared" si="14"/>
        <v>-107.54</v>
      </c>
      <c r="M29" s="2"/>
      <c r="N29" s="7">
        <f t="shared" si="15"/>
        <v>-0.58268313827481577</v>
      </c>
      <c r="O29" s="11"/>
      <c r="P29" s="6">
        <v>2258.36</v>
      </c>
      <c r="Q29" s="2"/>
      <c r="R29" s="7">
        <f t="shared" si="16"/>
        <v>6.1643360915504628E-4</v>
      </c>
      <c r="S29" s="2"/>
      <c r="T29" s="6">
        <v>2018.55</v>
      </c>
      <c r="U29" s="2"/>
      <c r="V29" s="7">
        <f t="shared" si="17"/>
        <v>4.963261147035063E-4</v>
      </c>
      <c r="W29" s="2"/>
      <c r="X29" s="6">
        <f t="shared" si="18"/>
        <v>239.81000000000017</v>
      </c>
      <c r="Y29" s="2"/>
      <c r="Z29" s="7">
        <f t="shared" si="19"/>
        <v>0.11880310123603585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994.9</v>
      </c>
      <c r="E30" s="2"/>
      <c r="F30" s="7">
        <f t="shared" si="12"/>
        <v>0.2287810150159818</v>
      </c>
      <c r="G30" s="2"/>
      <c r="H30" s="6">
        <v>1111.3599999999999</v>
      </c>
      <c r="I30" s="2"/>
      <c r="J30" s="7">
        <f t="shared" si="13"/>
        <v>2.4009775013354487E-3</v>
      </c>
      <c r="K30" s="2"/>
      <c r="L30" s="6">
        <f t="shared" si="14"/>
        <v>-116.45999999999992</v>
      </c>
      <c r="M30" s="2"/>
      <c r="N30" s="7">
        <f t="shared" si="15"/>
        <v>-0.10479052692196941</v>
      </c>
      <c r="O30" s="11"/>
      <c r="P30" s="6">
        <v>12985.87</v>
      </c>
      <c r="Q30" s="2"/>
      <c r="R30" s="7">
        <f t="shared" si="16"/>
        <v>3.5445751395341051E-3</v>
      </c>
      <c r="S30" s="2"/>
      <c r="T30" s="6">
        <v>12677.41</v>
      </c>
      <c r="U30" s="2"/>
      <c r="V30" s="7">
        <f t="shared" si="17"/>
        <v>3.1171532287054462E-3</v>
      </c>
      <c r="W30" s="2"/>
      <c r="X30" s="6">
        <f t="shared" si="18"/>
        <v>308.46000000000095</v>
      </c>
      <c r="Y30" s="2"/>
      <c r="Z30" s="7">
        <f t="shared" si="19"/>
        <v>2.4331468336198085E-2</v>
      </c>
    </row>
    <row r="31" spans="1:26" s="24" customFormat="1" hidden="1" outlineLevel="2" x14ac:dyDescent="0.25">
      <c r="A31" s="27"/>
      <c r="B31" s="11" t="str">
        <f>CONCATENATE("          ", "6117", " - ", "RETIREMENT STAFF HOURLY")</f>
        <v xml:space="preserve">          6117 - RETIREMENT STAFF HOURLY</v>
      </c>
      <c r="C31" s="11"/>
      <c r="D31" s="6">
        <v>1147.6099999999999</v>
      </c>
      <c r="E31" s="2"/>
      <c r="F31" s="7">
        <f t="shared" si="12"/>
        <v>0.26389725665141306</v>
      </c>
      <c r="G31" s="2"/>
      <c r="H31" s="6">
        <v>541.5</v>
      </c>
      <c r="I31" s="2"/>
      <c r="J31" s="7">
        <f t="shared" si="13"/>
        <v>1.1698543379041406E-3</v>
      </c>
      <c r="K31" s="2"/>
      <c r="L31" s="6">
        <f t="shared" si="14"/>
        <v>606.1099999999999</v>
      </c>
      <c r="M31" s="2"/>
      <c r="N31" s="7">
        <f t="shared" si="15"/>
        <v>1.1193167128347181</v>
      </c>
      <c r="O31" s="11"/>
      <c r="P31" s="6">
        <v>5277.85</v>
      </c>
      <c r="Q31" s="2"/>
      <c r="R31" s="7">
        <f t="shared" si="16"/>
        <v>1.440622453496768E-3</v>
      </c>
      <c r="S31" s="2"/>
      <c r="T31" s="6">
        <v>3841.75</v>
      </c>
      <c r="U31" s="2"/>
      <c r="V31" s="7">
        <f t="shared" si="17"/>
        <v>9.44619083580885E-4</v>
      </c>
      <c r="W31" s="2"/>
      <c r="X31" s="6">
        <f t="shared" si="18"/>
        <v>1436.1000000000004</v>
      </c>
      <c r="Y31" s="2"/>
      <c r="Z31" s="7">
        <f t="shared" si="19"/>
        <v>0.37381401704952177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3258.72</v>
      </c>
      <c r="E32" s="2"/>
      <c r="F32" s="7">
        <f t="shared" si="12"/>
        <v>0.74935497964909048</v>
      </c>
      <c r="G32" s="2"/>
      <c r="H32" s="6">
        <v>2297.34</v>
      </c>
      <c r="I32" s="2"/>
      <c r="J32" s="7">
        <f t="shared" si="13"/>
        <v>4.9631637389486579E-3</v>
      </c>
      <c r="K32" s="2"/>
      <c r="L32" s="6">
        <f t="shared" si="14"/>
        <v>961.37999999999965</v>
      </c>
      <c r="M32" s="2"/>
      <c r="N32" s="7">
        <f t="shared" si="15"/>
        <v>0.41847528010655782</v>
      </c>
      <c r="O32" s="11"/>
      <c r="P32" s="6">
        <v>25679.63</v>
      </c>
      <c r="Q32" s="2"/>
      <c r="R32" s="7">
        <f t="shared" si="16"/>
        <v>7.0094170117546368E-3</v>
      </c>
      <c r="S32" s="2"/>
      <c r="T32" s="6">
        <v>25673.7</v>
      </c>
      <c r="U32" s="2"/>
      <c r="V32" s="7">
        <f t="shared" si="17"/>
        <v>6.3127134681149394E-3</v>
      </c>
      <c r="W32" s="2"/>
      <c r="X32" s="6">
        <f t="shared" si="18"/>
        <v>5.930000000000291</v>
      </c>
      <c r="Y32" s="2"/>
      <c r="Z32" s="7">
        <f t="shared" si="19"/>
        <v>2.3097566770665276E-4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-9158.89</v>
      </c>
      <c r="E33" s="2"/>
      <c r="F33" s="7">
        <f t="shared" si="12"/>
        <v>-2.1061213696047094</v>
      </c>
      <c r="G33" s="2"/>
      <c r="H33" s="6">
        <v>1567.25</v>
      </c>
      <c r="I33" s="2"/>
      <c r="J33" s="7">
        <f t="shared" si="13"/>
        <v>3.3858803528721408E-3</v>
      </c>
      <c r="K33" s="2"/>
      <c r="L33" s="6">
        <f t="shared" si="14"/>
        <v>-10726.14</v>
      </c>
      <c r="M33" s="2"/>
      <c r="N33" s="7">
        <f t="shared" si="15"/>
        <v>-6.8439240708246922</v>
      </c>
      <c r="O33" s="11"/>
      <c r="P33" s="6">
        <v>10023.11</v>
      </c>
      <c r="Q33" s="2"/>
      <c r="R33" s="7">
        <f t="shared" si="16"/>
        <v>2.7358711065808977E-3</v>
      </c>
      <c r="S33" s="2"/>
      <c r="T33" s="6">
        <v>20990.720000000001</v>
      </c>
      <c r="U33" s="2"/>
      <c r="V33" s="7">
        <f t="shared" si="17"/>
        <v>5.1612506514226476E-3</v>
      </c>
      <c r="W33" s="2"/>
      <c r="X33" s="6">
        <f t="shared" si="18"/>
        <v>-10967.61</v>
      </c>
      <c r="Y33" s="2"/>
      <c r="Z33" s="7">
        <f t="shared" si="19"/>
        <v>-0.5224980372278798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624</v>
      </c>
      <c r="E34" s="2"/>
      <c r="F34" s="7">
        <f t="shared" si="12"/>
        <v>0.14349115827718628</v>
      </c>
      <c r="G34" s="2"/>
      <c r="H34" s="6">
        <v>1082.04</v>
      </c>
      <c r="I34" s="2"/>
      <c r="J34" s="7">
        <f t="shared" si="13"/>
        <v>2.3376346958186448E-3</v>
      </c>
      <c r="K34" s="2"/>
      <c r="L34" s="6">
        <f t="shared" si="14"/>
        <v>-458.03999999999996</v>
      </c>
      <c r="M34" s="2"/>
      <c r="N34" s="7">
        <f t="shared" si="15"/>
        <v>-0.42331152267938338</v>
      </c>
      <c r="O34" s="11"/>
      <c r="P34" s="6">
        <v>10846.85</v>
      </c>
      <c r="Q34" s="2"/>
      <c r="R34" s="7">
        <f t="shared" si="16"/>
        <v>2.9607161362508252E-3</v>
      </c>
      <c r="S34" s="2"/>
      <c r="T34" s="6">
        <v>10488.47</v>
      </c>
      <c r="U34" s="2"/>
      <c r="V34" s="7">
        <f t="shared" si="17"/>
        <v>2.5789311953056822E-3</v>
      </c>
      <c r="W34" s="2"/>
      <c r="X34" s="6">
        <f t="shared" si="18"/>
        <v>358.38000000000102</v>
      </c>
      <c r="Y34" s="2"/>
      <c r="Z34" s="7">
        <f t="shared" si="19"/>
        <v>3.4168949331980836E-2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30375.020000000004</v>
      </c>
      <c r="E35" s="1"/>
      <c r="F35" s="5">
        <f t="shared" ref="F35:F41" si="20">IF(D$12=0,0,D35/D$12)</f>
        <v>6.9848506450203525</v>
      </c>
      <c r="G35" s="1"/>
      <c r="H35" s="1">
        <f>SUM(OSRRefH22_1x_0)</f>
        <v>72606.100000000006</v>
      </c>
      <c r="I35" s="1"/>
      <c r="J35" s="5">
        <f t="shared" ref="J35:J41" si="21">IF(H$12=0,0,H35/H$12)</f>
        <v>0.15685791513075129</v>
      </c>
      <c r="K35" s="1"/>
      <c r="L35" s="1">
        <f t="shared" ref="L35:L41" si="22">+D35-H35</f>
        <v>-42231.08</v>
      </c>
      <c r="M35" s="1"/>
      <c r="N35" s="5">
        <f t="shared" ref="N35:N41" si="23">IF(H35=0,0,L35/H35)</f>
        <v>-0.58164644568431578</v>
      </c>
      <c r="O35" s="13"/>
      <c r="P35" s="1">
        <f>SUM(OSRRefP22_1x_0)</f>
        <v>836381.97</v>
      </c>
      <c r="Q35" s="1"/>
      <c r="R35" s="5">
        <f t="shared" ref="R35:R41" si="24">IF(P$12=0,0,P35/P$12)</f>
        <v>0.22829573513492429</v>
      </c>
      <c r="S35" s="1"/>
      <c r="T35" s="1">
        <f>SUM(OSRRefT22_1x_0)</f>
        <v>746654.36</v>
      </c>
      <c r="U35" s="1"/>
      <c r="V35" s="5">
        <f t="shared" ref="V35:V41" si="25">IF(T$12=0,0,T35/T$12)</f>
        <v>0.18358923857483495</v>
      </c>
      <c r="W35" s="1"/>
      <c r="X35" s="1">
        <f t="shared" ref="X35:X41" si="26">+P35-T35</f>
        <v>89727.609999999986</v>
      </c>
      <c r="Y35" s="1"/>
      <c r="Z35" s="5">
        <f t="shared" ref="Z35:Z41" si="27">IF(T35=0,0,X35/T35)</f>
        <v>0.12017288695669036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6">
        <v>8181.62</v>
      </c>
      <c r="E36" s="2"/>
      <c r="F36" s="7">
        <f t="shared" si="20"/>
        <v>1.8813944397176168</v>
      </c>
      <c r="G36" s="2"/>
      <c r="H36" s="6">
        <v>12642.39</v>
      </c>
      <c r="I36" s="2"/>
      <c r="J36" s="7">
        <f t="shared" si="21"/>
        <v>2.7312566542891829E-2</v>
      </c>
      <c r="K36" s="2"/>
      <c r="L36" s="6">
        <f t="shared" si="22"/>
        <v>-4460.7699999999995</v>
      </c>
      <c r="M36" s="2"/>
      <c r="N36" s="7">
        <f t="shared" si="23"/>
        <v>-0.35284230276079126</v>
      </c>
      <c r="O36" s="11"/>
      <c r="P36" s="6">
        <v>143187.25999999998</v>
      </c>
      <c r="Q36" s="2"/>
      <c r="R36" s="7">
        <f t="shared" si="24"/>
        <v>3.9083865932279166E-2</v>
      </c>
      <c r="S36" s="2"/>
      <c r="T36" s="6">
        <v>139916.33000000002</v>
      </c>
      <c r="U36" s="2"/>
      <c r="V36" s="7">
        <f t="shared" si="25"/>
        <v>3.440297661810391E-2</v>
      </c>
      <c r="W36" s="2"/>
      <c r="X36" s="6">
        <f t="shared" si="26"/>
        <v>3270.9299999999639</v>
      </c>
      <c r="Y36" s="2"/>
      <c r="Z36" s="7">
        <f t="shared" si="27"/>
        <v>2.3377757263930262E-2</v>
      </c>
    </row>
    <row r="37" spans="1:26" s="24" customFormat="1" hidden="1" outlineLevel="2" x14ac:dyDescent="0.25">
      <c r="A37" s="27"/>
      <c r="B37" s="11" t="str">
        <f>CONCATENATE("          ", "6004", " - ", "STAFF HOURLY")</f>
        <v xml:space="preserve">          6004 - STAFF HOURLY</v>
      </c>
      <c r="C37" s="11"/>
      <c r="D37" s="6">
        <v>25191.4</v>
      </c>
      <c r="E37" s="2"/>
      <c r="F37" s="7">
        <f t="shared" si="20"/>
        <v>5.7928576356152419</v>
      </c>
      <c r="G37" s="2"/>
      <c r="H37" s="6">
        <v>18404.11</v>
      </c>
      <c r="I37" s="2"/>
      <c r="J37" s="7">
        <f t="shared" si="21"/>
        <v>3.9760162361523493E-2</v>
      </c>
      <c r="K37" s="2"/>
      <c r="L37" s="6">
        <f t="shared" si="22"/>
        <v>6787.2900000000009</v>
      </c>
      <c r="M37" s="2"/>
      <c r="N37" s="7">
        <f t="shared" si="23"/>
        <v>0.36879207959526433</v>
      </c>
      <c r="O37" s="11"/>
      <c r="P37" s="6">
        <v>194906.22</v>
      </c>
      <c r="Q37" s="2"/>
      <c r="R37" s="7">
        <f t="shared" si="24"/>
        <v>5.320088234000224E-2</v>
      </c>
      <c r="S37" s="2"/>
      <c r="T37" s="6">
        <v>191654.32</v>
      </c>
      <c r="U37" s="2"/>
      <c r="V37" s="7">
        <f t="shared" si="25"/>
        <v>4.7124442798911349E-2</v>
      </c>
      <c r="W37" s="2"/>
      <c r="X37" s="6">
        <f t="shared" si="26"/>
        <v>3251.8999999999942</v>
      </c>
      <c r="Y37" s="2"/>
      <c r="Z37" s="7">
        <f t="shared" si="27"/>
        <v>1.6967527786485553E-2</v>
      </c>
    </row>
    <row r="38" spans="1:26" s="24" customFormat="1" hidden="1" outlineLevel="2" x14ac:dyDescent="0.25">
      <c r="A38" s="27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0"/>
        <v>0</v>
      </c>
      <c r="G38" s="2"/>
      <c r="H38" s="6">
        <v>10327.379999999999</v>
      </c>
      <c r="I38" s="2"/>
      <c r="J38" s="7">
        <f t="shared" si="21"/>
        <v>2.2311228609758933E-2</v>
      </c>
      <c r="K38" s="2"/>
      <c r="L38" s="6">
        <f t="shared" si="22"/>
        <v>-10327.379999999999</v>
      </c>
      <c r="M38" s="2"/>
      <c r="N38" s="7">
        <f t="shared" si="23"/>
        <v>-1</v>
      </c>
      <c r="O38" s="11"/>
      <c r="P38" s="6">
        <v>132250.51</v>
      </c>
      <c r="Q38" s="2"/>
      <c r="R38" s="7">
        <f t="shared" si="24"/>
        <v>3.6098611023882614E-2</v>
      </c>
      <c r="S38" s="2"/>
      <c r="T38" s="6">
        <v>89367.77</v>
      </c>
      <c r="U38" s="2"/>
      <c r="V38" s="7">
        <f t="shared" si="25"/>
        <v>2.197397045592954E-2</v>
      </c>
      <c r="W38" s="2"/>
      <c r="X38" s="6">
        <f t="shared" si="26"/>
        <v>42882.740000000005</v>
      </c>
      <c r="Y38" s="2"/>
      <c r="Z38" s="7">
        <f t="shared" si="27"/>
        <v>0.47984569828697754</v>
      </c>
    </row>
    <row r="39" spans="1:26" s="24" customFormat="1" hidden="1" outlineLevel="2" x14ac:dyDescent="0.25">
      <c r="A39" s="27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0"/>
        <v>0</v>
      </c>
      <c r="G39" s="2"/>
      <c r="H39" s="6"/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10133.07</v>
      </c>
      <c r="Q39" s="2"/>
      <c r="R39" s="7">
        <f t="shared" si="24"/>
        <v>2.7658853822777256E-3</v>
      </c>
      <c r="S39" s="2"/>
      <c r="T39" s="6"/>
      <c r="U39" s="2"/>
      <c r="V39" s="7">
        <f t="shared" si="25"/>
        <v>0</v>
      </c>
      <c r="W39" s="2"/>
      <c r="X39" s="6">
        <f t="shared" si="26"/>
        <v>10133.07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"6007", " - ", "STUDENT HOURLY")</f>
        <v xml:space="preserve">          6007 - STUDENT HOURLY</v>
      </c>
      <c r="C40" s="11"/>
      <c r="D40" s="6">
        <v>-2998</v>
      </c>
      <c r="E40" s="2"/>
      <c r="F40" s="7">
        <f t="shared" si="20"/>
        <v>-0.68940143031250722</v>
      </c>
      <c r="G40" s="2"/>
      <c r="H40" s="6">
        <v>28298.22</v>
      </c>
      <c r="I40" s="2"/>
      <c r="J40" s="7">
        <f t="shared" si="21"/>
        <v>6.1135356273251541E-2</v>
      </c>
      <c r="K40" s="2"/>
      <c r="L40" s="6">
        <f t="shared" si="22"/>
        <v>-31296.22</v>
      </c>
      <c r="M40" s="2"/>
      <c r="N40" s="7">
        <f t="shared" si="23"/>
        <v>-1.1059430593160984</v>
      </c>
      <c r="O40" s="11"/>
      <c r="P40" s="6">
        <v>326051.69</v>
      </c>
      <c r="Q40" s="2"/>
      <c r="R40" s="7">
        <f t="shared" si="24"/>
        <v>8.8997865724597627E-2</v>
      </c>
      <c r="S40" s="2"/>
      <c r="T40" s="6">
        <v>293249.03999999998</v>
      </c>
      <c r="U40" s="2"/>
      <c r="V40" s="7">
        <f t="shared" si="25"/>
        <v>7.2104806253861981E-2</v>
      </c>
      <c r="W40" s="2"/>
      <c r="X40" s="6">
        <f t="shared" si="26"/>
        <v>32802.650000000023</v>
      </c>
      <c r="Y40" s="2"/>
      <c r="Z40" s="7">
        <f t="shared" si="27"/>
        <v>0.11185936022160559</v>
      </c>
    </row>
    <row r="41" spans="1:26" s="24" customFormat="1" hidden="1" outlineLevel="2" x14ac:dyDescent="0.25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0"/>
        <v>0</v>
      </c>
      <c r="G41" s="2"/>
      <c r="H41" s="6">
        <v>2934</v>
      </c>
      <c r="I41" s="2"/>
      <c r="J41" s="7">
        <f t="shared" si="21"/>
        <v>6.3386013433254819E-3</v>
      </c>
      <c r="K41" s="2"/>
      <c r="L41" s="6">
        <f t="shared" si="22"/>
        <v>-2934</v>
      </c>
      <c r="M41" s="2"/>
      <c r="N41" s="7">
        <f t="shared" si="23"/>
        <v>-1</v>
      </c>
      <c r="O41" s="11"/>
      <c r="P41" s="6">
        <v>29853.219999999998</v>
      </c>
      <c r="Q41" s="2"/>
      <c r="R41" s="7">
        <f t="shared" si="24"/>
        <v>8.1486247318849122E-3</v>
      </c>
      <c r="S41" s="2"/>
      <c r="T41" s="6">
        <v>32466.899999999998</v>
      </c>
      <c r="U41" s="2"/>
      <c r="V41" s="7">
        <f t="shared" si="25"/>
        <v>7.9830424480281728E-3</v>
      </c>
      <c r="W41" s="2"/>
      <c r="X41" s="6">
        <f t="shared" si="26"/>
        <v>-2613.6800000000003</v>
      </c>
      <c r="Y41" s="2"/>
      <c r="Z41" s="7">
        <f t="shared" si="27"/>
        <v>-8.0502912196729601E-2</v>
      </c>
    </row>
    <row r="42" spans="1:26" s="25" customFormat="1" outlineLevel="1" collapsed="1" x14ac:dyDescent="0.25">
      <c r="A42" s="26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61" si="28">IF(D$12=0,0,D42/D$12)</f>
        <v>0</v>
      </c>
      <c r="G42" s="1"/>
      <c r="H42" s="1">
        <f>SUM(OSRRefH22_2x_0)</f>
        <v>55.5</v>
      </c>
      <c r="I42" s="1"/>
      <c r="J42" s="5">
        <f t="shared" ref="J42:J61" si="29">IF(H$12=0,0,H42/H$12)</f>
        <v>1.1990196815083988E-4</v>
      </c>
      <c r="K42" s="1"/>
      <c r="L42" s="1">
        <f t="shared" ref="L42:L61" si="30">+D42-H42</f>
        <v>-55.5</v>
      </c>
      <c r="M42" s="1"/>
      <c r="N42" s="5">
        <f t="shared" ref="N42:N61" si="31">IF(H42=0,0,L42/H42)</f>
        <v>-1</v>
      </c>
      <c r="O42" s="13"/>
      <c r="P42" s="1">
        <f>SUM(OSRRefP22_2x_0)</f>
        <v>2828.94</v>
      </c>
      <c r="Q42" s="1"/>
      <c r="R42" s="5">
        <f t="shared" ref="R42:R61" si="32">IF(P$12=0,0,P42/P$12)</f>
        <v>7.7217701973249469E-4</v>
      </c>
      <c r="S42" s="1"/>
      <c r="T42" s="1">
        <f>SUM(OSRRefT22_2x_0)</f>
        <v>5289.27</v>
      </c>
      <c r="U42" s="1"/>
      <c r="V42" s="5">
        <f t="shared" ref="V42:V61" si="33">IF(T$12=0,0,T42/T$12)</f>
        <v>1.300538915913807E-3</v>
      </c>
      <c r="W42" s="1"/>
      <c r="X42" s="1">
        <f t="shared" ref="X42:X61" si="34">+P42-T42</f>
        <v>-2460.3300000000004</v>
      </c>
      <c r="Y42" s="1"/>
      <c r="Z42" s="5">
        <f t="shared" ref="Z42:Z61" si="35">IF(T42=0,0,X42/T42)</f>
        <v>-0.46515492686136273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8"/>
        <v>0</v>
      </c>
      <c r="G43" s="2"/>
      <c r="H43" s="6">
        <v>55.5</v>
      </c>
      <c r="I43" s="2"/>
      <c r="J43" s="7">
        <f t="shared" si="29"/>
        <v>1.1990196815083988E-4</v>
      </c>
      <c r="K43" s="2"/>
      <c r="L43" s="6">
        <f t="shared" si="30"/>
        <v>-55.5</v>
      </c>
      <c r="M43" s="2"/>
      <c r="N43" s="7">
        <f t="shared" si="31"/>
        <v>-1</v>
      </c>
      <c r="O43" s="11"/>
      <c r="P43" s="6">
        <v>2828.94</v>
      </c>
      <c r="Q43" s="2"/>
      <c r="R43" s="7">
        <f t="shared" si="32"/>
        <v>7.7217701973249469E-4</v>
      </c>
      <c r="S43" s="2"/>
      <c r="T43" s="6">
        <v>5289.27</v>
      </c>
      <c r="U43" s="2"/>
      <c r="V43" s="7">
        <f t="shared" si="33"/>
        <v>1.300538915913807E-3</v>
      </c>
      <c r="W43" s="2"/>
      <c r="X43" s="6">
        <f t="shared" si="34"/>
        <v>-2460.3300000000004</v>
      </c>
      <c r="Y43" s="2"/>
      <c r="Z43" s="7">
        <f t="shared" si="35"/>
        <v>-0.46515492686136273</v>
      </c>
    </row>
    <row r="44" spans="1:26" s="25" customFormat="1" outlineLevel="1" collapsed="1" x14ac:dyDescent="0.25">
      <c r="A44" s="26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-4.95</v>
      </c>
      <c r="I44" s="1"/>
      <c r="J44" s="5">
        <f t="shared" si="29"/>
        <v>-1.0693959321561395E-5</v>
      </c>
      <c r="K44" s="1"/>
      <c r="L44" s="1">
        <f t="shared" si="30"/>
        <v>4.95</v>
      </c>
      <c r="M44" s="1"/>
      <c r="N44" s="5">
        <f t="shared" si="31"/>
        <v>-1</v>
      </c>
      <c r="O44" s="13"/>
      <c r="P44" s="1">
        <f>SUM(OSRRefP22_3x_0)</f>
        <v>1.65</v>
      </c>
      <c r="Q44" s="1"/>
      <c r="R44" s="5">
        <f t="shared" si="32"/>
        <v>4.5037790923759997E-7</v>
      </c>
      <c r="S44" s="1"/>
      <c r="T44" s="1">
        <f>SUM(OSRRefT22_3x_0)</f>
        <v>-0.97</v>
      </c>
      <c r="U44" s="1"/>
      <c r="V44" s="5">
        <f t="shared" si="33"/>
        <v>-2.3850602227460364E-7</v>
      </c>
      <c r="W44" s="1"/>
      <c r="X44" s="1">
        <f t="shared" si="34"/>
        <v>2.62</v>
      </c>
      <c r="Y44" s="1"/>
      <c r="Z44" s="5">
        <f t="shared" si="35"/>
        <v>-2.7010309278350517</v>
      </c>
    </row>
    <row r="45" spans="1:26" s="24" customFormat="1" hidden="1" outlineLevel="2" x14ac:dyDescent="0.25">
      <c r="A45" s="27"/>
      <c r="B45" s="11" t="str">
        <f>CONCATENATE("          ", "6272", " - ", "CASH (OVER/SHORT)")</f>
        <v xml:space="preserve">          6272 - CASH (OVER/SHORT)</v>
      </c>
      <c r="C45" s="11"/>
      <c r="D45" s="6"/>
      <c r="E45" s="2"/>
      <c r="F45" s="7">
        <f t="shared" si="28"/>
        <v>0</v>
      </c>
      <c r="G45" s="2"/>
      <c r="H45" s="6">
        <v>-4.95</v>
      </c>
      <c r="I45" s="2"/>
      <c r="J45" s="7">
        <f t="shared" si="29"/>
        <v>-1.0693959321561395E-5</v>
      </c>
      <c r="K45" s="2"/>
      <c r="L45" s="6">
        <f t="shared" si="30"/>
        <v>4.95</v>
      </c>
      <c r="M45" s="2"/>
      <c r="N45" s="7">
        <f t="shared" si="31"/>
        <v>-1</v>
      </c>
      <c r="O45" s="11"/>
      <c r="P45" s="6">
        <v>1.65</v>
      </c>
      <c r="Q45" s="2"/>
      <c r="R45" s="7">
        <f t="shared" si="32"/>
        <v>4.5037790923759997E-7</v>
      </c>
      <c r="S45" s="2"/>
      <c r="T45" s="6">
        <v>-0.97</v>
      </c>
      <c r="U45" s="2"/>
      <c r="V45" s="7">
        <f t="shared" si="33"/>
        <v>-2.3850602227460364E-7</v>
      </c>
      <c r="W45" s="2"/>
      <c r="X45" s="6">
        <f t="shared" si="34"/>
        <v>2.62</v>
      </c>
      <c r="Y45" s="2"/>
      <c r="Z45" s="7">
        <f t="shared" si="35"/>
        <v>-2.7010309278350517</v>
      </c>
    </row>
    <row r="46" spans="1:26" s="25" customFormat="1" outlineLevel="1" collapsed="1" x14ac:dyDescent="0.25">
      <c r="A46" s="26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0</v>
      </c>
      <c r="E46" s="1"/>
      <c r="F46" s="5">
        <f t="shared" si="28"/>
        <v>0</v>
      </c>
      <c r="G46" s="1"/>
      <c r="H46" s="1">
        <f>SUM(OSRRefH22_4x_0)</f>
        <v>190.74</v>
      </c>
      <c r="I46" s="1"/>
      <c r="J46" s="5">
        <f t="shared" si="29"/>
        <v>4.1207389919083247E-4</v>
      </c>
      <c r="K46" s="1"/>
      <c r="L46" s="1">
        <f t="shared" si="30"/>
        <v>-190.74</v>
      </c>
      <c r="M46" s="1"/>
      <c r="N46" s="5">
        <f t="shared" si="31"/>
        <v>-1</v>
      </c>
      <c r="O46" s="13"/>
      <c r="P46" s="1">
        <f>SUM(OSRRefP22_4x_0)</f>
        <v>1830.44</v>
      </c>
      <c r="Q46" s="1"/>
      <c r="R46" s="5">
        <f t="shared" si="32"/>
        <v>4.9963014556658942E-4</v>
      </c>
      <c r="S46" s="1"/>
      <c r="T46" s="1">
        <f>SUM(OSRRefT22_4x_0)</f>
        <v>2154.7399999999998</v>
      </c>
      <c r="U46" s="1"/>
      <c r="V46" s="5">
        <f t="shared" si="33"/>
        <v>5.29812851995855E-4</v>
      </c>
      <c r="W46" s="1"/>
      <c r="X46" s="1">
        <f t="shared" si="34"/>
        <v>-324.29999999999973</v>
      </c>
      <c r="Y46" s="1"/>
      <c r="Z46" s="5">
        <f t="shared" si="35"/>
        <v>-0.15050539740293481</v>
      </c>
    </row>
    <row r="47" spans="1:26" s="24" customFormat="1" hidden="1" outlineLevel="2" x14ac:dyDescent="0.25">
      <c r="A47" s="27"/>
      <c r="B47" s="11" t="str">
        <f>CONCATENATE("          ", "6381", " - ", "BANK/CREDIT CARD FEES")</f>
        <v xml:space="preserve">          6381 - BANK/CREDIT CARD FEES</v>
      </c>
      <c r="C47" s="11"/>
      <c r="D47" s="6"/>
      <c r="E47" s="2"/>
      <c r="F47" s="7">
        <f t="shared" si="28"/>
        <v>0</v>
      </c>
      <c r="G47" s="2"/>
      <c r="H47" s="6">
        <v>190.74</v>
      </c>
      <c r="I47" s="2"/>
      <c r="J47" s="7">
        <f t="shared" si="29"/>
        <v>4.1207389919083247E-4</v>
      </c>
      <c r="K47" s="2"/>
      <c r="L47" s="6">
        <f t="shared" si="30"/>
        <v>-190.74</v>
      </c>
      <c r="M47" s="2"/>
      <c r="N47" s="7">
        <f t="shared" si="31"/>
        <v>-1</v>
      </c>
      <c r="O47" s="11"/>
      <c r="P47" s="6">
        <v>1830.44</v>
      </c>
      <c r="Q47" s="2"/>
      <c r="R47" s="7">
        <f t="shared" si="32"/>
        <v>4.9963014556658942E-4</v>
      </c>
      <c r="S47" s="2"/>
      <c r="T47" s="6">
        <v>2154.7399999999998</v>
      </c>
      <c r="U47" s="2"/>
      <c r="V47" s="7">
        <f t="shared" si="33"/>
        <v>5.29812851995855E-4</v>
      </c>
      <c r="W47" s="2"/>
      <c r="X47" s="6">
        <f t="shared" si="34"/>
        <v>-324.29999999999973</v>
      </c>
      <c r="Y47" s="2"/>
      <c r="Z47" s="7">
        <f t="shared" si="35"/>
        <v>-0.15050539740293481</v>
      </c>
    </row>
    <row r="48" spans="1:26" s="25" customFormat="1" outlineLevel="1" collapsed="1" x14ac:dyDescent="0.25">
      <c r="A48" s="26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9137.0499999999993</v>
      </c>
      <c r="I48" s="1"/>
      <c r="J48" s="5">
        <f t="shared" si="29"/>
        <v>1.9739644650317686E-2</v>
      </c>
      <c r="K48" s="1"/>
      <c r="L48" s="1">
        <f t="shared" si="30"/>
        <v>-9137.0499999999993</v>
      </c>
      <c r="M48" s="1"/>
      <c r="N48" s="5">
        <f t="shared" si="31"/>
        <v>-1</v>
      </c>
      <c r="O48" s="13"/>
      <c r="P48" s="1">
        <f>SUM(OSRRefP22_5x_0)</f>
        <v>72144.13</v>
      </c>
      <c r="Q48" s="1"/>
      <c r="R48" s="5">
        <f t="shared" si="32"/>
        <v>1.9692195414039767E-2</v>
      </c>
      <c r="S48" s="1"/>
      <c r="T48" s="1">
        <f>SUM(OSRRefT22_5x_0)</f>
        <v>75054.62000000001</v>
      </c>
      <c r="U48" s="1"/>
      <c r="V48" s="5">
        <f t="shared" si="33"/>
        <v>1.8454617391270012E-2</v>
      </c>
      <c r="W48" s="1"/>
      <c r="X48" s="1">
        <f t="shared" si="34"/>
        <v>-2910.4900000000052</v>
      </c>
      <c r="Y48" s="1"/>
      <c r="Z48" s="5">
        <f t="shared" si="35"/>
        <v>-3.8778292395591434E-2</v>
      </c>
    </row>
    <row r="49" spans="1:26" s="24" customFormat="1" hidden="1" outlineLevel="2" x14ac:dyDescent="0.25">
      <c r="A49" s="27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28"/>
        <v>0</v>
      </c>
      <c r="G49" s="2"/>
      <c r="H49" s="6">
        <v>9137.0499999999993</v>
      </c>
      <c r="I49" s="2"/>
      <c r="J49" s="7">
        <f t="shared" si="29"/>
        <v>1.9739644650317686E-2</v>
      </c>
      <c r="K49" s="2"/>
      <c r="L49" s="6">
        <f t="shared" si="30"/>
        <v>-9137.0499999999993</v>
      </c>
      <c r="M49" s="2"/>
      <c r="N49" s="7">
        <f t="shared" si="31"/>
        <v>-1</v>
      </c>
      <c r="O49" s="11"/>
      <c r="P49" s="6">
        <v>72144.13</v>
      </c>
      <c r="Q49" s="2"/>
      <c r="R49" s="7">
        <f t="shared" si="32"/>
        <v>1.9692195414039767E-2</v>
      </c>
      <c r="S49" s="2"/>
      <c r="T49" s="6">
        <v>75054.62000000001</v>
      </c>
      <c r="U49" s="2"/>
      <c r="V49" s="7">
        <f t="shared" si="33"/>
        <v>1.8454617391270012E-2</v>
      </c>
      <c r="W49" s="2"/>
      <c r="X49" s="6">
        <f t="shared" si="34"/>
        <v>-2910.4900000000052</v>
      </c>
      <c r="Y49" s="2"/>
      <c r="Z49" s="7">
        <f t="shared" si="35"/>
        <v>-3.8778292395591434E-2</v>
      </c>
    </row>
    <row r="50" spans="1:26" s="25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81.36</v>
      </c>
      <c r="I50" s="1"/>
      <c r="J50" s="5">
        <f t="shared" si="29"/>
        <v>1.7576980412166367E-4</v>
      </c>
      <c r="K50" s="1"/>
      <c r="L50" s="1">
        <f t="shared" si="30"/>
        <v>-81.36</v>
      </c>
      <c r="M50" s="1"/>
      <c r="N50" s="5">
        <f t="shared" si="31"/>
        <v>-1</v>
      </c>
      <c r="O50" s="13"/>
      <c r="P50" s="1">
        <f>SUM(OSRRefP22_6x_0)</f>
        <v>172.29</v>
      </c>
      <c r="Q50" s="1"/>
      <c r="R50" s="5">
        <f t="shared" si="32"/>
        <v>4.7027642413664307E-5</v>
      </c>
      <c r="S50" s="1"/>
      <c r="T50" s="1">
        <f>SUM(OSRRefT22_6x_0)</f>
        <v>528.57000000000005</v>
      </c>
      <c r="U50" s="1"/>
      <c r="V50" s="5">
        <f t="shared" si="33"/>
        <v>1.2996611153988377E-4</v>
      </c>
      <c r="W50" s="1"/>
      <c r="X50" s="1">
        <f t="shared" si="34"/>
        <v>-356.28000000000009</v>
      </c>
      <c r="Y50" s="1"/>
      <c r="Z50" s="5">
        <f t="shared" si="35"/>
        <v>-0.67404506498666228</v>
      </c>
    </row>
    <row r="51" spans="1:26" s="24" customFormat="1" hidden="1" outlineLevel="2" x14ac:dyDescent="0.25">
      <c r="A51" s="27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8"/>
        <v>0</v>
      </c>
      <c r="G51" s="2"/>
      <c r="H51" s="6">
        <v>81.36</v>
      </c>
      <c r="I51" s="2"/>
      <c r="J51" s="7">
        <f t="shared" si="29"/>
        <v>1.7576980412166367E-4</v>
      </c>
      <c r="K51" s="2"/>
      <c r="L51" s="6">
        <f t="shared" si="30"/>
        <v>-81.36</v>
      </c>
      <c r="M51" s="2"/>
      <c r="N51" s="7">
        <f t="shared" si="31"/>
        <v>-1</v>
      </c>
      <c r="O51" s="11"/>
      <c r="P51" s="6">
        <v>172.29</v>
      </c>
      <c r="Q51" s="2"/>
      <c r="R51" s="7">
        <f t="shared" si="32"/>
        <v>4.7027642413664307E-5</v>
      </c>
      <c r="S51" s="2"/>
      <c r="T51" s="6">
        <v>528.57000000000005</v>
      </c>
      <c r="U51" s="2"/>
      <c r="V51" s="7">
        <f t="shared" si="33"/>
        <v>1.2996611153988377E-4</v>
      </c>
      <c r="W51" s="2"/>
      <c r="X51" s="6">
        <f t="shared" si="34"/>
        <v>-356.28000000000009</v>
      </c>
      <c r="Y51" s="2"/>
      <c r="Z51" s="7">
        <f t="shared" si="35"/>
        <v>-0.67404506498666228</v>
      </c>
    </row>
    <row r="52" spans="1:26" s="25" customFormat="1" outlineLevel="1" collapsed="1" x14ac:dyDescent="0.25">
      <c r="A52" s="26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229.66</v>
      </c>
      <c r="I52" s="1"/>
      <c r="J52" s="5">
        <f t="shared" si="29"/>
        <v>4.96156504603998E-4</v>
      </c>
      <c r="K52" s="1"/>
      <c r="L52" s="1">
        <f t="shared" si="30"/>
        <v>-229.66</v>
      </c>
      <c r="M52" s="1"/>
      <c r="N52" s="5">
        <f t="shared" si="31"/>
        <v>-1</v>
      </c>
      <c r="O52" s="13"/>
      <c r="P52" s="1">
        <f>SUM(OSRRefP22_7x_0)</f>
        <v>2193.62</v>
      </c>
      <c r="Q52" s="1"/>
      <c r="R52" s="5">
        <f t="shared" si="32"/>
        <v>5.9876241773441463E-4</v>
      </c>
      <c r="S52" s="1"/>
      <c r="T52" s="1">
        <f>SUM(OSRRefT22_7x_0)</f>
        <v>2492.46</v>
      </c>
      <c r="U52" s="1"/>
      <c r="V52" s="5">
        <f t="shared" si="33"/>
        <v>6.1285228894696758E-4</v>
      </c>
      <c r="W52" s="1"/>
      <c r="X52" s="1">
        <f t="shared" si="34"/>
        <v>-298.84000000000015</v>
      </c>
      <c r="Y52" s="1"/>
      <c r="Z52" s="5">
        <f t="shared" si="35"/>
        <v>-0.11989761119536528</v>
      </c>
    </row>
    <row r="53" spans="1:26" s="24" customFormat="1" hidden="1" outlineLevel="2" x14ac:dyDescent="0.25">
      <c r="A53" s="27"/>
      <c r="B53" s="11" t="str">
        <f>CONCATENATE("          ", "6351", " - ", "EQUIPMENT RENTAL")</f>
        <v xml:space="preserve">          6351 - EQUIPMENT RENTAL</v>
      </c>
      <c r="C53" s="11"/>
      <c r="D53" s="6"/>
      <c r="E53" s="2"/>
      <c r="F53" s="7">
        <f t="shared" si="28"/>
        <v>0</v>
      </c>
      <c r="G53" s="2"/>
      <c r="H53" s="6">
        <v>229.66</v>
      </c>
      <c r="I53" s="2"/>
      <c r="J53" s="7">
        <f t="shared" si="29"/>
        <v>4.96156504603998E-4</v>
      </c>
      <c r="K53" s="2"/>
      <c r="L53" s="6">
        <f t="shared" si="30"/>
        <v>-229.66</v>
      </c>
      <c r="M53" s="2"/>
      <c r="N53" s="7">
        <f t="shared" si="31"/>
        <v>-1</v>
      </c>
      <c r="O53" s="11"/>
      <c r="P53" s="6">
        <v>2193.62</v>
      </c>
      <c r="Q53" s="2"/>
      <c r="R53" s="7">
        <f t="shared" si="32"/>
        <v>5.9876241773441463E-4</v>
      </c>
      <c r="S53" s="2"/>
      <c r="T53" s="6">
        <v>2492.46</v>
      </c>
      <c r="U53" s="2"/>
      <c r="V53" s="7">
        <f t="shared" si="33"/>
        <v>6.1285228894696758E-4</v>
      </c>
      <c r="W53" s="2"/>
      <c r="X53" s="6">
        <f t="shared" si="34"/>
        <v>-298.84000000000015</v>
      </c>
      <c r="Y53" s="2"/>
      <c r="Z53" s="7">
        <f t="shared" si="35"/>
        <v>-0.11989761119536528</v>
      </c>
    </row>
    <row r="54" spans="1:26" s="25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29</v>
      </c>
      <c r="I54" s="1"/>
      <c r="J54" s="5">
        <f t="shared" si="29"/>
        <v>6.2651478853592013E-5</v>
      </c>
      <c r="K54" s="1"/>
      <c r="L54" s="1">
        <f t="shared" si="30"/>
        <v>-29</v>
      </c>
      <c r="M54" s="1"/>
      <c r="N54" s="5">
        <f t="shared" si="31"/>
        <v>-1</v>
      </c>
      <c r="O54" s="13"/>
      <c r="P54" s="1">
        <f>SUM(OSRRefP22_8x_0)</f>
        <v>2391.19</v>
      </c>
      <c r="Q54" s="1"/>
      <c r="R54" s="5">
        <f t="shared" si="32"/>
        <v>6.5269039563021624E-4</v>
      </c>
      <c r="S54" s="1"/>
      <c r="T54" s="1">
        <f>SUM(OSRRefT22_8x_0)</f>
        <v>2465.0500000000002</v>
      </c>
      <c r="U54" s="1"/>
      <c r="V54" s="5">
        <f t="shared" si="33"/>
        <v>6.0611264969898115E-4</v>
      </c>
      <c r="W54" s="1"/>
      <c r="X54" s="1">
        <f t="shared" si="34"/>
        <v>-73.860000000000127</v>
      </c>
      <c r="Y54" s="1"/>
      <c r="Z54" s="5">
        <f t="shared" si="35"/>
        <v>-2.9962881077462981E-2</v>
      </c>
    </row>
    <row r="55" spans="1:26" s="24" customFormat="1" hidden="1" outlineLevel="2" x14ac:dyDescent="0.25">
      <c r="A55" s="27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8"/>
        <v>0</v>
      </c>
      <c r="G55" s="2"/>
      <c r="H55" s="6">
        <v>29</v>
      </c>
      <c r="I55" s="2"/>
      <c r="J55" s="7">
        <f t="shared" si="29"/>
        <v>6.2651478853592013E-5</v>
      </c>
      <c r="K55" s="2"/>
      <c r="L55" s="6">
        <f t="shared" si="30"/>
        <v>-29</v>
      </c>
      <c r="M55" s="2"/>
      <c r="N55" s="7">
        <f t="shared" si="31"/>
        <v>-1</v>
      </c>
      <c r="O55" s="11"/>
      <c r="P55" s="6">
        <v>2391.19</v>
      </c>
      <c r="Q55" s="2"/>
      <c r="R55" s="7">
        <f t="shared" si="32"/>
        <v>6.5269039563021624E-4</v>
      </c>
      <c r="S55" s="2"/>
      <c r="T55" s="6">
        <v>2465.0500000000002</v>
      </c>
      <c r="U55" s="2"/>
      <c r="V55" s="7">
        <f t="shared" si="33"/>
        <v>6.0611264969898115E-4</v>
      </c>
      <c r="W55" s="2"/>
      <c r="X55" s="6">
        <f t="shared" si="34"/>
        <v>-73.860000000000127</v>
      </c>
      <c r="Y55" s="2"/>
      <c r="Z55" s="7">
        <f t="shared" si="35"/>
        <v>-2.9962881077462981E-2</v>
      </c>
    </row>
    <row r="56" spans="1:26" s="25" customFormat="1" outlineLevel="1" collapsed="1" x14ac:dyDescent="0.25">
      <c r="A56" s="26"/>
      <c r="B56" s="13" t="str">
        <f>CONCATENATE("     ","R/H Commissions                                   ")</f>
        <v xml:space="preserve">     R/H Commissions                                   </v>
      </c>
      <c r="C56" s="13"/>
      <c r="D56" s="1">
        <f>SUM(OSRRefD22_9x_0)</f>
        <v>2334.44</v>
      </c>
      <c r="E56" s="1"/>
      <c r="F56" s="5">
        <f t="shared" si="28"/>
        <v>0.53681330052659415</v>
      </c>
      <c r="G56" s="1"/>
      <c r="H56" s="1">
        <f>SUM(OSRRefH22_9x_0)</f>
        <v>36299.29</v>
      </c>
      <c r="I56" s="1"/>
      <c r="J56" s="5">
        <f t="shared" si="29"/>
        <v>7.8420834477082896E-2</v>
      </c>
      <c r="K56" s="1"/>
      <c r="L56" s="1">
        <f t="shared" si="30"/>
        <v>-33964.85</v>
      </c>
      <c r="M56" s="1"/>
      <c r="N56" s="5">
        <f t="shared" si="31"/>
        <v>-0.93568910025512886</v>
      </c>
      <c r="O56" s="13"/>
      <c r="P56" s="1">
        <f>SUM(OSRRefP22_9x_0)</f>
        <v>283700.67</v>
      </c>
      <c r="Q56" s="1"/>
      <c r="R56" s="5">
        <f t="shared" si="32"/>
        <v>7.7437887638731093E-2</v>
      </c>
      <c r="S56" s="1"/>
      <c r="T56" s="1">
        <f>SUM(OSRRefT22_9x_0)</f>
        <v>314455.12</v>
      </c>
      <c r="U56" s="1"/>
      <c r="V56" s="5">
        <f t="shared" si="33"/>
        <v>7.7319010159879534E-2</v>
      </c>
      <c r="W56" s="1"/>
      <c r="X56" s="1">
        <f t="shared" si="34"/>
        <v>-30754.450000000012</v>
      </c>
      <c r="Y56" s="1"/>
      <c r="Z56" s="5">
        <f t="shared" si="35"/>
        <v>-9.7802350936438923E-2</v>
      </c>
    </row>
    <row r="57" spans="1:26" s="24" customFormat="1" hidden="1" outlineLevel="2" x14ac:dyDescent="0.25">
      <c r="A57" s="27"/>
      <c r="B57" s="11" t="str">
        <f>CONCATENATE("          ", "6387", " - ", "COMMISSION DUE HOUSING")</f>
        <v xml:space="preserve">          6387 - COMMISSION DUE HOUSING</v>
      </c>
      <c r="C57" s="11"/>
      <c r="D57" s="6">
        <v>2334.44</v>
      </c>
      <c r="E57" s="2"/>
      <c r="F57" s="7">
        <f t="shared" si="28"/>
        <v>0.53681330052659415</v>
      </c>
      <c r="G57" s="2"/>
      <c r="H57" s="6">
        <v>36299.29</v>
      </c>
      <c r="I57" s="2"/>
      <c r="J57" s="7">
        <f t="shared" si="29"/>
        <v>7.8420834477082896E-2</v>
      </c>
      <c r="K57" s="2"/>
      <c r="L57" s="6">
        <f t="shared" si="30"/>
        <v>-33964.85</v>
      </c>
      <c r="M57" s="2"/>
      <c r="N57" s="7">
        <f t="shared" si="31"/>
        <v>-0.93568910025512886</v>
      </c>
      <c r="O57" s="11"/>
      <c r="P57" s="6">
        <v>283700.67</v>
      </c>
      <c r="Q57" s="2"/>
      <c r="R57" s="7">
        <f t="shared" si="32"/>
        <v>7.7437887638731093E-2</v>
      </c>
      <c r="S57" s="2"/>
      <c r="T57" s="6">
        <v>314455.12</v>
      </c>
      <c r="U57" s="2"/>
      <c r="V57" s="7">
        <f t="shared" si="33"/>
        <v>7.7319010159879534E-2</v>
      </c>
      <c r="W57" s="2"/>
      <c r="X57" s="6">
        <f t="shared" si="34"/>
        <v>-30754.450000000012</v>
      </c>
      <c r="Y57" s="2"/>
      <c r="Z57" s="7">
        <f t="shared" si="35"/>
        <v>-9.7802350936438923E-2</v>
      </c>
    </row>
    <row r="58" spans="1:26" s="25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0</v>
      </c>
      <c r="E58" s="1"/>
      <c r="F58" s="5">
        <f t="shared" si="28"/>
        <v>0</v>
      </c>
      <c r="G58" s="1"/>
      <c r="H58" s="1">
        <f>SUM(OSRRefH22_10x_0)</f>
        <v>235.72</v>
      </c>
      <c r="I58" s="1"/>
      <c r="J58" s="5">
        <f t="shared" si="29"/>
        <v>5.0924850328857619E-4</v>
      </c>
      <c r="K58" s="1"/>
      <c r="L58" s="1">
        <f t="shared" si="30"/>
        <v>-235.72</v>
      </c>
      <c r="M58" s="1"/>
      <c r="N58" s="5">
        <f t="shared" si="31"/>
        <v>-1</v>
      </c>
      <c r="O58" s="13"/>
      <c r="P58" s="1">
        <f>SUM(OSRRefP22_10x_0)</f>
        <v>8602.7200000000012</v>
      </c>
      <c r="Q58" s="1"/>
      <c r="R58" s="5">
        <f t="shared" si="32"/>
        <v>2.3481666953675678E-3</v>
      </c>
      <c r="S58" s="1"/>
      <c r="T58" s="1">
        <f>SUM(OSRRefT22_10x_0)</f>
        <v>9478.16</v>
      </c>
      <c r="U58" s="1"/>
      <c r="V58" s="5">
        <f t="shared" si="33"/>
        <v>2.3305136495693373E-3</v>
      </c>
      <c r="W58" s="1"/>
      <c r="X58" s="1">
        <f t="shared" si="34"/>
        <v>-875.43999999999869</v>
      </c>
      <c r="Y58" s="1"/>
      <c r="Z58" s="5">
        <f t="shared" si="35"/>
        <v>-9.2363918735281811E-2</v>
      </c>
    </row>
    <row r="59" spans="1:26" s="24" customFormat="1" hidden="1" outlineLevel="2" x14ac:dyDescent="0.2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8238.75</v>
      </c>
      <c r="Q59" s="2"/>
      <c r="R59" s="7">
        <f t="shared" si="32"/>
        <v>2.2488187877159256E-3</v>
      </c>
      <c r="S59" s="2"/>
      <c r="T59" s="6">
        <v>8950.42</v>
      </c>
      <c r="U59" s="2"/>
      <c r="V59" s="7">
        <f t="shared" si="33"/>
        <v>2.2007516205021214E-3</v>
      </c>
      <c r="W59" s="2"/>
      <c r="X59" s="6">
        <f t="shared" si="34"/>
        <v>-711.67000000000007</v>
      </c>
      <c r="Y59" s="2"/>
      <c r="Z59" s="7">
        <f t="shared" si="35"/>
        <v>-7.9512469805886207E-2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212.19</v>
      </c>
      <c r="Q60" s="2"/>
      <c r="R60" s="7">
        <f t="shared" si="32"/>
        <v>5.791859912795536E-5</v>
      </c>
      <c r="S60" s="2"/>
      <c r="T60" s="6">
        <v>202.41</v>
      </c>
      <c r="U60" s="2"/>
      <c r="V60" s="7">
        <f t="shared" si="33"/>
        <v>4.9769076256291257E-5</v>
      </c>
      <c r="W60" s="2"/>
      <c r="X60" s="6">
        <f t="shared" si="34"/>
        <v>9.7800000000000011</v>
      </c>
      <c r="Y60" s="2"/>
      <c r="Z60" s="7">
        <f t="shared" si="35"/>
        <v>4.8317770861123467E-2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8"/>
        <v>0</v>
      </c>
      <c r="G61" s="2"/>
      <c r="H61" s="6">
        <v>235.72</v>
      </c>
      <c r="I61" s="2"/>
      <c r="J61" s="7">
        <f t="shared" si="29"/>
        <v>5.0924850328857619E-4</v>
      </c>
      <c r="K61" s="2"/>
      <c r="L61" s="6">
        <f t="shared" si="30"/>
        <v>-235.72</v>
      </c>
      <c r="M61" s="2"/>
      <c r="N61" s="7">
        <f t="shared" si="31"/>
        <v>-1</v>
      </c>
      <c r="O61" s="11"/>
      <c r="P61" s="6">
        <v>151.78</v>
      </c>
      <c r="Q61" s="2"/>
      <c r="R61" s="7">
        <f t="shared" si="32"/>
        <v>4.1429308523686626E-5</v>
      </c>
      <c r="S61" s="2"/>
      <c r="T61" s="6">
        <v>325.33</v>
      </c>
      <c r="U61" s="2"/>
      <c r="V61" s="7">
        <f t="shared" si="33"/>
        <v>7.9992952810924522E-5</v>
      </c>
      <c r="W61" s="2"/>
      <c r="X61" s="6">
        <f t="shared" si="34"/>
        <v>-173.54999999999998</v>
      </c>
      <c r="Y61" s="2"/>
      <c r="Z61" s="7">
        <f t="shared" si="35"/>
        <v>-0.5334583346140841</v>
      </c>
    </row>
    <row r="62" spans="1:26" s="25" customFormat="1" outlineLevel="1" collapsed="1" x14ac:dyDescent="0.25">
      <c r="A62" s="26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SUM(OSRRefD22_11x_0)</f>
        <v>5483.15</v>
      </c>
      <c r="E62" s="1"/>
      <c r="F62" s="5">
        <f t="shared" ref="F62:F65" si="36">IF(D$12=0,0,D62/D$12)</f>
        <v>1.2608710649159518</v>
      </c>
      <c r="G62" s="1"/>
      <c r="H62" s="1">
        <f>SUM(OSRRefH22_11x_0)</f>
        <v>5897.22</v>
      </c>
      <c r="I62" s="1"/>
      <c r="J62" s="5">
        <f t="shared" ref="J62:J65" si="37">IF(H$12=0,0,H62/H$12)</f>
        <v>1.2740329452585514E-2</v>
      </c>
      <c r="K62" s="1"/>
      <c r="L62" s="1">
        <f t="shared" ref="L62:L65" si="38">+D62-H62</f>
        <v>-414.07000000000062</v>
      </c>
      <c r="M62" s="1"/>
      <c r="N62" s="5">
        <f t="shared" ref="N62:N65" si="39">IF(H62=0,0,L62/H62)</f>
        <v>-7.0214440024282732E-2</v>
      </c>
      <c r="O62" s="13"/>
      <c r="P62" s="1">
        <f>SUM(OSRRefP22_11x_0)</f>
        <v>64696.770000000004</v>
      </c>
      <c r="Q62" s="1"/>
      <c r="R62" s="5">
        <f t="shared" ref="R62:R65" si="40">IF(P$12=0,0,P62/P$12)</f>
        <v>1.7659391519409626E-2</v>
      </c>
      <c r="S62" s="1"/>
      <c r="T62" s="1">
        <f>SUM(OSRRefT22_11x_0)</f>
        <v>59392.56</v>
      </c>
      <c r="U62" s="1"/>
      <c r="V62" s="5">
        <f t="shared" ref="V62:V65" si="41">IF(T$12=0,0,T62/T$12)</f>
        <v>1.4603590967325497E-2</v>
      </c>
      <c r="W62" s="1"/>
      <c r="X62" s="1">
        <f t="shared" ref="X62:X65" si="42">+P62-T62</f>
        <v>5304.2100000000064</v>
      </c>
      <c r="Y62" s="1"/>
      <c r="Z62" s="5">
        <f t="shared" ref="Z62:Z65" si="43">IF(T62=0,0,X62/T62)</f>
        <v>8.9307650655233703E-2</v>
      </c>
    </row>
    <row r="63" spans="1:26" s="24" customFormat="1" hidden="1" outlineLevel="2" x14ac:dyDescent="0.25">
      <c r="A63" s="27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417.32</v>
      </c>
      <c r="E63" s="2"/>
      <c r="F63" s="7">
        <f t="shared" si="36"/>
        <v>9.5964311173454137E-2</v>
      </c>
      <c r="G63" s="2"/>
      <c r="H63" s="6">
        <v>417.32</v>
      </c>
      <c r="I63" s="2"/>
      <c r="J63" s="7">
        <f t="shared" si="37"/>
        <v>9.0157638466141444E-4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4710.5200000000004</v>
      </c>
      <c r="Q63" s="2"/>
      <c r="R63" s="7">
        <f t="shared" si="40"/>
        <v>1.2857661509223634E-3</v>
      </c>
      <c r="S63" s="2"/>
      <c r="T63" s="6">
        <v>3755.88</v>
      </c>
      <c r="U63" s="2"/>
      <c r="V63" s="7">
        <f t="shared" si="41"/>
        <v>9.2350515354715289E-4</v>
      </c>
      <c r="W63" s="2"/>
      <c r="X63" s="6">
        <f t="shared" si="42"/>
        <v>954.64000000000033</v>
      </c>
      <c r="Y63" s="2"/>
      <c r="Z63" s="7">
        <f t="shared" si="43"/>
        <v>0.25417212477501949</v>
      </c>
    </row>
    <row r="64" spans="1:26" s="24" customFormat="1" hidden="1" outlineLevel="2" x14ac:dyDescent="0.25">
      <c r="A64" s="27"/>
      <c r="B64" s="11" t="str">
        <f>CONCATENATE("          ", "6285", " - ", "JANITORIAL SERVICES")</f>
        <v xml:space="preserve">          6285 - JANITORIAL SERVICES</v>
      </c>
      <c r="C64" s="11"/>
      <c r="D64" s="6">
        <v>4157.05</v>
      </c>
      <c r="E64" s="2"/>
      <c r="F64" s="7">
        <f t="shared" si="36"/>
        <v>0.95592935819900204</v>
      </c>
      <c r="G64" s="2"/>
      <c r="H64" s="6">
        <v>3901.07</v>
      </c>
      <c r="I64" s="2"/>
      <c r="J64" s="7">
        <f t="shared" si="37"/>
        <v>8.4278553314269724E-3</v>
      </c>
      <c r="K64" s="2"/>
      <c r="L64" s="6">
        <f t="shared" si="38"/>
        <v>255.98000000000002</v>
      </c>
      <c r="M64" s="2"/>
      <c r="N64" s="7">
        <f t="shared" si="39"/>
        <v>6.5617894577641514E-2</v>
      </c>
      <c r="O64" s="11"/>
      <c r="P64" s="6">
        <v>43066.979999999996</v>
      </c>
      <c r="Q64" s="2"/>
      <c r="R64" s="7">
        <f t="shared" si="40"/>
        <v>1.1755403884592444E-2</v>
      </c>
      <c r="S64" s="2"/>
      <c r="T64" s="6">
        <v>39950.94</v>
      </c>
      <c r="U64" s="2"/>
      <c r="V64" s="7">
        <f t="shared" si="41"/>
        <v>9.8232368923003646E-3</v>
      </c>
      <c r="W64" s="2"/>
      <c r="X64" s="6">
        <f t="shared" si="42"/>
        <v>3116.0399999999936</v>
      </c>
      <c r="Y64" s="2"/>
      <c r="Z64" s="7">
        <f t="shared" si="43"/>
        <v>7.7996662907055342E-2</v>
      </c>
    </row>
    <row r="65" spans="1:26" s="24" customFormat="1" hidden="1" outlineLevel="2" x14ac:dyDescent="0.25">
      <c r="A65" s="27"/>
      <c r="B65" s="11" t="str">
        <f>CONCATENATE("          ", "6286", " - ", "LAUNDRY EXPENSE")</f>
        <v xml:space="preserve">          6286 - LAUNDRY EXPENSE</v>
      </c>
      <c r="C65" s="11"/>
      <c r="D65" s="6">
        <v>908.78</v>
      </c>
      <c r="E65" s="2"/>
      <c r="F65" s="7">
        <f t="shared" si="36"/>
        <v>0.20897739554349576</v>
      </c>
      <c r="G65" s="2"/>
      <c r="H65" s="6">
        <v>1578.83</v>
      </c>
      <c r="I65" s="2"/>
      <c r="J65" s="7">
        <f t="shared" si="37"/>
        <v>3.4108977364971267E-3</v>
      </c>
      <c r="K65" s="2"/>
      <c r="L65" s="6">
        <f t="shared" si="38"/>
        <v>-670.05</v>
      </c>
      <c r="M65" s="2"/>
      <c r="N65" s="7">
        <f t="shared" si="39"/>
        <v>-0.42439654680997951</v>
      </c>
      <c r="O65" s="11"/>
      <c r="P65" s="6">
        <v>16919.27</v>
      </c>
      <c r="Q65" s="2"/>
      <c r="R65" s="7">
        <f t="shared" si="40"/>
        <v>4.6182214838948171E-3</v>
      </c>
      <c r="S65" s="2"/>
      <c r="T65" s="6">
        <v>15685.74</v>
      </c>
      <c r="U65" s="2"/>
      <c r="V65" s="7">
        <f t="shared" si="41"/>
        <v>3.8568489214779803E-3</v>
      </c>
      <c r="W65" s="2"/>
      <c r="X65" s="6">
        <f t="shared" si="42"/>
        <v>1233.5300000000007</v>
      </c>
      <c r="Y65" s="2"/>
      <c r="Z65" s="7">
        <f t="shared" si="43"/>
        <v>7.8640217165399956E-2</v>
      </c>
    </row>
    <row r="66" spans="1:26" s="25" customFormat="1" outlineLevel="1" collapsed="1" x14ac:dyDescent="0.25">
      <c r="A66" s="26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3101.33</v>
      </c>
      <c r="E66" s="1"/>
      <c r="F66" s="5">
        <f t="shared" ref="F66:F73" si="44">IF(D$12=0,0,D66/D$12)</f>
        <v>0.71316255432658038</v>
      </c>
      <c r="G66" s="1"/>
      <c r="H66" s="1">
        <f>SUM(OSRRefH22_12x_0)</f>
        <v>6875.7000000000007</v>
      </c>
      <c r="I66" s="1"/>
      <c r="J66" s="5">
        <f t="shared" ref="J66:J73" si="45">IF(H$12=0,0,H66/H$12)</f>
        <v>1.4854233557022161E-2</v>
      </c>
      <c r="K66" s="1"/>
      <c r="L66" s="1">
        <f t="shared" ref="L66:L73" si="46">+D66-H66</f>
        <v>-3774.3700000000008</v>
      </c>
      <c r="M66" s="1"/>
      <c r="N66" s="5">
        <f t="shared" ref="N66:N73" si="47">IF(H66=0,0,L66/H66)</f>
        <v>-0.54894338031036849</v>
      </c>
      <c r="O66" s="13"/>
      <c r="P66" s="1">
        <f>SUM(OSRRefP22_12x_0)</f>
        <v>63465.71</v>
      </c>
      <c r="Q66" s="1"/>
      <c r="R66" s="5">
        <f t="shared" ref="R66:R73" si="48">IF(P$12=0,0,P66/P$12)</f>
        <v>1.7323365926108995E-2</v>
      </c>
      <c r="S66" s="1"/>
      <c r="T66" s="1">
        <f>SUM(OSRRefT22_12x_0)</f>
        <v>75110.14</v>
      </c>
      <c r="U66" s="1"/>
      <c r="V66" s="5">
        <f t="shared" ref="V66:V73" si="49">IF(T$12=0,0,T66/T$12)</f>
        <v>1.8468268787514015E-2</v>
      </c>
      <c r="W66" s="1"/>
      <c r="X66" s="1">
        <f t="shared" ref="X66:X73" si="50">+P66-T66</f>
        <v>-11644.43</v>
      </c>
      <c r="Y66" s="1"/>
      <c r="Z66" s="5">
        <f t="shared" ref="Z66:Z73" si="51">IF(T66=0,0,X66/T66)</f>
        <v>-0.15503139789115025</v>
      </c>
    </row>
    <row r="67" spans="1:26" s="24" customFormat="1" hidden="1" outlineLevel="2" x14ac:dyDescent="0.25">
      <c r="A67" s="27"/>
      <c r="B67" s="11" t="str">
        <f>CONCATENATE("          ", "6237", " - ", "JANITORIAL SUPPLIES")</f>
        <v xml:space="preserve">          6237 - JANITORIAL SUPPLIES</v>
      </c>
      <c r="C67" s="11"/>
      <c r="D67" s="6">
        <v>1219.6300000000001</v>
      </c>
      <c r="E67" s="2"/>
      <c r="F67" s="7">
        <f t="shared" si="44"/>
        <v>0.28045852783590502</v>
      </c>
      <c r="G67" s="2"/>
      <c r="H67" s="6">
        <v>2584.48</v>
      </c>
      <c r="I67" s="2"/>
      <c r="J67" s="7">
        <f t="shared" si="45"/>
        <v>5.5834997954321199E-3</v>
      </c>
      <c r="K67" s="2"/>
      <c r="L67" s="6">
        <f t="shared" si="46"/>
        <v>-1364.85</v>
      </c>
      <c r="M67" s="2"/>
      <c r="N67" s="7">
        <f t="shared" si="47"/>
        <v>-0.52809462638519156</v>
      </c>
      <c r="O67" s="11"/>
      <c r="P67" s="6">
        <v>26409.59</v>
      </c>
      <c r="Q67" s="2"/>
      <c r="R67" s="7">
        <f t="shared" si="48"/>
        <v>7.2086641988013504E-3</v>
      </c>
      <c r="S67" s="2"/>
      <c r="T67" s="6">
        <v>35496.080000000002</v>
      </c>
      <c r="U67" s="2"/>
      <c r="V67" s="7">
        <f t="shared" si="49"/>
        <v>8.7278647908671271E-3</v>
      </c>
      <c r="W67" s="2"/>
      <c r="X67" s="6">
        <f t="shared" si="50"/>
        <v>-9086.4900000000016</v>
      </c>
      <c r="Y67" s="2"/>
      <c r="Z67" s="7">
        <f t="shared" si="51"/>
        <v>-0.25598573138216957</v>
      </c>
    </row>
    <row r="68" spans="1:26" s="24" customFormat="1" hidden="1" outlineLevel="2" x14ac:dyDescent="0.25">
      <c r="A68" s="27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44"/>
        <v>0</v>
      </c>
      <c r="G68" s="2"/>
      <c r="H68" s="6">
        <v>441.92</v>
      </c>
      <c r="I68" s="2"/>
      <c r="J68" s="7">
        <f t="shared" si="45"/>
        <v>9.5472212189584083E-4</v>
      </c>
      <c r="K68" s="2"/>
      <c r="L68" s="6">
        <f t="shared" si="46"/>
        <v>-441.92</v>
      </c>
      <c r="M68" s="2"/>
      <c r="N68" s="7">
        <f t="shared" si="47"/>
        <v>-1</v>
      </c>
      <c r="O68" s="11"/>
      <c r="P68" s="6">
        <v>5675.04</v>
      </c>
      <c r="Q68" s="2"/>
      <c r="R68" s="7">
        <f t="shared" si="48"/>
        <v>1.5490379697210602E-3</v>
      </c>
      <c r="S68" s="2"/>
      <c r="T68" s="6">
        <v>7307.57</v>
      </c>
      <c r="U68" s="2"/>
      <c r="V68" s="7">
        <f t="shared" si="49"/>
        <v>1.7968035599930155E-3</v>
      </c>
      <c r="W68" s="2"/>
      <c r="X68" s="6">
        <f t="shared" si="50"/>
        <v>-1632.5299999999997</v>
      </c>
      <c r="Y68" s="2"/>
      <c r="Z68" s="7">
        <f t="shared" si="51"/>
        <v>-0.22340258115898989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44"/>
        <v>0</v>
      </c>
      <c r="G69" s="2"/>
      <c r="H69" s="6">
        <v>555.99</v>
      </c>
      <c r="I69" s="2"/>
      <c r="J69" s="7">
        <f t="shared" si="45"/>
        <v>1.2011584733727112E-3</v>
      </c>
      <c r="K69" s="2"/>
      <c r="L69" s="6">
        <f t="shared" si="46"/>
        <v>-555.99</v>
      </c>
      <c r="M69" s="2"/>
      <c r="N69" s="7">
        <f t="shared" si="47"/>
        <v>-1</v>
      </c>
      <c r="O69" s="11"/>
      <c r="P69" s="6">
        <v>2449.29</v>
      </c>
      <c r="Q69" s="2"/>
      <c r="R69" s="7">
        <f t="shared" si="48"/>
        <v>6.6854915716155227E-4</v>
      </c>
      <c r="S69" s="2"/>
      <c r="T69" s="6">
        <v>3786.26</v>
      </c>
      <c r="U69" s="2"/>
      <c r="V69" s="7">
        <f t="shared" si="49"/>
        <v>9.3097506381179462E-4</v>
      </c>
      <c r="W69" s="2"/>
      <c r="X69" s="6">
        <f t="shared" si="50"/>
        <v>-1336.9700000000003</v>
      </c>
      <c r="Y69" s="2"/>
      <c r="Z69" s="7">
        <f t="shared" si="51"/>
        <v>-0.35311098551076792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6">
        <v>1881.7</v>
      </c>
      <c r="E70" s="2"/>
      <c r="F70" s="7">
        <f t="shared" si="44"/>
        <v>0.43270402649067541</v>
      </c>
      <c r="G70" s="2"/>
      <c r="H70" s="6">
        <v>3293.31</v>
      </c>
      <c r="I70" s="2"/>
      <c r="J70" s="7">
        <f t="shared" si="45"/>
        <v>7.1148531663214861E-3</v>
      </c>
      <c r="K70" s="2"/>
      <c r="L70" s="6">
        <f t="shared" si="46"/>
        <v>-1411.61</v>
      </c>
      <c r="M70" s="2"/>
      <c r="N70" s="7">
        <f t="shared" si="47"/>
        <v>-0.42862955506769784</v>
      </c>
      <c r="O70" s="11"/>
      <c r="P70" s="6">
        <v>24886.66</v>
      </c>
      <c r="Q70" s="2"/>
      <c r="R70" s="7">
        <f t="shared" si="48"/>
        <v>6.7929708477012189E-3</v>
      </c>
      <c r="S70" s="2"/>
      <c r="T70" s="6">
        <v>23679.72</v>
      </c>
      <c r="U70" s="2"/>
      <c r="V70" s="7">
        <f t="shared" si="49"/>
        <v>5.8224286863673988E-3</v>
      </c>
      <c r="W70" s="2"/>
      <c r="X70" s="6">
        <f t="shared" si="50"/>
        <v>1206.9399999999987</v>
      </c>
      <c r="Y70" s="2"/>
      <c r="Z70" s="7">
        <f t="shared" si="51"/>
        <v>5.096935267815661E-2</v>
      </c>
    </row>
    <row r="71" spans="1:26" s="24" customFormat="1" hidden="1" outlineLevel="2" x14ac:dyDescent="0.25">
      <c r="A71" s="27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>
        <v>441</v>
      </c>
      <c r="Q71" s="2"/>
      <c r="R71" s="7">
        <f t="shared" si="48"/>
        <v>1.2037373210532219E-4</v>
      </c>
      <c r="S71" s="2"/>
      <c r="T71" s="6">
        <v>1522.08</v>
      </c>
      <c r="U71" s="2"/>
      <c r="V71" s="7">
        <f t="shared" si="49"/>
        <v>3.7425283132343164E-4</v>
      </c>
      <c r="W71" s="2"/>
      <c r="X71" s="6">
        <f t="shared" si="50"/>
        <v>-1081.08</v>
      </c>
      <c r="Y71" s="2"/>
      <c r="Z71" s="7">
        <f t="shared" si="51"/>
        <v>-0.71026490066225167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82.5</v>
      </c>
      <c r="Q72" s="2"/>
      <c r="R72" s="7">
        <f t="shared" si="48"/>
        <v>2.251889546188E-5</v>
      </c>
      <c r="S72" s="2"/>
      <c r="T72" s="6"/>
      <c r="U72" s="2"/>
      <c r="V72" s="7">
        <f t="shared" si="49"/>
        <v>0</v>
      </c>
      <c r="W72" s="2"/>
      <c r="X72" s="6">
        <f t="shared" si="50"/>
        <v>82.5</v>
      </c>
      <c r="Y72" s="2"/>
      <c r="Z72" s="7">
        <f t="shared" si="51"/>
        <v>0</v>
      </c>
    </row>
    <row r="73" spans="1:26" s="24" customFormat="1" hidden="1" outlineLevel="2" x14ac:dyDescent="0.25">
      <c r="A73" s="27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3521.63</v>
      </c>
      <c r="Q73" s="2"/>
      <c r="R73" s="7">
        <f t="shared" si="48"/>
        <v>9.6125112515661173E-4</v>
      </c>
      <c r="S73" s="2"/>
      <c r="T73" s="6">
        <v>3318.43</v>
      </c>
      <c r="U73" s="2"/>
      <c r="V73" s="7">
        <f t="shared" si="49"/>
        <v>8.1594385515125034E-4</v>
      </c>
      <c r="W73" s="2"/>
      <c r="X73" s="6">
        <f t="shared" si="50"/>
        <v>203.20000000000027</v>
      </c>
      <c r="Y73" s="2"/>
      <c r="Z73" s="7">
        <f t="shared" si="51"/>
        <v>6.1233776213450421E-2</v>
      </c>
    </row>
    <row r="74" spans="1:26" s="25" customFormat="1" outlineLevel="1" collapsed="1" x14ac:dyDescent="0.25">
      <c r="A74" s="26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144.05000000000001</v>
      </c>
      <c r="E74" s="1"/>
      <c r="F74" s="5">
        <f t="shared" ref="F74:F80" si="52">IF(D$12=0,0,D74/D$12)</f>
        <v>3.3124841906776739E-2</v>
      </c>
      <c r="G74" s="1"/>
      <c r="H74" s="1">
        <f>SUM(OSRRefH22_13x_0)</f>
        <v>173.65</v>
      </c>
      <c r="I74" s="1"/>
      <c r="J74" s="5">
        <f t="shared" ref="J74:J80" si="53">IF(H$12=0,0,H74/H$12)</f>
        <v>3.7515273458366388E-4</v>
      </c>
      <c r="K74" s="1"/>
      <c r="L74" s="1">
        <f t="shared" ref="L74:L80" si="54">+D74-H74</f>
        <v>-29.599999999999994</v>
      </c>
      <c r="M74" s="1"/>
      <c r="N74" s="5">
        <f t="shared" ref="N74:N80" si="55">IF(H74=0,0,L74/H74)</f>
        <v>-0.17045781744889141</v>
      </c>
      <c r="O74" s="13"/>
      <c r="P74" s="1">
        <f>SUM(OSRRefP22_13x_0)</f>
        <v>1838.85</v>
      </c>
      <c r="Q74" s="1"/>
      <c r="R74" s="5">
        <f t="shared" ref="R74:R80" si="56">IF(P$12=0,0,P74/P$12)</f>
        <v>5.0192570812215799E-4</v>
      </c>
      <c r="S74" s="1"/>
      <c r="T74" s="1">
        <f>SUM(OSRRefT22_13x_0)</f>
        <v>1772.65</v>
      </c>
      <c r="U74" s="1"/>
      <c r="V74" s="5">
        <f t="shared" ref="V74:V80" si="57">IF(T$12=0,0,T74/T$12)</f>
        <v>4.358636086444084E-4</v>
      </c>
      <c r="W74" s="1"/>
      <c r="X74" s="1">
        <f t="shared" ref="X74:X80" si="58">+P74-T74</f>
        <v>66.199999999999818</v>
      </c>
      <c r="Y74" s="1"/>
      <c r="Z74" s="5">
        <f t="shared" ref="Z74:Z80" si="59">IF(T74=0,0,X74/T74)</f>
        <v>3.7345217612049654E-2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6">
        <v>144.05000000000001</v>
      </c>
      <c r="E75" s="2"/>
      <c r="F75" s="7">
        <f t="shared" si="52"/>
        <v>3.3124841906776739E-2</v>
      </c>
      <c r="G75" s="2"/>
      <c r="H75" s="6">
        <v>173.65</v>
      </c>
      <c r="I75" s="2"/>
      <c r="J75" s="7">
        <f t="shared" si="53"/>
        <v>3.7515273458366388E-4</v>
      </c>
      <c r="K75" s="2"/>
      <c r="L75" s="6">
        <f t="shared" si="54"/>
        <v>-29.599999999999994</v>
      </c>
      <c r="M75" s="2"/>
      <c r="N75" s="7">
        <f t="shared" si="55"/>
        <v>-0.17045781744889141</v>
      </c>
      <c r="O75" s="11"/>
      <c r="P75" s="6">
        <v>1838.85</v>
      </c>
      <c r="Q75" s="2"/>
      <c r="R75" s="7">
        <f t="shared" si="56"/>
        <v>5.0192570812215799E-4</v>
      </c>
      <c r="S75" s="2"/>
      <c r="T75" s="6">
        <v>1772.65</v>
      </c>
      <c r="U75" s="2"/>
      <c r="V75" s="7">
        <f t="shared" si="57"/>
        <v>4.358636086444084E-4</v>
      </c>
      <c r="W75" s="2"/>
      <c r="X75" s="6">
        <f t="shared" si="58"/>
        <v>66.199999999999818</v>
      </c>
      <c r="Y75" s="2"/>
      <c r="Z75" s="7">
        <f t="shared" si="59"/>
        <v>3.7345217612049654E-2</v>
      </c>
    </row>
    <row r="76" spans="1:26" s="25" customFormat="1" outlineLevel="1" collapsed="1" x14ac:dyDescent="0.25">
      <c r="A76" s="26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SUM(OSRRefD22_14x_0)</f>
        <v>0</v>
      </c>
      <c r="E76" s="1"/>
      <c r="F76" s="5">
        <f t="shared" si="52"/>
        <v>0</v>
      </c>
      <c r="G76" s="1"/>
      <c r="H76" s="1">
        <f>SUM(OSRRefH22_14x_0)</f>
        <v>0</v>
      </c>
      <c r="I76" s="1"/>
      <c r="J76" s="5">
        <f t="shared" si="53"/>
        <v>0</v>
      </c>
      <c r="K76" s="1"/>
      <c r="L76" s="1">
        <f t="shared" si="54"/>
        <v>0</v>
      </c>
      <c r="M76" s="1"/>
      <c r="N76" s="5">
        <f t="shared" si="55"/>
        <v>0</v>
      </c>
      <c r="O76" s="13"/>
      <c r="P76" s="1">
        <f>SUM(OSRRefP22_14x_0)</f>
        <v>678.48</v>
      </c>
      <c r="Q76" s="1"/>
      <c r="R76" s="5">
        <f t="shared" si="56"/>
        <v>1.8519539627850112E-4</v>
      </c>
      <c r="S76" s="1"/>
      <c r="T76" s="1">
        <f>SUM(OSRRefT22_14x_0)</f>
        <v>1582.37</v>
      </c>
      <c r="U76" s="1"/>
      <c r="V76" s="5">
        <f t="shared" si="57"/>
        <v>3.8907708707903559E-4</v>
      </c>
      <c r="W76" s="1"/>
      <c r="X76" s="1">
        <f t="shared" si="58"/>
        <v>-903.88999999999987</v>
      </c>
      <c r="Y76" s="1"/>
      <c r="Z76" s="5">
        <f t="shared" si="59"/>
        <v>-0.5712254403205318</v>
      </c>
    </row>
    <row r="77" spans="1:26" s="24" customFormat="1" hidden="1" outlineLevel="2" x14ac:dyDescent="0.25">
      <c r="A77" s="27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1"/>
      <c r="P77" s="6">
        <v>678.48</v>
      </c>
      <c r="Q77" s="2"/>
      <c r="R77" s="7">
        <f t="shared" si="56"/>
        <v>1.8519539627850112E-4</v>
      </c>
      <c r="S77" s="2"/>
      <c r="T77" s="6">
        <v>1582.37</v>
      </c>
      <c r="U77" s="2"/>
      <c r="V77" s="7">
        <f t="shared" si="57"/>
        <v>3.8907708707903559E-4</v>
      </c>
      <c r="W77" s="2"/>
      <c r="X77" s="6">
        <f t="shared" si="58"/>
        <v>-903.88999999999987</v>
      </c>
      <c r="Y77" s="2"/>
      <c r="Z77" s="7">
        <f t="shared" si="59"/>
        <v>-0.5712254403205318</v>
      </c>
    </row>
    <row r="78" spans="1:26" s="25" customFormat="1" outlineLevel="1" collapsed="1" x14ac:dyDescent="0.25">
      <c r="A78" s="26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SUM(OSRRefD22_15x_0)</f>
        <v>0</v>
      </c>
      <c r="E78" s="1"/>
      <c r="F78" s="5">
        <f t="shared" si="52"/>
        <v>0</v>
      </c>
      <c r="G78" s="1"/>
      <c r="H78" s="1">
        <f>SUM(OSRRefH22_15x_0)</f>
        <v>0</v>
      </c>
      <c r="I78" s="1"/>
      <c r="J78" s="5">
        <f t="shared" si="53"/>
        <v>0</v>
      </c>
      <c r="K78" s="1"/>
      <c r="L78" s="1">
        <f t="shared" si="54"/>
        <v>0</v>
      </c>
      <c r="M78" s="1"/>
      <c r="N78" s="5">
        <f t="shared" si="55"/>
        <v>0</v>
      </c>
      <c r="O78" s="13"/>
      <c r="P78" s="1">
        <f>SUM(OSRRefP22_15x_0)</f>
        <v>1429.86</v>
      </c>
      <c r="Q78" s="1"/>
      <c r="R78" s="5">
        <f t="shared" si="56"/>
        <v>3.9028930745604526E-4</v>
      </c>
      <c r="S78" s="1"/>
      <c r="T78" s="1">
        <f>SUM(OSRRefT22_15x_0)</f>
        <v>408.5</v>
      </c>
      <c r="U78" s="1"/>
      <c r="V78" s="5">
        <f t="shared" si="57"/>
        <v>1.0044300010224287E-4</v>
      </c>
      <c r="W78" s="1"/>
      <c r="X78" s="1">
        <f t="shared" si="58"/>
        <v>1021.3599999999999</v>
      </c>
      <c r="Y78" s="1"/>
      <c r="Z78" s="5">
        <f t="shared" si="59"/>
        <v>2.5002692778457769</v>
      </c>
    </row>
    <row r="79" spans="1:26" s="24" customFormat="1" hidden="1" outlineLevel="2" x14ac:dyDescent="0.25">
      <c r="A79" s="27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>
        <v>1429.86</v>
      </c>
      <c r="Q79" s="2"/>
      <c r="R79" s="7">
        <f t="shared" si="56"/>
        <v>3.9028930745604526E-4</v>
      </c>
      <c r="S79" s="2"/>
      <c r="T79" s="6"/>
      <c r="U79" s="2"/>
      <c r="V79" s="7">
        <f t="shared" si="57"/>
        <v>0</v>
      </c>
      <c r="W79" s="2"/>
      <c r="X79" s="6">
        <f t="shared" si="58"/>
        <v>1429.86</v>
      </c>
      <c r="Y79" s="2"/>
      <c r="Z79" s="7">
        <f t="shared" si="59"/>
        <v>0</v>
      </c>
    </row>
    <row r="80" spans="1:26" s="24" customFormat="1" hidden="1" outlineLevel="2" x14ac:dyDescent="0.25">
      <c r="A80" s="27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/>
      <c r="Q80" s="2"/>
      <c r="R80" s="7">
        <f t="shared" si="56"/>
        <v>0</v>
      </c>
      <c r="S80" s="2"/>
      <c r="T80" s="6">
        <v>408.5</v>
      </c>
      <c r="U80" s="2"/>
      <c r="V80" s="7">
        <f t="shared" si="57"/>
        <v>1.0044300010224287E-4</v>
      </c>
      <c r="W80" s="2"/>
      <c r="X80" s="6">
        <f t="shared" si="58"/>
        <v>-408.5</v>
      </c>
      <c r="Y80" s="2"/>
      <c r="Z80" s="7">
        <f t="shared" si="59"/>
        <v>-1</v>
      </c>
    </row>
    <row r="81" spans="1:26" s="53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1">
        <f>+D22-D24+D82</f>
        <v>-38084.53</v>
      </c>
      <c r="E84" s="14"/>
      <c r="F84" s="20">
        <f>IF(D$12=0,0,D84/D$12)</f>
        <v>-8.7576816059971954</v>
      </c>
      <c r="G84" s="14"/>
      <c r="H84" s="21">
        <f>+H22-H24+H82</f>
        <v>182324.48999999993</v>
      </c>
      <c r="I84" s="14"/>
      <c r="J84" s="20">
        <f>IF(H$12=0,0,H84/H$12)</f>
        <v>0.39389306654230843</v>
      </c>
      <c r="K84" s="15"/>
      <c r="L84" s="21">
        <f>+D84-H84</f>
        <v>-220409.01999999993</v>
      </c>
      <c r="M84" s="15"/>
      <c r="N84" s="20">
        <f>IF(H84=0,0,L84/H84)</f>
        <v>-1.2088832388890818</v>
      </c>
      <c r="O84" s="29"/>
      <c r="P84" s="21">
        <f>+P22-P24+P82</f>
        <v>1178912.8200000003</v>
      </c>
      <c r="Q84" s="14"/>
      <c r="R84" s="20">
        <f>IF(P$12=0,0,P84/P$12)</f>
        <v>0.32179169154242621</v>
      </c>
      <c r="S84" s="14"/>
      <c r="T84" s="21">
        <f>+T22-T24+T82</f>
        <v>1493922.6099999999</v>
      </c>
      <c r="U84" s="14"/>
      <c r="V84" s="20">
        <f>IF(T$12=0,0,T84/T$12)</f>
        <v>0.36732942195587004</v>
      </c>
      <c r="W84" s="15"/>
      <c r="X84" s="21">
        <f>+P84-T84</f>
        <v>-315009.78999999957</v>
      </c>
      <c r="Y84" s="15"/>
      <c r="Z84" s="20">
        <f>IF(T84=0,0,X84/T84)</f>
        <v>-0.21086084907704797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23877.85</v>
      </c>
      <c r="E86" s="4"/>
      <c r="F86" s="12">
        <f>IF(D$12=0,0,D86/D$12)</f>
        <v>5.4908018488283856</v>
      </c>
      <c r="G86" s="4"/>
      <c r="H86" s="4">
        <v>51674.2</v>
      </c>
      <c r="I86" s="4"/>
      <c r="J86" s="12">
        <f>IF(H$12=0,0,H86/H$12)</f>
        <v>0.11163672581297532</v>
      </c>
      <c r="K86" s="4"/>
      <c r="L86" s="4">
        <f>+D86-H86</f>
        <v>-27796.35</v>
      </c>
      <c r="M86" s="4"/>
      <c r="N86" s="12">
        <f>IF(H86=0,0,L86/H86)</f>
        <v>-0.53791543942625142</v>
      </c>
      <c r="O86" s="10"/>
      <c r="P86" s="4">
        <v>415974.42000000004</v>
      </c>
      <c r="Q86" s="4"/>
      <c r="R86" s="12">
        <f>IF(P$12=0,0,P86/P$12)</f>
        <v>0.11354284216722625</v>
      </c>
      <c r="S86" s="4"/>
      <c r="T86" s="4">
        <v>422797.69</v>
      </c>
      <c r="U86" s="4"/>
      <c r="V86" s="12">
        <f>IF(T$12=0,0,T86/T$12)</f>
        <v>0.10395855182349584</v>
      </c>
      <c r="W86" s="4"/>
      <c r="X86" s="4">
        <f>+P86-T86</f>
        <v>-6823.2699999999604</v>
      </c>
      <c r="Y86" s="4"/>
      <c r="Z86" s="12">
        <f>IF(T86=0,0,X86/T86)</f>
        <v>-1.6138380510073175E-2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0">
        <f>+D84-D86</f>
        <v>-61962.38</v>
      </c>
      <c r="E88" s="14"/>
      <c r="F88" s="36">
        <f>IF(D$12=0,0,D88/D$12)</f>
        <v>-14.24848345482558</v>
      </c>
      <c r="G88" s="14"/>
      <c r="H88" s="30">
        <f>+H84-H86</f>
        <v>130650.28999999994</v>
      </c>
      <c r="I88" s="14"/>
      <c r="J88" s="36">
        <f>IF(H$12=0,0,H88/H$12)</f>
        <v>0.28225634072933309</v>
      </c>
      <c r="K88" s="15"/>
      <c r="L88" s="30">
        <f>D88-H88</f>
        <v>-192612.66999999993</v>
      </c>
      <c r="M88" s="15"/>
      <c r="N88" s="36">
        <f>IF(H88=0,0,L88/H88)</f>
        <v>-1.4742613277016072</v>
      </c>
      <c r="O88" s="29"/>
      <c r="P88" s="30">
        <f>+P84-P86</f>
        <v>762938.40000000026</v>
      </c>
      <c r="Q88" s="14"/>
      <c r="R88" s="36">
        <f>IF(P$12=0,0,P88/P$12)</f>
        <v>0.20824884937519994</v>
      </c>
      <c r="S88" s="14"/>
      <c r="T88" s="30">
        <f>+T84-T86</f>
        <v>1071124.92</v>
      </c>
      <c r="U88" s="14"/>
      <c r="V88" s="36">
        <f>IF(T$12=0,0,T88/T$12)</f>
        <v>0.26337087013237426</v>
      </c>
      <c r="W88" s="15"/>
      <c r="X88" s="30">
        <f>P88-T88</f>
        <v>-308186.51999999967</v>
      </c>
      <c r="Y88" s="15"/>
      <c r="Z88" s="36">
        <f>IF(T88=0,0,X88/T88)</f>
        <v>-0.2877222948001244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1">
        <f>SUM(D88:D90)</f>
        <v>-61962.38</v>
      </c>
      <c r="E91" s="14"/>
      <c r="F91" s="32">
        <f>IF(D$12=0,0,D91/D$12)</f>
        <v>-14.24848345482558</v>
      </c>
      <c r="G91" s="14"/>
      <c r="H91" s="31">
        <f>SUM(H88:H90)</f>
        <v>130650.28999999994</v>
      </c>
      <c r="I91" s="14"/>
      <c r="J91" s="32">
        <f>IF(H$12=0,0,H91/H$12)</f>
        <v>0.28225634072933309</v>
      </c>
      <c r="K91" s="15"/>
      <c r="L91" s="31">
        <f>+D91-H91</f>
        <v>-192612.66999999993</v>
      </c>
      <c r="M91" s="15"/>
      <c r="N91" s="32">
        <f>IF(H91=0,0,L91/H91)</f>
        <v>-1.4742613277016072</v>
      </c>
      <c r="O91" s="29"/>
      <c r="P91" s="31">
        <f>SUM(P88:P90)</f>
        <v>762938.40000000026</v>
      </c>
      <c r="Q91" s="14"/>
      <c r="R91" s="32">
        <f>IF(P$12=0,0,P91/P$12)</f>
        <v>0.20824884937519994</v>
      </c>
      <c r="S91" s="14"/>
      <c r="T91" s="31">
        <f>SUM(T88:T90)</f>
        <v>1071124.92</v>
      </c>
      <c r="U91" s="14"/>
      <c r="V91" s="32">
        <f>IF(T$12=0,0,T91/T$12)</f>
        <v>0.26337087013237426</v>
      </c>
      <c r="W91" s="15"/>
      <c r="X91" s="31">
        <f>+P91-T91</f>
        <v>-308186.51999999967</v>
      </c>
      <c r="Y91" s="15"/>
      <c r="Z91" s="32">
        <f>IF(T91=0,0,X91/T91)</f>
        <v>-0.2877222948001244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4">
        <v>43965.47147384259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9" t="s">
        <v>313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1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","435", " - ", "Ground Floor Coffee House")</f>
        <v>Department 435 - Ground Floor Coffee House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1194.25</v>
      </c>
      <c r="I12" s="4"/>
      <c r="J12" s="12"/>
      <c r="K12" s="4"/>
      <c r="L12" s="4">
        <f t="shared" ref="L12:L15" si="0">+D12-H12</f>
        <v>-1194.25</v>
      </c>
      <c r="M12" s="4"/>
      <c r="N12" s="12">
        <f t="shared" ref="N12:N15" si="1">IF(H12=0,0,L12/H12)</f>
        <v>-1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9782.9600000000009</v>
      </c>
      <c r="U12" s="4"/>
      <c r="V12" s="12"/>
      <c r="W12" s="4"/>
      <c r="X12" s="4">
        <f t="shared" ref="X12:X15" si="2">+P12-T12</f>
        <v>-4603.9400000000005</v>
      </c>
      <c r="Y12" s="4"/>
      <c r="Z12" s="12">
        <f t="shared" ref="Z12:Z15" si="3">IF(T12=0,0,X12/T12)</f>
        <v>-0.47060807771880903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>--185.96</f>
        <v>185.96</v>
      </c>
      <c r="I13" s="2"/>
      <c r="J13" s="19"/>
      <c r="K13" s="2"/>
      <c r="L13" s="2">
        <f t="shared" si="0"/>
        <v>-185.96</v>
      </c>
      <c r="M13" s="2"/>
      <c r="N13" s="19">
        <f t="shared" si="1"/>
        <v>-1</v>
      </c>
      <c r="O13" s="11"/>
      <c r="P13" s="2">
        <f>--973.49</f>
        <v>973.49</v>
      </c>
      <c r="Q13" s="2"/>
      <c r="R13" s="19"/>
      <c r="S13" s="2"/>
      <c r="T13" s="2">
        <f>--1698.69</f>
        <v>1698.69</v>
      </c>
      <c r="U13" s="2"/>
      <c r="V13" s="19"/>
      <c r="W13" s="2"/>
      <c r="X13" s="2">
        <f t="shared" si="2"/>
        <v>-725.2</v>
      </c>
      <c r="Y13" s="2"/>
      <c r="Z13" s="19">
        <f t="shared" si="3"/>
        <v>-0.42691721267565008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--471.63</f>
        <v>471.63</v>
      </c>
      <c r="Q14" s="2"/>
      <c r="R14" s="19"/>
      <c r="S14" s="2"/>
      <c r="T14" s="2">
        <f>--252.75</f>
        <v>252.75</v>
      </c>
      <c r="U14" s="2"/>
      <c r="V14" s="19"/>
      <c r="W14" s="2"/>
      <c r="X14" s="2">
        <f t="shared" si="2"/>
        <v>218.88</v>
      </c>
      <c r="Y14" s="2"/>
      <c r="Z14" s="19">
        <f t="shared" si="3"/>
        <v>0.86599406528189904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>--1008.29</f>
        <v>1008.29</v>
      </c>
      <c r="I15" s="2"/>
      <c r="J15" s="19"/>
      <c r="K15" s="2"/>
      <c r="L15" s="2">
        <f t="shared" si="0"/>
        <v>-1008.29</v>
      </c>
      <c r="M15" s="2"/>
      <c r="N15" s="19">
        <f t="shared" si="1"/>
        <v>-1</v>
      </c>
      <c r="O15" s="11"/>
      <c r="P15" s="2">
        <f>--3733.9</f>
        <v>3733.9</v>
      </c>
      <c r="Q15" s="2"/>
      <c r="R15" s="19"/>
      <c r="S15" s="2"/>
      <c r="T15" s="2">
        <f>--7831.52</f>
        <v>7831.52</v>
      </c>
      <c r="U15" s="2"/>
      <c r="V15" s="19"/>
      <c r="W15" s="2"/>
      <c r="X15" s="2">
        <f t="shared" si="2"/>
        <v>-4097.6200000000008</v>
      </c>
      <c r="Y15" s="2"/>
      <c r="Z15" s="19">
        <f t="shared" si="3"/>
        <v>-0.52322154575357027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4512</v>
      </c>
      <c r="E17" s="4"/>
      <c r="F17" s="12">
        <f t="shared" ref="F17:F19" si="5">IF(D$12=0,0,D17/D$12)</f>
        <v>0</v>
      </c>
      <c r="G17" s="4"/>
      <c r="H17" s="4">
        <f>SUM(OSRRefH16x_0)</f>
        <v>521.72</v>
      </c>
      <c r="I17" s="4"/>
      <c r="J17" s="12">
        <f t="shared" ref="J17:J19" si="6">IF(H$12=0,0,H17/H$12)</f>
        <v>0.43685995394599125</v>
      </c>
      <c r="K17" s="4"/>
      <c r="L17" s="4">
        <f t="shared" ref="L17:L19" si="7">+D17-H17</f>
        <v>3990.2799999999997</v>
      </c>
      <c r="M17" s="4"/>
      <c r="N17" s="12">
        <f t="shared" ref="N17:N19" si="8">IF(H17=0,0,L17/H17)</f>
        <v>7.6483171049605145</v>
      </c>
      <c r="O17" s="10"/>
      <c r="P17" s="4">
        <f>SUM(OSRRefP16x_0)</f>
        <v>6466.4699999999993</v>
      </c>
      <c r="Q17" s="4"/>
      <c r="R17" s="12">
        <f t="shared" ref="R17:R19" si="9">IF(P$12=0,0,P17/P$12)</f>
        <v>1.2485895014886983</v>
      </c>
      <c r="S17" s="4"/>
      <c r="T17" s="4">
        <f>SUM(OSRRefT16x_0)</f>
        <v>4879.8999999999996</v>
      </c>
      <c r="U17" s="4"/>
      <c r="V17" s="12">
        <f t="shared" ref="V17:V19" si="10">IF(T$12=0,0,T17/T$12)</f>
        <v>0.49881630917431935</v>
      </c>
      <c r="W17" s="4"/>
      <c r="X17" s="4">
        <f t="shared" ref="X17:X19" si="11">+P17-T17</f>
        <v>1586.5699999999997</v>
      </c>
      <c r="Y17" s="4"/>
      <c r="Z17" s="12">
        <f t="shared" ref="Z17:Z19" si="12">IF(T17=0,0,X17/T17)</f>
        <v>0.32512346564478778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310.10000000000002</v>
      </c>
      <c r="I18" s="2"/>
      <c r="J18" s="19">
        <f t="shared" si="6"/>
        <v>0.25966087502616708</v>
      </c>
      <c r="K18" s="2"/>
      <c r="L18" s="2">
        <f t="shared" si="7"/>
        <v>-310.10000000000002</v>
      </c>
      <c r="M18" s="2"/>
      <c r="N18" s="19">
        <f t="shared" si="8"/>
        <v>-1</v>
      </c>
      <c r="O18" s="11"/>
      <c r="P18" s="2">
        <v>3948.48</v>
      </c>
      <c r="Q18" s="2"/>
      <c r="R18" s="19">
        <f t="shared" si="9"/>
        <v>0.762399063915567</v>
      </c>
      <c r="S18" s="2"/>
      <c r="T18" s="2">
        <v>4288.88</v>
      </c>
      <c r="U18" s="2"/>
      <c r="V18" s="19">
        <f t="shared" si="10"/>
        <v>0.43840310090197648</v>
      </c>
      <c r="W18" s="2"/>
      <c r="X18" s="2">
        <f t="shared" si="11"/>
        <v>-340.40000000000009</v>
      </c>
      <c r="Y18" s="2"/>
      <c r="Z18" s="19">
        <f t="shared" si="12"/>
        <v>-7.9368040141015853E-2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4512</v>
      </c>
      <c r="E19" s="2"/>
      <c r="F19" s="19">
        <f t="shared" si="5"/>
        <v>0</v>
      </c>
      <c r="G19" s="2"/>
      <c r="H19" s="2">
        <v>211.62</v>
      </c>
      <c r="I19" s="2"/>
      <c r="J19" s="19">
        <f t="shared" si="6"/>
        <v>0.17719907891982417</v>
      </c>
      <c r="K19" s="2"/>
      <c r="L19" s="2">
        <f t="shared" si="7"/>
        <v>4300.38</v>
      </c>
      <c r="M19" s="2"/>
      <c r="N19" s="19">
        <f t="shared" si="8"/>
        <v>20.321236178055003</v>
      </c>
      <c r="O19" s="11"/>
      <c r="P19" s="2">
        <v>2517.9899999999998</v>
      </c>
      <c r="Q19" s="2"/>
      <c r="R19" s="19">
        <f t="shared" si="9"/>
        <v>0.48619043757313152</v>
      </c>
      <c r="S19" s="2"/>
      <c r="T19" s="2">
        <v>591.02</v>
      </c>
      <c r="U19" s="2"/>
      <c r="V19" s="19">
        <f t="shared" si="10"/>
        <v>6.0413208272342922E-2</v>
      </c>
      <c r="W19" s="2"/>
      <c r="X19" s="2">
        <f t="shared" si="11"/>
        <v>1926.9699999999998</v>
      </c>
      <c r="Y19" s="2"/>
      <c r="Z19" s="19">
        <f t="shared" si="12"/>
        <v>3.2604141991810764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-4512</v>
      </c>
      <c r="E21" s="14"/>
      <c r="F21" s="20">
        <f>IF(D$12=0,0,D21/D$12)</f>
        <v>0</v>
      </c>
      <c r="G21" s="14"/>
      <c r="H21" s="21">
        <f>H12-H17</f>
        <v>672.53</v>
      </c>
      <c r="I21" s="14"/>
      <c r="J21" s="20">
        <f>IF(H$12=0,0,H21/H$12)</f>
        <v>0.5631400460540088</v>
      </c>
      <c r="K21" s="15"/>
      <c r="L21" s="21">
        <f>+D21-H21</f>
        <v>-5184.53</v>
      </c>
      <c r="M21" s="15"/>
      <c r="N21" s="20">
        <f>IF(H21=0,0,L21/H21)</f>
        <v>-7.7089943943021124</v>
      </c>
      <c r="O21" s="29"/>
      <c r="P21" s="21">
        <f>P12-P17</f>
        <v>-1287.4499999999989</v>
      </c>
      <c r="Q21" s="14"/>
      <c r="R21" s="20">
        <f>IF(P$12=0,0,P21/P$12)</f>
        <v>-0.24858950148869841</v>
      </c>
      <c r="S21" s="14"/>
      <c r="T21" s="21">
        <f>T12-T17</f>
        <v>4903.0600000000013</v>
      </c>
      <c r="U21" s="14"/>
      <c r="V21" s="20">
        <f>IF(T$12=0,0,T21/T$12)</f>
        <v>0.50118369082568071</v>
      </c>
      <c r="W21" s="15"/>
      <c r="X21" s="21">
        <f>+P21-T21</f>
        <v>-6190.51</v>
      </c>
      <c r="Y21" s="15"/>
      <c r="Z21" s="20">
        <f>IF(T21=0,0,X21/T21)</f>
        <v>-1.2625809188547557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SUM(OSRRefD22x_0)</f>
        <v>75.5</v>
      </c>
      <c r="E23" s="22"/>
      <c r="F23" s="35">
        <f t="shared" ref="F23:F27" si="13">IF(D$12=0,0,D23/D$12)</f>
        <v>0</v>
      </c>
      <c r="G23" s="22"/>
      <c r="H23" s="22">
        <f>SUM(OSRRefH22x_0)</f>
        <v>2716.72</v>
      </c>
      <c r="I23" s="22"/>
      <c r="J23" s="35">
        <f t="shared" ref="J23:J27" si="14">IF(H$12=0,0,H23/H$12)</f>
        <v>2.2748335775591375</v>
      </c>
      <c r="K23" s="4"/>
      <c r="L23" s="22">
        <f t="shared" ref="L23:L27" si="15">+D23-H23</f>
        <v>-2641.22</v>
      </c>
      <c r="M23" s="4"/>
      <c r="N23" s="35">
        <f t="shared" ref="N23:N27" si="16">IF(H23=0,0,L23/H23)</f>
        <v>-0.9722091345445979</v>
      </c>
      <c r="O23" s="10"/>
      <c r="P23" s="22">
        <f>SUM(OSRRefP22x_0)</f>
        <v>15813.719999999998</v>
      </c>
      <c r="Q23" s="22"/>
      <c r="R23" s="35">
        <f t="shared" ref="R23:R27" si="17">IF(P$12=0,0,P23/P$12)</f>
        <v>3.0534193727770882</v>
      </c>
      <c r="S23" s="22"/>
      <c r="T23" s="22">
        <f>SUM(OSRRefT22x_0)</f>
        <v>20137.8</v>
      </c>
      <c r="U23" s="22"/>
      <c r="V23" s="35">
        <f t="shared" ref="V23:V27" si="18">IF(T$12=0,0,T23/T$12)</f>
        <v>2.058456745197772</v>
      </c>
      <c r="W23" s="4"/>
      <c r="X23" s="22">
        <f t="shared" ref="X23:X27" si="19">+P23-T23</f>
        <v>-4324.0800000000017</v>
      </c>
      <c r="Y23" s="4"/>
      <c r="Z23" s="35">
        <f t="shared" ref="Z23:Z27" si="20">IF(T23=0,0,X23/T23)</f>
        <v>-0.21472454786520881</v>
      </c>
    </row>
    <row r="24" spans="1:26" s="25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136</v>
      </c>
      <c r="I24" s="1"/>
      <c r="J24" s="5">
        <f t="shared" si="14"/>
        <v>0.11387900355871886</v>
      </c>
      <c r="K24" s="1"/>
      <c r="L24" s="1">
        <f t="shared" si="15"/>
        <v>-136</v>
      </c>
      <c r="M24" s="1"/>
      <c r="N24" s="5">
        <f t="shared" si="16"/>
        <v>-1</v>
      </c>
      <c r="O24" s="13"/>
      <c r="P24" s="1">
        <f>SUM(OSRRefP22_0x_0)</f>
        <v>858.58</v>
      </c>
      <c r="Q24" s="1"/>
      <c r="R24" s="5">
        <f t="shared" si="17"/>
        <v>0.16578039860823091</v>
      </c>
      <c r="S24" s="1"/>
      <c r="T24" s="1">
        <f>SUM(OSRRefT22_0x_0)</f>
        <v>1118.3699999999999</v>
      </c>
      <c r="U24" s="1"/>
      <c r="V24" s="5">
        <f t="shared" si="18"/>
        <v>0.11431816137447151</v>
      </c>
      <c r="W24" s="1"/>
      <c r="X24" s="1">
        <f t="shared" si="19"/>
        <v>-259.78999999999985</v>
      </c>
      <c r="Y24" s="1"/>
      <c r="Z24" s="5">
        <f t="shared" si="20"/>
        <v>-0.23229342704114012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3"/>
        <v>0</v>
      </c>
      <c r="G25" s="2"/>
      <c r="H25" s="6">
        <v>111.98</v>
      </c>
      <c r="I25" s="2"/>
      <c r="J25" s="7">
        <f t="shared" si="14"/>
        <v>9.3765961900774547E-2</v>
      </c>
      <c r="K25" s="2"/>
      <c r="L25" s="6">
        <f t="shared" si="15"/>
        <v>-111.98</v>
      </c>
      <c r="M25" s="2"/>
      <c r="N25" s="7">
        <f t="shared" si="16"/>
        <v>-1</v>
      </c>
      <c r="O25" s="11"/>
      <c r="P25" s="6">
        <v>602.38</v>
      </c>
      <c r="Q25" s="2"/>
      <c r="R25" s="7">
        <f t="shared" si="17"/>
        <v>0.11631158018312343</v>
      </c>
      <c r="S25" s="2"/>
      <c r="T25" s="6">
        <v>927.91</v>
      </c>
      <c r="U25" s="2"/>
      <c r="V25" s="7">
        <f t="shared" si="18"/>
        <v>9.4849616067120779E-2</v>
      </c>
      <c r="W25" s="2"/>
      <c r="X25" s="6">
        <f t="shared" si="19"/>
        <v>-325.52999999999997</v>
      </c>
      <c r="Y25" s="2"/>
      <c r="Z25" s="7">
        <f t="shared" si="20"/>
        <v>-0.35082066148656654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3"/>
        <v>0</v>
      </c>
      <c r="G26" s="2"/>
      <c r="H26" s="6">
        <v>19.71</v>
      </c>
      <c r="I26" s="2"/>
      <c r="J26" s="7">
        <f t="shared" si="14"/>
        <v>1.6504082059870213E-2</v>
      </c>
      <c r="K26" s="2"/>
      <c r="L26" s="6">
        <f t="shared" si="15"/>
        <v>-19.71</v>
      </c>
      <c r="M26" s="2"/>
      <c r="N26" s="7">
        <f t="shared" si="16"/>
        <v>-1</v>
      </c>
      <c r="O26" s="11"/>
      <c r="P26" s="6">
        <v>221.3</v>
      </c>
      <c r="Q26" s="2"/>
      <c r="R26" s="7">
        <f t="shared" si="17"/>
        <v>4.2730091793428099E-2</v>
      </c>
      <c r="S26" s="2"/>
      <c r="T26" s="6">
        <v>149.34</v>
      </c>
      <c r="U26" s="2"/>
      <c r="V26" s="7">
        <f t="shared" si="18"/>
        <v>1.5265318472118867E-2</v>
      </c>
      <c r="W26" s="2"/>
      <c r="X26" s="6">
        <f t="shared" si="19"/>
        <v>71.960000000000008</v>
      </c>
      <c r="Y26" s="2"/>
      <c r="Z26" s="7">
        <f t="shared" si="20"/>
        <v>0.48185348868354094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4.3099999999999996</v>
      </c>
      <c r="I27" s="2"/>
      <c r="J27" s="7">
        <f t="shared" si="14"/>
        <v>3.6089595980741047E-3</v>
      </c>
      <c r="K27" s="2"/>
      <c r="L27" s="6">
        <f t="shared" si="15"/>
        <v>-4.3099999999999996</v>
      </c>
      <c r="M27" s="2"/>
      <c r="N27" s="7">
        <f t="shared" si="16"/>
        <v>-1</v>
      </c>
      <c r="O27" s="11"/>
      <c r="P27" s="6">
        <v>34.9</v>
      </c>
      <c r="Q27" s="2"/>
      <c r="R27" s="7">
        <f t="shared" si="17"/>
        <v>6.7387266316793516E-3</v>
      </c>
      <c r="S27" s="2"/>
      <c r="T27" s="6">
        <v>41.12</v>
      </c>
      <c r="U27" s="2"/>
      <c r="V27" s="7">
        <f t="shared" si="18"/>
        <v>4.2032268352318715E-3</v>
      </c>
      <c r="W27" s="2"/>
      <c r="X27" s="6">
        <f t="shared" si="19"/>
        <v>-6.2199999999999989</v>
      </c>
      <c r="Y27" s="2"/>
      <c r="Z27" s="7">
        <f t="shared" si="20"/>
        <v>-0.15126459143968871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1" si="21">IF(D$12=0,0,D28/D$12)</f>
        <v>0</v>
      </c>
      <c r="G28" s="1"/>
      <c r="H28" s="1">
        <f>SUM(OSRRefH22_1x_0)</f>
        <v>2240</v>
      </c>
      <c r="I28" s="1"/>
      <c r="J28" s="5">
        <f t="shared" ref="J28:J31" si="22">IF(H$12=0,0,H28/H$12)</f>
        <v>1.8756541762612517</v>
      </c>
      <c r="K28" s="1"/>
      <c r="L28" s="1">
        <f t="shared" ref="L28:L31" si="23">+D28-H28</f>
        <v>-2240</v>
      </c>
      <c r="M28" s="1"/>
      <c r="N28" s="5">
        <f t="shared" ref="N28:N31" si="24">IF(H28=0,0,L28/H28)</f>
        <v>-1</v>
      </c>
      <c r="O28" s="13"/>
      <c r="P28" s="1">
        <f>SUM(OSRRefP22_1x_0)</f>
        <v>10914.98</v>
      </c>
      <c r="Q28" s="1"/>
      <c r="R28" s="5">
        <f t="shared" ref="R28:R31" si="25">IF(P$12=0,0,P28/P$12)</f>
        <v>2.1075377194913321</v>
      </c>
      <c r="S28" s="1"/>
      <c r="T28" s="1">
        <f>SUM(OSRRefT22_1x_0)</f>
        <v>15890.21</v>
      </c>
      <c r="U28" s="1"/>
      <c r="V28" s="5">
        <f t="shared" ref="V28:V31" si="26">IF(T$12=0,0,T28/T$12)</f>
        <v>1.6242742482847725</v>
      </c>
      <c r="W28" s="1"/>
      <c r="X28" s="1">
        <f t="shared" ref="X28:X31" si="27">+P28-T28</f>
        <v>-4975.2299999999996</v>
      </c>
      <c r="Y28" s="1"/>
      <c r="Z28" s="5">
        <f t="shared" ref="Z28:Z31" si="28">IF(T28=0,0,X28/T28)</f>
        <v>-0.3131003303291775</v>
      </c>
    </row>
    <row r="29" spans="1:26" s="24" customFormat="1" hidden="1" outlineLevel="2" x14ac:dyDescent="0.25">
      <c r="A29" s="27"/>
      <c r="B29" s="11" t="str">
        <f>CONCATENATE("          ", "6005", " - ", "TEMPORARY WAGES-HOURLY")</f>
        <v xml:space="preserve">          6005 - TEMPORARY WAGES-HOURLY</v>
      </c>
      <c r="C29" s="11"/>
      <c r="D29" s="6"/>
      <c r="E29" s="2"/>
      <c r="F29" s="7">
        <f t="shared" si="21"/>
        <v>0</v>
      </c>
      <c r="G29" s="2"/>
      <c r="H29" s="6">
        <v>1176</v>
      </c>
      <c r="I29" s="2"/>
      <c r="J29" s="7">
        <f t="shared" si="22"/>
        <v>0.98471844253715723</v>
      </c>
      <c r="K29" s="2"/>
      <c r="L29" s="6">
        <f t="shared" si="23"/>
        <v>-1176</v>
      </c>
      <c r="M29" s="2"/>
      <c r="N29" s="7">
        <f t="shared" si="24"/>
        <v>-1</v>
      </c>
      <c r="O29" s="11"/>
      <c r="P29" s="6">
        <v>7765.17</v>
      </c>
      <c r="Q29" s="2"/>
      <c r="R29" s="7">
        <f t="shared" si="25"/>
        <v>1.4993512286108182</v>
      </c>
      <c r="S29" s="2"/>
      <c r="T29" s="6">
        <v>11457.56</v>
      </c>
      <c r="U29" s="2"/>
      <c r="V29" s="7">
        <f t="shared" si="26"/>
        <v>1.1711751862422006</v>
      </c>
      <c r="W29" s="2"/>
      <c r="X29" s="6">
        <f t="shared" si="27"/>
        <v>-3692.3899999999994</v>
      </c>
      <c r="Y29" s="2"/>
      <c r="Z29" s="7">
        <f t="shared" si="28"/>
        <v>-0.32226669552679627</v>
      </c>
    </row>
    <row r="30" spans="1:26" s="24" customFormat="1" hidden="1" outlineLevel="2" x14ac:dyDescent="0.25">
      <c r="A30" s="27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21"/>
        <v>0</v>
      </c>
      <c r="G30" s="2"/>
      <c r="H30" s="6">
        <v>288</v>
      </c>
      <c r="I30" s="2"/>
      <c r="J30" s="7">
        <f t="shared" si="22"/>
        <v>0.24115553694787523</v>
      </c>
      <c r="K30" s="2"/>
      <c r="L30" s="6">
        <f t="shared" si="23"/>
        <v>-288</v>
      </c>
      <c r="M30" s="2"/>
      <c r="N30" s="7">
        <f t="shared" si="24"/>
        <v>-1</v>
      </c>
      <c r="O30" s="11"/>
      <c r="P30" s="6">
        <v>73.31</v>
      </c>
      <c r="Q30" s="2"/>
      <c r="R30" s="7">
        <f t="shared" si="25"/>
        <v>1.4155187660986054E-2</v>
      </c>
      <c r="S30" s="2"/>
      <c r="T30" s="6">
        <v>480</v>
      </c>
      <c r="U30" s="2"/>
      <c r="V30" s="7">
        <f t="shared" si="26"/>
        <v>4.9064904691422634E-2</v>
      </c>
      <c r="W30" s="2"/>
      <c r="X30" s="6">
        <f t="shared" si="27"/>
        <v>-406.69</v>
      </c>
      <c r="Y30" s="2"/>
      <c r="Z30" s="7">
        <f t="shared" si="28"/>
        <v>-0.84727083333333331</v>
      </c>
    </row>
    <row r="31" spans="1:26" s="24" customFormat="1" hidden="1" outlineLevel="2" x14ac:dyDescent="0.25">
      <c r="A31" s="27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21"/>
        <v>0</v>
      </c>
      <c r="G31" s="2"/>
      <c r="H31" s="6">
        <v>776</v>
      </c>
      <c r="I31" s="2"/>
      <c r="J31" s="7">
        <f t="shared" si="22"/>
        <v>0.64978019677621934</v>
      </c>
      <c r="K31" s="2"/>
      <c r="L31" s="6">
        <f t="shared" si="23"/>
        <v>-776</v>
      </c>
      <c r="M31" s="2"/>
      <c r="N31" s="7">
        <f t="shared" si="24"/>
        <v>-1</v>
      </c>
      <c r="O31" s="11"/>
      <c r="P31" s="6">
        <v>3076.5</v>
      </c>
      <c r="Q31" s="2"/>
      <c r="R31" s="7">
        <f t="shared" si="25"/>
        <v>0.59403130321952802</v>
      </c>
      <c r="S31" s="2"/>
      <c r="T31" s="6">
        <v>3952.65</v>
      </c>
      <c r="U31" s="2"/>
      <c r="V31" s="7">
        <f t="shared" si="26"/>
        <v>0.40403415735114934</v>
      </c>
      <c r="W31" s="2"/>
      <c r="X31" s="6">
        <f t="shared" si="27"/>
        <v>-876.15000000000009</v>
      </c>
      <c r="Y31" s="2"/>
      <c r="Z31" s="7">
        <f t="shared" si="28"/>
        <v>-0.22166141702402187</v>
      </c>
    </row>
    <row r="32" spans="1:26" s="25" customFormat="1" outlineLevel="1" collapsed="1" x14ac:dyDescent="0.25">
      <c r="A32" s="26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8" si="29">IF(D$12=0,0,D32/D$12)</f>
        <v>0</v>
      </c>
      <c r="G32" s="1"/>
      <c r="H32" s="1">
        <f>SUM(OSRRefH22_2x_0)</f>
        <v>0</v>
      </c>
      <c r="I32" s="1"/>
      <c r="J32" s="5">
        <f t="shared" ref="J32:J48" si="30">IF(H$12=0,0,H32/H$12)</f>
        <v>0</v>
      </c>
      <c r="K32" s="1"/>
      <c r="L32" s="1">
        <f t="shared" ref="L32:L48" si="31">+D32-H32</f>
        <v>0</v>
      </c>
      <c r="M32" s="1"/>
      <c r="N32" s="5">
        <f t="shared" ref="N32:N48" si="32">IF(H32=0,0,L32/H32)</f>
        <v>0</v>
      </c>
      <c r="O32" s="13"/>
      <c r="P32" s="1">
        <f>SUM(OSRRefP22_2x_0)</f>
        <v>0</v>
      </c>
      <c r="Q32" s="1"/>
      <c r="R32" s="5">
        <f t="shared" ref="R32:R48" si="33">IF(P$12=0,0,P32/P$12)</f>
        <v>0</v>
      </c>
      <c r="S32" s="1"/>
      <c r="T32" s="1">
        <f>SUM(OSRRefT22_2x_0)</f>
        <v>12</v>
      </c>
      <c r="U32" s="1"/>
      <c r="V32" s="5">
        <f t="shared" ref="V32:V48" si="34">IF(T$12=0,0,T32/T$12)</f>
        <v>1.2266226172855659E-3</v>
      </c>
      <c r="W32" s="1"/>
      <c r="X32" s="1">
        <f t="shared" ref="X32:X48" si="35">+P32-T32</f>
        <v>-12</v>
      </c>
      <c r="Y32" s="1"/>
      <c r="Z32" s="5">
        <f t="shared" ref="Z32:Z48" si="36">IF(T32=0,0,X32/T32)</f>
        <v>-1</v>
      </c>
    </row>
    <row r="33" spans="1:26" s="24" customFormat="1" hidden="1" outlineLevel="2" x14ac:dyDescent="0.25">
      <c r="A33" s="27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29"/>
        <v>0</v>
      </c>
      <c r="G33" s="2"/>
      <c r="H33" s="6"/>
      <c r="I33" s="2"/>
      <c r="J33" s="7">
        <f t="shared" si="30"/>
        <v>0</v>
      </c>
      <c r="K33" s="2"/>
      <c r="L33" s="6">
        <f t="shared" si="31"/>
        <v>0</v>
      </c>
      <c r="M33" s="2"/>
      <c r="N33" s="7">
        <f t="shared" si="32"/>
        <v>0</v>
      </c>
      <c r="O33" s="11"/>
      <c r="P33" s="6"/>
      <c r="Q33" s="2"/>
      <c r="R33" s="7">
        <f t="shared" si="33"/>
        <v>0</v>
      </c>
      <c r="S33" s="2"/>
      <c r="T33" s="6">
        <v>12</v>
      </c>
      <c r="U33" s="2"/>
      <c r="V33" s="7">
        <f t="shared" si="34"/>
        <v>1.2266226172855659E-3</v>
      </c>
      <c r="W33" s="2"/>
      <c r="X33" s="6">
        <f t="shared" si="35"/>
        <v>-12</v>
      </c>
      <c r="Y33" s="2"/>
      <c r="Z33" s="7">
        <f t="shared" si="36"/>
        <v>-1</v>
      </c>
    </row>
    <row r="34" spans="1:26" s="25" customFormat="1" outlineLevel="1" collapsed="1" x14ac:dyDescent="0.25">
      <c r="A34" s="26"/>
      <c r="B34" s="13" t="str">
        <f>CONCATENATE("     ","Bad Debts/Over/Short                              ")</f>
        <v xml:space="preserve">     Bad Debts/Over/Short                              </v>
      </c>
      <c r="C34" s="13"/>
      <c r="D34" s="1">
        <f>SUM(OSRRefD22_3x_0)</f>
        <v>0</v>
      </c>
      <c r="E34" s="1"/>
      <c r="F34" s="5">
        <f t="shared" si="29"/>
        <v>0</v>
      </c>
      <c r="G34" s="1"/>
      <c r="H34" s="1">
        <f>SUM(OSRRefH22_3x_0)</f>
        <v>-0.72</v>
      </c>
      <c r="I34" s="1"/>
      <c r="J34" s="5">
        <f t="shared" si="30"/>
        <v>-6.028888423696881E-4</v>
      </c>
      <c r="K34" s="1"/>
      <c r="L34" s="1">
        <f t="shared" si="31"/>
        <v>0.72</v>
      </c>
      <c r="M34" s="1"/>
      <c r="N34" s="5">
        <f t="shared" si="32"/>
        <v>-1</v>
      </c>
      <c r="O34" s="13"/>
      <c r="P34" s="1">
        <f>SUM(OSRRefP22_3x_0)</f>
        <v>-1.41</v>
      </c>
      <c r="Q34" s="1"/>
      <c r="R34" s="5">
        <f t="shared" si="33"/>
        <v>-2.7225227938876463E-4</v>
      </c>
      <c r="S34" s="1"/>
      <c r="T34" s="1">
        <f>SUM(OSRRefT22_3x_0)</f>
        <v>-3.81</v>
      </c>
      <c r="U34" s="1"/>
      <c r="V34" s="5">
        <f t="shared" si="34"/>
        <v>-3.8945268098816715E-4</v>
      </c>
      <c r="W34" s="1"/>
      <c r="X34" s="1">
        <f t="shared" si="35"/>
        <v>2.4000000000000004</v>
      </c>
      <c r="Y34" s="1"/>
      <c r="Z34" s="5">
        <f t="shared" si="36"/>
        <v>-0.62992125984251979</v>
      </c>
    </row>
    <row r="35" spans="1:26" s="24" customFormat="1" hidden="1" outlineLevel="2" x14ac:dyDescent="0.25">
      <c r="A35" s="27"/>
      <c r="B35" s="11" t="str">
        <f>CONCATENATE("          ", "6272", " - ", "CASH (OVER/SHORT)")</f>
        <v xml:space="preserve">          6272 - CASH (OVER/SHORT)</v>
      </c>
      <c r="C35" s="11"/>
      <c r="D35" s="6"/>
      <c r="E35" s="2"/>
      <c r="F35" s="7">
        <f t="shared" si="29"/>
        <v>0</v>
      </c>
      <c r="G35" s="2"/>
      <c r="H35" s="6">
        <v>-0.72</v>
      </c>
      <c r="I35" s="2"/>
      <c r="J35" s="7">
        <f t="shared" si="30"/>
        <v>-6.028888423696881E-4</v>
      </c>
      <c r="K35" s="2"/>
      <c r="L35" s="6">
        <f t="shared" si="31"/>
        <v>0.72</v>
      </c>
      <c r="M35" s="2"/>
      <c r="N35" s="7">
        <f t="shared" si="32"/>
        <v>-1</v>
      </c>
      <c r="O35" s="11"/>
      <c r="P35" s="6">
        <v>-1.41</v>
      </c>
      <c r="Q35" s="2"/>
      <c r="R35" s="7">
        <f t="shared" si="33"/>
        <v>-2.7225227938876463E-4</v>
      </c>
      <c r="S35" s="2"/>
      <c r="T35" s="6">
        <v>-3.81</v>
      </c>
      <c r="U35" s="2"/>
      <c r="V35" s="7">
        <f t="shared" si="34"/>
        <v>-3.8945268098816715E-4</v>
      </c>
      <c r="W35" s="2"/>
      <c r="X35" s="6">
        <f t="shared" si="35"/>
        <v>2.4000000000000004</v>
      </c>
      <c r="Y35" s="2"/>
      <c r="Z35" s="7">
        <f t="shared" si="36"/>
        <v>-0.62992125984251979</v>
      </c>
    </row>
    <row r="36" spans="1:26" s="25" customFormat="1" outlineLevel="1" collapsed="1" x14ac:dyDescent="0.25">
      <c r="A36" s="26"/>
      <c r="B36" s="13" t="str">
        <f>CONCATENATE("     ","Bank/card Fees                                    ")</f>
        <v xml:space="preserve">     Bank/card Fees                                    </v>
      </c>
      <c r="C36" s="13"/>
      <c r="D36" s="1">
        <f>SUM(OSRRefD22_4x_0)</f>
        <v>0</v>
      </c>
      <c r="E36" s="1"/>
      <c r="F36" s="5">
        <f t="shared" si="29"/>
        <v>0</v>
      </c>
      <c r="G36" s="1"/>
      <c r="H36" s="1">
        <f>SUM(OSRRefH22_4x_0)</f>
        <v>16.43</v>
      </c>
      <c r="I36" s="1"/>
      <c r="J36" s="5">
        <f t="shared" si="30"/>
        <v>1.3757588444630521E-2</v>
      </c>
      <c r="K36" s="1"/>
      <c r="L36" s="1">
        <f t="shared" si="31"/>
        <v>-16.43</v>
      </c>
      <c r="M36" s="1"/>
      <c r="N36" s="5">
        <f t="shared" si="32"/>
        <v>-1</v>
      </c>
      <c r="O36" s="13"/>
      <c r="P36" s="1">
        <f>SUM(OSRRefP22_4x_0)</f>
        <v>125.26</v>
      </c>
      <c r="Q36" s="1"/>
      <c r="R36" s="5">
        <f t="shared" si="33"/>
        <v>2.418604291931678E-2</v>
      </c>
      <c r="S36" s="1"/>
      <c r="T36" s="1">
        <f>SUM(OSRRefT22_4x_0)</f>
        <v>193.67</v>
      </c>
      <c r="U36" s="1"/>
      <c r="V36" s="5">
        <f t="shared" si="34"/>
        <v>1.9796666857474627E-2</v>
      </c>
      <c r="W36" s="1"/>
      <c r="X36" s="1">
        <f t="shared" si="35"/>
        <v>-68.409999999999982</v>
      </c>
      <c r="Y36" s="1"/>
      <c r="Z36" s="5">
        <f t="shared" si="36"/>
        <v>-0.35322972065885261</v>
      </c>
    </row>
    <row r="37" spans="1:26" s="24" customFormat="1" hidden="1" outlineLevel="2" x14ac:dyDescent="0.25">
      <c r="A37" s="27"/>
      <c r="B37" s="11" t="str">
        <f>CONCATENATE("          ", "6381", " - ", "BANK/CREDIT CARD FEES")</f>
        <v xml:space="preserve">          6381 - BANK/CREDIT CARD FEES</v>
      </c>
      <c r="C37" s="11"/>
      <c r="D37" s="6"/>
      <c r="E37" s="2"/>
      <c r="F37" s="7">
        <f t="shared" si="29"/>
        <v>0</v>
      </c>
      <c r="G37" s="2"/>
      <c r="H37" s="6">
        <v>16.43</v>
      </c>
      <c r="I37" s="2"/>
      <c r="J37" s="7">
        <f t="shared" si="30"/>
        <v>1.3757588444630521E-2</v>
      </c>
      <c r="K37" s="2"/>
      <c r="L37" s="6">
        <f t="shared" si="31"/>
        <v>-16.43</v>
      </c>
      <c r="M37" s="2"/>
      <c r="N37" s="7">
        <f t="shared" si="32"/>
        <v>-1</v>
      </c>
      <c r="O37" s="11"/>
      <c r="P37" s="6">
        <v>125.26</v>
      </c>
      <c r="Q37" s="2"/>
      <c r="R37" s="7">
        <f t="shared" si="33"/>
        <v>2.418604291931678E-2</v>
      </c>
      <c r="S37" s="2"/>
      <c r="T37" s="6">
        <v>193.67</v>
      </c>
      <c r="U37" s="2"/>
      <c r="V37" s="7">
        <f t="shared" si="34"/>
        <v>1.9796666857474627E-2</v>
      </c>
      <c r="W37" s="2"/>
      <c r="X37" s="6">
        <f t="shared" si="35"/>
        <v>-68.409999999999982</v>
      </c>
      <c r="Y37" s="2"/>
      <c r="Z37" s="7">
        <f t="shared" si="36"/>
        <v>-0.35322972065885261</v>
      </c>
    </row>
    <row r="38" spans="1:26" s="25" customFormat="1" outlineLevel="1" collapsed="1" x14ac:dyDescent="0.25">
      <c r="A38" s="26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SUM(OSRRefD22_5x_0)</f>
        <v>0</v>
      </c>
      <c r="E38" s="1"/>
      <c r="F38" s="5">
        <f t="shared" si="29"/>
        <v>0</v>
      </c>
      <c r="G38" s="1"/>
      <c r="H38" s="1">
        <f>SUM(OSRRefH22_5x_0)</f>
        <v>0</v>
      </c>
      <c r="I38" s="1"/>
      <c r="J38" s="5">
        <f t="shared" si="30"/>
        <v>0</v>
      </c>
      <c r="K38" s="1"/>
      <c r="L38" s="1">
        <f t="shared" si="31"/>
        <v>0</v>
      </c>
      <c r="M38" s="1"/>
      <c r="N38" s="5">
        <f t="shared" si="32"/>
        <v>0</v>
      </c>
      <c r="O38" s="13"/>
      <c r="P38" s="1">
        <f>SUM(OSRRefP22_5x_0)</f>
        <v>40.799999999999997</v>
      </c>
      <c r="Q38" s="1"/>
      <c r="R38" s="5">
        <f t="shared" si="33"/>
        <v>7.877938297206807E-3</v>
      </c>
      <c r="S38" s="1"/>
      <c r="T38" s="1">
        <f>SUM(OSRRefT22_5x_0)</f>
        <v>0</v>
      </c>
      <c r="U38" s="1"/>
      <c r="V38" s="5">
        <f t="shared" si="34"/>
        <v>0</v>
      </c>
      <c r="W38" s="1"/>
      <c r="X38" s="1">
        <f t="shared" si="35"/>
        <v>40.799999999999997</v>
      </c>
      <c r="Y38" s="1"/>
      <c r="Z38" s="5">
        <f t="shared" si="36"/>
        <v>0</v>
      </c>
    </row>
    <row r="39" spans="1:26" s="24" customFormat="1" hidden="1" outlineLevel="2" x14ac:dyDescent="0.25">
      <c r="A39" s="27"/>
      <c r="B39" s="11" t="str">
        <f>CONCATENATE("          ", "6277", " - ", "EMPLOYEE APPRECIATION")</f>
        <v xml:space="preserve">          6277 - EMPLOYEE APPRECIATION</v>
      </c>
      <c r="C39" s="11"/>
      <c r="D39" s="6"/>
      <c r="E39" s="2"/>
      <c r="F39" s="7">
        <f t="shared" si="29"/>
        <v>0</v>
      </c>
      <c r="G39" s="2"/>
      <c r="H39" s="6"/>
      <c r="I39" s="2"/>
      <c r="J39" s="7">
        <f t="shared" si="30"/>
        <v>0</v>
      </c>
      <c r="K39" s="2"/>
      <c r="L39" s="6">
        <f t="shared" si="31"/>
        <v>0</v>
      </c>
      <c r="M39" s="2"/>
      <c r="N39" s="7">
        <f t="shared" si="32"/>
        <v>0</v>
      </c>
      <c r="O39" s="11"/>
      <c r="P39" s="6">
        <v>40.799999999999997</v>
      </c>
      <c r="Q39" s="2"/>
      <c r="R39" s="7">
        <f t="shared" si="33"/>
        <v>7.877938297206807E-3</v>
      </c>
      <c r="S39" s="2"/>
      <c r="T39" s="6"/>
      <c r="U39" s="2"/>
      <c r="V39" s="7">
        <f t="shared" si="34"/>
        <v>0</v>
      </c>
      <c r="W39" s="2"/>
      <c r="X39" s="6">
        <f t="shared" si="35"/>
        <v>40.799999999999997</v>
      </c>
      <c r="Y39" s="2"/>
      <c r="Z39" s="7">
        <f t="shared" si="36"/>
        <v>0</v>
      </c>
    </row>
    <row r="40" spans="1:26" s="25" customFormat="1" outlineLevel="1" collapsed="1" x14ac:dyDescent="0.25">
      <c r="A40" s="26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SUM(OSRRefD22_6x_0)</f>
        <v>0</v>
      </c>
      <c r="E40" s="1"/>
      <c r="F40" s="5">
        <f t="shared" si="29"/>
        <v>0</v>
      </c>
      <c r="G40" s="1"/>
      <c r="H40" s="1">
        <f>SUM(OSRRefH22_6x_0)</f>
        <v>16.5</v>
      </c>
      <c r="I40" s="1"/>
      <c r="J40" s="5">
        <f t="shared" si="30"/>
        <v>1.3816202637638685E-2</v>
      </c>
      <c r="K40" s="1"/>
      <c r="L40" s="1">
        <f t="shared" si="31"/>
        <v>-16.5</v>
      </c>
      <c r="M40" s="1"/>
      <c r="N40" s="5">
        <f t="shared" si="32"/>
        <v>-1</v>
      </c>
      <c r="O40" s="13"/>
      <c r="P40" s="1">
        <f>SUM(OSRRefP22_6x_0)</f>
        <v>1154.05</v>
      </c>
      <c r="Q40" s="1"/>
      <c r="R40" s="5">
        <f t="shared" si="33"/>
        <v>0.22283173264439987</v>
      </c>
      <c r="S40" s="1"/>
      <c r="T40" s="1">
        <f>SUM(OSRRefT22_6x_0)</f>
        <v>1115.22</v>
      </c>
      <c r="U40" s="1"/>
      <c r="V40" s="5">
        <f t="shared" si="34"/>
        <v>0.11399617293743407</v>
      </c>
      <c r="W40" s="1"/>
      <c r="X40" s="1">
        <f t="shared" si="35"/>
        <v>38.829999999999927</v>
      </c>
      <c r="Y40" s="1"/>
      <c r="Z40" s="5">
        <f t="shared" si="36"/>
        <v>3.4818242140564129E-2</v>
      </c>
    </row>
    <row r="41" spans="1:26" s="24" customFormat="1" hidden="1" outlineLevel="2" x14ac:dyDescent="0.25">
      <c r="A41" s="27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29"/>
        <v>0</v>
      </c>
      <c r="G41" s="2"/>
      <c r="H41" s="6">
        <v>16.5</v>
      </c>
      <c r="I41" s="2"/>
      <c r="J41" s="7">
        <f t="shared" si="30"/>
        <v>1.3816202637638685E-2</v>
      </c>
      <c r="K41" s="2"/>
      <c r="L41" s="6">
        <f t="shared" si="31"/>
        <v>-16.5</v>
      </c>
      <c r="M41" s="2"/>
      <c r="N41" s="7">
        <f t="shared" si="32"/>
        <v>-1</v>
      </c>
      <c r="O41" s="11"/>
      <c r="P41" s="6">
        <v>1154.05</v>
      </c>
      <c r="Q41" s="2"/>
      <c r="R41" s="7">
        <f t="shared" si="33"/>
        <v>0.22283173264439987</v>
      </c>
      <c r="S41" s="2"/>
      <c r="T41" s="6">
        <v>1115.22</v>
      </c>
      <c r="U41" s="2"/>
      <c r="V41" s="7">
        <f t="shared" si="34"/>
        <v>0.11399617293743407</v>
      </c>
      <c r="W41" s="2"/>
      <c r="X41" s="6">
        <f t="shared" si="35"/>
        <v>38.829999999999927</v>
      </c>
      <c r="Y41" s="2"/>
      <c r="Z41" s="7">
        <f t="shared" si="36"/>
        <v>3.4818242140564129E-2</v>
      </c>
    </row>
    <row r="42" spans="1:26" s="25" customFormat="1" outlineLevel="1" collapsed="1" x14ac:dyDescent="0.25">
      <c r="A42" s="26"/>
      <c r="B42" s="13" t="str">
        <f>CONCATENATE("     ","R/H Commissions                                   ")</f>
        <v xml:space="preserve">     R/H Commissions                                   </v>
      </c>
      <c r="C42" s="13"/>
      <c r="D42" s="1">
        <f>SUM(OSRRefD22_7x_0)</f>
        <v>0</v>
      </c>
      <c r="E42" s="1"/>
      <c r="F42" s="5">
        <f t="shared" si="29"/>
        <v>0</v>
      </c>
      <c r="G42" s="1"/>
      <c r="H42" s="1">
        <f>SUM(OSRRefH22_7x_0)</f>
        <v>95.54</v>
      </c>
      <c r="I42" s="1"/>
      <c r="J42" s="5">
        <f t="shared" si="30"/>
        <v>0.08</v>
      </c>
      <c r="K42" s="1"/>
      <c r="L42" s="1">
        <f t="shared" si="31"/>
        <v>-95.54</v>
      </c>
      <c r="M42" s="1"/>
      <c r="N42" s="5">
        <f t="shared" si="32"/>
        <v>-1</v>
      </c>
      <c r="O42" s="13"/>
      <c r="P42" s="1">
        <f>SUM(OSRRefP22_7x_0)</f>
        <v>414.32</v>
      </c>
      <c r="Q42" s="1"/>
      <c r="R42" s="5">
        <f t="shared" si="33"/>
        <v>7.9999691061243244E-2</v>
      </c>
      <c r="S42" s="1"/>
      <c r="T42" s="1">
        <f>SUM(OSRRefT22_7x_0)</f>
        <v>732.56</v>
      </c>
      <c r="U42" s="1"/>
      <c r="V42" s="5">
        <f t="shared" si="34"/>
        <v>7.488122204322617E-2</v>
      </c>
      <c r="W42" s="1"/>
      <c r="X42" s="1">
        <f t="shared" si="35"/>
        <v>-318.23999999999995</v>
      </c>
      <c r="Y42" s="1"/>
      <c r="Z42" s="5">
        <f t="shared" si="36"/>
        <v>-0.43442175384951398</v>
      </c>
    </row>
    <row r="43" spans="1:26" s="24" customFormat="1" hidden="1" outlineLevel="2" x14ac:dyDescent="0.25">
      <c r="A43" s="27"/>
      <c r="B43" s="11" t="str">
        <f>CONCATENATE("          ", "6387", " - ", "COMMISSION DUE HOUSING")</f>
        <v xml:space="preserve">          6387 - COMMISSION DUE HOUSING</v>
      </c>
      <c r="C43" s="11"/>
      <c r="D43" s="6"/>
      <c r="E43" s="2"/>
      <c r="F43" s="7">
        <f t="shared" si="29"/>
        <v>0</v>
      </c>
      <c r="G43" s="2"/>
      <c r="H43" s="6">
        <v>95.54</v>
      </c>
      <c r="I43" s="2"/>
      <c r="J43" s="7">
        <f t="shared" si="30"/>
        <v>0.08</v>
      </c>
      <c r="K43" s="2"/>
      <c r="L43" s="6">
        <f t="shared" si="31"/>
        <v>-95.54</v>
      </c>
      <c r="M43" s="2"/>
      <c r="N43" s="7">
        <f t="shared" si="32"/>
        <v>-1</v>
      </c>
      <c r="O43" s="11"/>
      <c r="P43" s="6">
        <v>414.32</v>
      </c>
      <c r="Q43" s="2"/>
      <c r="R43" s="7">
        <f t="shared" si="33"/>
        <v>7.9999691061243244E-2</v>
      </c>
      <c r="S43" s="2"/>
      <c r="T43" s="6">
        <v>732.56</v>
      </c>
      <c r="U43" s="2"/>
      <c r="V43" s="7">
        <f t="shared" si="34"/>
        <v>7.488122204322617E-2</v>
      </c>
      <c r="W43" s="2"/>
      <c r="X43" s="6">
        <f t="shared" si="35"/>
        <v>-318.23999999999995</v>
      </c>
      <c r="Y43" s="2"/>
      <c r="Z43" s="7">
        <f t="shared" si="36"/>
        <v>-0.43442175384951398</v>
      </c>
    </row>
    <row r="44" spans="1:26" s="25" customFormat="1" outlineLevel="1" collapsed="1" x14ac:dyDescent="0.25">
      <c r="A44" s="26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SUM(OSRRefD22_8x_0)</f>
        <v>0</v>
      </c>
      <c r="E44" s="1"/>
      <c r="F44" s="5">
        <f t="shared" si="29"/>
        <v>0</v>
      </c>
      <c r="G44" s="1"/>
      <c r="H44" s="1">
        <f>SUM(OSRRefH22_8x_0)</f>
        <v>137.47</v>
      </c>
      <c r="I44" s="1"/>
      <c r="J44" s="5">
        <f t="shared" si="30"/>
        <v>0.1151099016118903</v>
      </c>
      <c r="K44" s="1"/>
      <c r="L44" s="1">
        <f t="shared" si="31"/>
        <v>-137.47</v>
      </c>
      <c r="M44" s="1"/>
      <c r="N44" s="5">
        <f t="shared" si="32"/>
        <v>-1</v>
      </c>
      <c r="O44" s="13"/>
      <c r="P44" s="1">
        <f>SUM(OSRRefP22_8x_0)</f>
        <v>1592.1399999999999</v>
      </c>
      <c r="Q44" s="1"/>
      <c r="R44" s="5">
        <f t="shared" si="33"/>
        <v>0.30742109511065796</v>
      </c>
      <c r="S44" s="1"/>
      <c r="T44" s="1">
        <f>SUM(OSRRefT22_8x_0)</f>
        <v>384.57999999999993</v>
      </c>
      <c r="U44" s="1"/>
      <c r="V44" s="5">
        <f t="shared" si="34"/>
        <v>3.9311210512973566E-2</v>
      </c>
      <c r="W44" s="1"/>
      <c r="X44" s="1">
        <f t="shared" si="35"/>
        <v>1207.56</v>
      </c>
      <c r="Y44" s="1"/>
      <c r="Z44" s="5">
        <f t="shared" si="36"/>
        <v>3.1399448749284939</v>
      </c>
    </row>
    <row r="45" spans="1:26" s="24" customFormat="1" hidden="1" outlineLevel="2" x14ac:dyDescent="0.25">
      <c r="A45" s="27"/>
      <c r="B45" s="11" t="str">
        <f>CONCATENATE("          ", "6237", " - ", "JANITORIAL SUPPLIES")</f>
        <v xml:space="preserve">          6237 - JANITORIAL SUPPLIES</v>
      </c>
      <c r="C45" s="11"/>
      <c r="D45" s="6"/>
      <c r="E45" s="2"/>
      <c r="F45" s="7">
        <f t="shared" si="29"/>
        <v>0</v>
      </c>
      <c r="G45" s="2"/>
      <c r="H45" s="6"/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1"/>
      <c r="P45" s="6">
        <v>47.13</v>
      </c>
      <c r="Q45" s="2"/>
      <c r="R45" s="7">
        <f t="shared" si="33"/>
        <v>9.1001772536116864E-3</v>
      </c>
      <c r="S45" s="2"/>
      <c r="T45" s="6">
        <v>240.67</v>
      </c>
      <c r="U45" s="2"/>
      <c r="V45" s="7">
        <f t="shared" si="34"/>
        <v>2.4600938775176426E-2</v>
      </c>
      <c r="W45" s="2"/>
      <c r="X45" s="6">
        <f t="shared" si="35"/>
        <v>-193.54</v>
      </c>
      <c r="Y45" s="2"/>
      <c r="Z45" s="7">
        <f t="shared" si="36"/>
        <v>-0.80417168737275113</v>
      </c>
    </row>
    <row r="46" spans="1:26" s="24" customFormat="1" hidden="1" outlineLevel="2" x14ac:dyDescent="0.25">
      <c r="A46" s="27"/>
      <c r="B46" s="11" t="str">
        <f>CONCATENATE("          ", "6243", " - ", "PAPER SUPPLIES")</f>
        <v xml:space="preserve">          6243 - PAPER SUPPLIES</v>
      </c>
      <c r="C46" s="11"/>
      <c r="D46" s="6"/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/>
      <c r="Q46" s="2"/>
      <c r="R46" s="7">
        <f t="shared" si="33"/>
        <v>0</v>
      </c>
      <c r="S46" s="2"/>
      <c r="T46" s="6">
        <v>230.39</v>
      </c>
      <c r="U46" s="2"/>
      <c r="V46" s="7">
        <f t="shared" si="34"/>
        <v>2.3550132066368457E-2</v>
      </c>
      <c r="W46" s="2"/>
      <c r="X46" s="6">
        <f t="shared" si="35"/>
        <v>-230.39</v>
      </c>
      <c r="Y46" s="2"/>
      <c r="Z46" s="7">
        <f t="shared" si="36"/>
        <v>-1</v>
      </c>
    </row>
    <row r="47" spans="1:26" s="24" customFormat="1" hidden="1" outlineLevel="2" x14ac:dyDescent="0.25">
      <c r="A47" s="27"/>
      <c r="B47" s="11" t="str">
        <f>CONCATENATE("          ", "6247", " - ", "STORE SUPPLIES")</f>
        <v xml:space="preserve">          6247 - STORE SUPPLIES</v>
      </c>
      <c r="C47" s="11"/>
      <c r="D47" s="6"/>
      <c r="E47" s="2"/>
      <c r="F47" s="7">
        <f t="shared" si="29"/>
        <v>0</v>
      </c>
      <c r="G47" s="2"/>
      <c r="H47" s="6">
        <v>137.47</v>
      </c>
      <c r="I47" s="2"/>
      <c r="J47" s="7">
        <f t="shared" si="30"/>
        <v>0.1151099016118903</v>
      </c>
      <c r="K47" s="2"/>
      <c r="L47" s="6">
        <f t="shared" si="31"/>
        <v>-137.47</v>
      </c>
      <c r="M47" s="2"/>
      <c r="N47" s="7">
        <f t="shared" si="32"/>
        <v>-1</v>
      </c>
      <c r="O47" s="11"/>
      <c r="P47" s="6">
        <v>431.41</v>
      </c>
      <c r="Q47" s="2"/>
      <c r="R47" s="7">
        <f t="shared" si="33"/>
        <v>8.3299543156813455E-2</v>
      </c>
      <c r="S47" s="2"/>
      <c r="T47" s="6">
        <v>-86.48</v>
      </c>
      <c r="U47" s="2"/>
      <c r="V47" s="7">
        <f t="shared" si="34"/>
        <v>-8.8398603285713105E-3</v>
      </c>
      <c r="W47" s="2"/>
      <c r="X47" s="6">
        <f t="shared" si="35"/>
        <v>517.89</v>
      </c>
      <c r="Y47" s="2"/>
      <c r="Z47" s="7">
        <f t="shared" si="36"/>
        <v>-5.9885522664199815</v>
      </c>
    </row>
    <row r="48" spans="1:26" s="24" customFormat="1" hidden="1" outlineLevel="2" x14ac:dyDescent="0.25">
      <c r="A48" s="27"/>
      <c r="B48" s="11" t="str">
        <f>CONCATENATE("          ", "6248", " - ", "UNIFORMS")</f>
        <v xml:space="preserve">          6248 - UNIFORMS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1113.5999999999999</v>
      </c>
      <c r="Q48" s="2"/>
      <c r="R48" s="7">
        <f t="shared" si="33"/>
        <v>0.21502137470023283</v>
      </c>
      <c r="S48" s="2"/>
      <c r="T48" s="6"/>
      <c r="U48" s="2"/>
      <c r="V48" s="7">
        <f t="shared" si="34"/>
        <v>0</v>
      </c>
      <c r="W48" s="2"/>
      <c r="X48" s="6">
        <f t="shared" si="35"/>
        <v>1113.5999999999999</v>
      </c>
      <c r="Y48" s="2"/>
      <c r="Z48" s="7">
        <f t="shared" si="36"/>
        <v>0</v>
      </c>
    </row>
    <row r="49" spans="1:26" s="25" customFormat="1" outlineLevel="1" collapsed="1" x14ac:dyDescent="0.25">
      <c r="A49" s="26"/>
      <c r="B49" s="13" t="str">
        <f>CONCATENATE("     ","Telephone/Data Lines                              ")</f>
        <v xml:space="preserve">     Telephone/Data Lines                              </v>
      </c>
      <c r="C49" s="13"/>
      <c r="D49" s="1">
        <f>SUM(OSRRefD22_9x_0)</f>
        <v>75.5</v>
      </c>
      <c r="E49" s="1"/>
      <c r="F49" s="5">
        <f t="shared" ref="F49:F50" si="37">IF(D$12=0,0,D49/D$12)</f>
        <v>0</v>
      </c>
      <c r="G49" s="1"/>
      <c r="H49" s="1">
        <f>SUM(OSRRefH22_9x_0)</f>
        <v>75.5</v>
      </c>
      <c r="I49" s="1"/>
      <c r="J49" s="5">
        <f t="shared" ref="J49:J50" si="38">IF(H$12=0,0,H49/H$12)</f>
        <v>6.321959388737701E-2</v>
      </c>
      <c r="K49" s="1"/>
      <c r="L49" s="1">
        <f t="shared" ref="L49:L50" si="39">+D49-H49</f>
        <v>0</v>
      </c>
      <c r="M49" s="1"/>
      <c r="N49" s="5">
        <f t="shared" ref="N49:N50" si="40">IF(H49=0,0,L49/H49)</f>
        <v>0</v>
      </c>
      <c r="O49" s="13"/>
      <c r="P49" s="1">
        <f>SUM(OSRRefP22_9x_0)</f>
        <v>715</v>
      </c>
      <c r="Q49" s="1"/>
      <c r="R49" s="5">
        <f t="shared" ref="R49:R50" si="41">IF(P$12=0,0,P49/P$12)</f>
        <v>0.13805700692408987</v>
      </c>
      <c r="S49" s="1"/>
      <c r="T49" s="1">
        <f>SUM(OSRRefT22_9x_0)</f>
        <v>695</v>
      </c>
      <c r="U49" s="1"/>
      <c r="V49" s="5">
        <f t="shared" ref="V49:V50" si="42">IF(T$12=0,0,T49/T$12)</f>
        <v>7.1041893251122354E-2</v>
      </c>
      <c r="W49" s="1"/>
      <c r="X49" s="1">
        <f t="shared" ref="X49:X50" si="43">+P49-T49</f>
        <v>20</v>
      </c>
      <c r="Y49" s="1"/>
      <c r="Z49" s="5">
        <f t="shared" ref="Z49:Z50" si="44">IF(T49=0,0,X49/T49)</f>
        <v>2.8776978417266189E-2</v>
      </c>
    </row>
    <row r="50" spans="1:26" s="24" customFormat="1" hidden="1" outlineLevel="2" x14ac:dyDescent="0.25">
      <c r="A50" s="27"/>
      <c r="B50" s="11" t="str">
        <f>CONCATENATE("          ", "6309", " - ", "TELEPHONE")</f>
        <v xml:space="preserve">          6309 - TELEPHONE</v>
      </c>
      <c r="C50" s="11"/>
      <c r="D50" s="6">
        <v>75.5</v>
      </c>
      <c r="E50" s="2"/>
      <c r="F50" s="7">
        <f t="shared" si="37"/>
        <v>0</v>
      </c>
      <c r="G50" s="2"/>
      <c r="H50" s="6">
        <v>75.5</v>
      </c>
      <c r="I50" s="2"/>
      <c r="J50" s="7">
        <f t="shared" si="38"/>
        <v>6.321959388737701E-2</v>
      </c>
      <c r="K50" s="2"/>
      <c r="L50" s="6">
        <f t="shared" si="39"/>
        <v>0</v>
      </c>
      <c r="M50" s="2"/>
      <c r="N50" s="7">
        <f t="shared" si="40"/>
        <v>0</v>
      </c>
      <c r="O50" s="11"/>
      <c r="P50" s="6">
        <v>715</v>
      </c>
      <c r="Q50" s="2"/>
      <c r="R50" s="7">
        <f t="shared" si="41"/>
        <v>0.13805700692408987</v>
      </c>
      <c r="S50" s="2"/>
      <c r="T50" s="6">
        <v>695</v>
      </c>
      <c r="U50" s="2"/>
      <c r="V50" s="7">
        <f t="shared" si="42"/>
        <v>7.1041893251122354E-2</v>
      </c>
      <c r="W50" s="2"/>
      <c r="X50" s="6">
        <f t="shared" si="43"/>
        <v>20</v>
      </c>
      <c r="Y50" s="2"/>
      <c r="Z50" s="7">
        <f t="shared" si="44"/>
        <v>2.8776978417266189E-2</v>
      </c>
    </row>
    <row r="51" spans="1:26" s="53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9" t="s">
        <v>0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3</v>
      </c>
      <c r="C54" s="28"/>
      <c r="D54" s="21">
        <f>+D21-D23+D52</f>
        <v>-4587.5</v>
      </c>
      <c r="E54" s="14"/>
      <c r="F54" s="20">
        <f>IF(D$12=0,0,D54/D$12)</f>
        <v>0</v>
      </c>
      <c r="G54" s="14"/>
      <c r="H54" s="21">
        <f>+H21-H23+H52</f>
        <v>-2044.1899999999998</v>
      </c>
      <c r="I54" s="14"/>
      <c r="J54" s="20">
        <f>IF(H$12=0,0,H54/H$12)</f>
        <v>-1.7116935315051287</v>
      </c>
      <c r="K54" s="15"/>
      <c r="L54" s="21">
        <f>+D54-H54</f>
        <v>-2543.3100000000004</v>
      </c>
      <c r="M54" s="15"/>
      <c r="N54" s="20">
        <f>IF(H54=0,0,L54/H54)</f>
        <v>1.2441651705565533</v>
      </c>
      <c r="O54" s="29"/>
      <c r="P54" s="21">
        <f>+P21-P23+P52</f>
        <v>-17101.169999999998</v>
      </c>
      <c r="Q54" s="14"/>
      <c r="R54" s="20">
        <f>IF(P$12=0,0,P54/P$12)</f>
        <v>-3.3020088742657872</v>
      </c>
      <c r="S54" s="14"/>
      <c r="T54" s="21">
        <f>+T21-T23+T52</f>
        <v>-15234.739999999998</v>
      </c>
      <c r="U54" s="14"/>
      <c r="V54" s="20">
        <f>IF(T$12=0,0,T54/T$12)</f>
        <v>-1.5572730543720916</v>
      </c>
      <c r="W54" s="15"/>
      <c r="X54" s="21">
        <f>+P54-T54</f>
        <v>-1866.4300000000003</v>
      </c>
      <c r="Y54" s="15"/>
      <c r="Z54" s="20">
        <f>IF(T54=0,0,X54/T54)</f>
        <v>0.12251144423862832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51"/>
      <c r="B56" s="10" t="s">
        <v>13</v>
      </c>
      <c r="C56" s="10"/>
      <c r="D56" s="4">
        <v>33.1</v>
      </c>
      <c r="E56" s="4"/>
      <c r="F56" s="12">
        <f>IF(D$12=0,0,D56/D$12)</f>
        <v>0</v>
      </c>
      <c r="G56" s="4"/>
      <c r="H56" s="4">
        <v>132.62</v>
      </c>
      <c r="I56" s="4"/>
      <c r="J56" s="12">
        <f>IF(H$12=0,0,H56/H$12)</f>
        <v>0.11104877538203894</v>
      </c>
      <c r="K56" s="4"/>
      <c r="L56" s="4">
        <f>+D56-H56</f>
        <v>-99.52000000000001</v>
      </c>
      <c r="M56" s="4"/>
      <c r="N56" s="12">
        <f>IF(H56=0,0,L56/H56)</f>
        <v>-0.75041471874528731</v>
      </c>
      <c r="O56" s="10"/>
      <c r="P56" s="4">
        <v>588.04</v>
      </c>
      <c r="Q56" s="4"/>
      <c r="R56" s="12">
        <f>IF(P$12=0,0,P56/P$12)</f>
        <v>0.1135427165757228</v>
      </c>
      <c r="S56" s="4"/>
      <c r="T56" s="4">
        <v>1017.02</v>
      </c>
      <c r="U56" s="4"/>
      <c r="V56" s="12">
        <f>IF(T$12=0,0,T56/T$12)</f>
        <v>0.10395831118598051</v>
      </c>
      <c r="W56" s="4"/>
      <c r="X56" s="4">
        <f>+P56-T56</f>
        <v>-428.98</v>
      </c>
      <c r="Y56" s="4"/>
      <c r="Z56" s="12">
        <f>IF(T56=0,0,X56/T56)</f>
        <v>-0.4218009478672986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8" t="s">
        <v>4</v>
      </c>
      <c r="C58" s="28"/>
      <c r="D58" s="30">
        <f>+D54-D56</f>
        <v>-4620.6000000000004</v>
      </c>
      <c r="E58" s="14"/>
      <c r="F58" s="36">
        <f>IF(D$12=0,0,D58/D$12)</f>
        <v>0</v>
      </c>
      <c r="G58" s="14"/>
      <c r="H58" s="30">
        <f>+H54-H56</f>
        <v>-2176.81</v>
      </c>
      <c r="I58" s="14"/>
      <c r="J58" s="36">
        <f>IF(H$12=0,0,H58/H$12)</f>
        <v>-1.8227423068871675</v>
      </c>
      <c r="K58" s="15"/>
      <c r="L58" s="30">
        <f>D58-H58</f>
        <v>-2443.7900000000004</v>
      </c>
      <c r="M58" s="15"/>
      <c r="N58" s="36">
        <f>IF(H58=0,0,L58/H58)</f>
        <v>1.1226473601278937</v>
      </c>
      <c r="O58" s="29"/>
      <c r="P58" s="30">
        <f>+P54-P56</f>
        <v>-17689.21</v>
      </c>
      <c r="Q58" s="14"/>
      <c r="R58" s="36">
        <f>IF(P$12=0,0,P58/P$12)</f>
        <v>-3.4155515908415102</v>
      </c>
      <c r="S58" s="14"/>
      <c r="T58" s="30">
        <f>+T54-T56</f>
        <v>-16251.759999999998</v>
      </c>
      <c r="U58" s="14"/>
      <c r="V58" s="36">
        <f>IF(T$12=0,0,T58/T$12)</f>
        <v>-1.6612313655580722</v>
      </c>
      <c r="W58" s="15"/>
      <c r="X58" s="30">
        <f>P58-T58</f>
        <v>-1437.4500000000007</v>
      </c>
      <c r="Y58" s="15"/>
      <c r="Z58" s="36">
        <f>IF(T58=0,0,X58/T58)</f>
        <v>8.8448881844181856E-2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8" t="s">
        <v>5</v>
      </c>
      <c r="C61" s="28"/>
      <c r="D61" s="31">
        <f>SUM(D58:D60)</f>
        <v>-4620.6000000000004</v>
      </c>
      <c r="E61" s="14"/>
      <c r="F61" s="32">
        <f>IF(D$12=0,0,D61/D$12)</f>
        <v>0</v>
      </c>
      <c r="G61" s="14"/>
      <c r="H61" s="31">
        <f>SUM(H58:H60)</f>
        <v>-2176.81</v>
      </c>
      <c r="I61" s="14"/>
      <c r="J61" s="32">
        <f>IF(H$12=0,0,H61/H$12)</f>
        <v>-1.8227423068871675</v>
      </c>
      <c r="K61" s="15"/>
      <c r="L61" s="31">
        <f>+D61-H61</f>
        <v>-2443.7900000000004</v>
      </c>
      <c r="M61" s="15"/>
      <c r="N61" s="32">
        <f>IF(H61=0,0,L61/H61)</f>
        <v>1.1226473601278937</v>
      </c>
      <c r="O61" s="29"/>
      <c r="P61" s="31">
        <f>SUM(P58:P60)</f>
        <v>-17689.21</v>
      </c>
      <c r="Q61" s="14"/>
      <c r="R61" s="32">
        <f>IF(P$12=0,0,P61/P$12)</f>
        <v>-3.4155515908415102</v>
      </c>
      <c r="S61" s="14"/>
      <c r="T61" s="31">
        <f>SUM(T58:T60)</f>
        <v>-16251.759999999998</v>
      </c>
      <c r="U61" s="14"/>
      <c r="V61" s="32">
        <f>IF(T$12=0,0,T61/T$12)</f>
        <v>-1.6612313655580722</v>
      </c>
      <c r="W61" s="15"/>
      <c r="X61" s="31">
        <f>+P61-T61</f>
        <v>-1437.4500000000007</v>
      </c>
      <c r="Y61" s="15"/>
      <c r="Z61" s="32">
        <f>IF(T61=0,0,X61/T61)</f>
        <v>8.8448881844181856E-2</v>
      </c>
    </row>
    <row r="62" spans="1:26" ht="15.75" thickTop="1" x14ac:dyDescent="0.25">
      <c r="A62" s="9"/>
      <c r="C62" s="9"/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54">
        <v>43965.471490775461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9" t="s">
        <v>313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25">
      <c r="A65" s="9"/>
      <c r="B65" s="61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","444", " - ", "Parkside Dining Hall")</f>
        <v>Department 444 - Parkside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448404.50000000006</v>
      </c>
      <c r="I12" s="4"/>
      <c r="J12" s="12"/>
      <c r="K12" s="4"/>
      <c r="L12" s="4">
        <f t="shared" ref="L12:L15" si="0">+D12-H12</f>
        <v>-448404.50000000006</v>
      </c>
      <c r="M12" s="4"/>
      <c r="N12" s="12">
        <f t="shared" ref="N12:N15" si="1">IF(H12=0,0,L12/H12)</f>
        <v>-1</v>
      </c>
      <c r="O12" s="10"/>
      <c r="P12" s="4">
        <f>SUM(OSRRefP13x_0)</f>
        <v>3384443.28</v>
      </c>
      <c r="Q12" s="4"/>
      <c r="R12" s="12"/>
      <c r="S12" s="4"/>
      <c r="T12" s="4">
        <f>SUM(OSRRefT13x_0)</f>
        <v>3797394.1999999997</v>
      </c>
      <c r="U12" s="4"/>
      <c r="V12" s="12"/>
      <c r="W12" s="4"/>
      <c r="X12" s="4">
        <f t="shared" ref="X12:X15" si="2">+P12-T12</f>
        <v>-412950.91999999993</v>
      </c>
      <c r="Y12" s="4"/>
      <c r="Z12" s="12">
        <f t="shared" ref="Z12:Z15" si="3">IF(T12=0,0,X12/T12)</f>
        <v>-0.10874586578343642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--354.15</f>
        <v>354.15</v>
      </c>
      <c r="I13" s="2"/>
      <c r="J13" s="19"/>
      <c r="K13" s="2"/>
      <c r="L13" s="2">
        <f t="shared" si="0"/>
        <v>-354.15</v>
      </c>
      <c r="M13" s="2"/>
      <c r="N13" s="19">
        <f t="shared" si="1"/>
        <v>-1</v>
      </c>
      <c r="O13" s="11"/>
      <c r="P13" s="2">
        <f>--4314.79</f>
        <v>4314.79</v>
      </c>
      <c r="Q13" s="2"/>
      <c r="R13" s="19"/>
      <c r="S13" s="2"/>
      <c r="T13" s="2">
        <f>--2767.88</f>
        <v>2767.88</v>
      </c>
      <c r="U13" s="2"/>
      <c r="V13" s="19"/>
      <c r="W13" s="2"/>
      <c r="X13" s="2">
        <f t="shared" si="2"/>
        <v>1546.9099999999999</v>
      </c>
      <c r="Y13" s="2"/>
      <c r="Z13" s="19">
        <f t="shared" si="3"/>
        <v>0.55887899764440652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--443207.46</f>
        <v>443207.46</v>
      </c>
      <c r="I14" s="2"/>
      <c r="J14" s="19"/>
      <c r="K14" s="2"/>
      <c r="L14" s="2">
        <f t="shared" si="0"/>
        <v>-443207.46</v>
      </c>
      <c r="M14" s="2"/>
      <c r="N14" s="19">
        <f t="shared" si="1"/>
        <v>-1</v>
      </c>
      <c r="O14" s="11"/>
      <c r="P14" s="2">
        <f>--3334016.05</f>
        <v>3334016.05</v>
      </c>
      <c r="Q14" s="2"/>
      <c r="R14" s="19"/>
      <c r="S14" s="2"/>
      <c r="T14" s="2">
        <f>--3734260.73</f>
        <v>3734260.73</v>
      </c>
      <c r="U14" s="2"/>
      <c r="V14" s="19"/>
      <c r="W14" s="2"/>
      <c r="X14" s="2">
        <f t="shared" si="2"/>
        <v>-400244.68000000017</v>
      </c>
      <c r="Y14" s="2"/>
      <c r="Z14" s="19">
        <f t="shared" si="3"/>
        <v>-0.10718177142387167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--4842.89</f>
        <v>4842.8900000000003</v>
      </c>
      <c r="I15" s="2"/>
      <c r="J15" s="19"/>
      <c r="K15" s="2"/>
      <c r="L15" s="2">
        <f t="shared" si="0"/>
        <v>-4842.8900000000003</v>
      </c>
      <c r="M15" s="2"/>
      <c r="N15" s="19">
        <f t="shared" si="1"/>
        <v>-1</v>
      </c>
      <c r="O15" s="11"/>
      <c r="P15" s="2">
        <f>--46112.44</f>
        <v>46112.44</v>
      </c>
      <c r="Q15" s="2"/>
      <c r="R15" s="19"/>
      <c r="S15" s="2"/>
      <c r="T15" s="2">
        <f>--60365.59</f>
        <v>60365.59</v>
      </c>
      <c r="U15" s="2"/>
      <c r="V15" s="19"/>
      <c r="W15" s="2"/>
      <c r="X15" s="2">
        <f t="shared" si="2"/>
        <v>-14253.149999999994</v>
      </c>
      <c r="Y15" s="2"/>
      <c r="Z15" s="19">
        <f t="shared" si="3"/>
        <v>-0.23611381914763022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6594</v>
      </c>
      <c r="E17" s="4"/>
      <c r="F17" s="12">
        <f t="shared" ref="F17:F19" si="5">IF(D$12=0,0,D17/D$12)</f>
        <v>0</v>
      </c>
      <c r="G17" s="4"/>
      <c r="H17" s="4">
        <f>SUM(OSRRefH16x_0)</f>
        <v>121778.09999999999</v>
      </c>
      <c r="I17" s="4"/>
      <c r="J17" s="12">
        <f t="shared" ref="J17:J19" si="6">IF(H$12=0,0,H17/H$12)</f>
        <v>0.2715809051871691</v>
      </c>
      <c r="K17" s="4"/>
      <c r="L17" s="4">
        <f t="shared" ref="L17:L19" si="7">+D17-H17</f>
        <v>-115184.09999999999</v>
      </c>
      <c r="M17" s="4"/>
      <c r="N17" s="12">
        <f t="shared" ref="N17:N19" si="8">IF(H17=0,0,L17/H17)</f>
        <v>-0.94585233305495819</v>
      </c>
      <c r="O17" s="10"/>
      <c r="P17" s="4">
        <f>SUM(OSRRefP16x_0)</f>
        <v>841348.54999999993</v>
      </c>
      <c r="Q17" s="4"/>
      <c r="R17" s="12">
        <f t="shared" ref="R17:R19" si="9">IF(P$12=0,0,P17/P$12)</f>
        <v>0.24859289413176397</v>
      </c>
      <c r="S17" s="4"/>
      <c r="T17" s="4">
        <f>SUM(OSRRefT16x_0)</f>
        <v>1009541.43</v>
      </c>
      <c r="U17" s="4"/>
      <c r="V17" s="12">
        <f t="shared" ref="V17:V19" si="10">IF(T$12=0,0,T17/T$12)</f>
        <v>0.26585110126307143</v>
      </c>
      <c r="W17" s="4"/>
      <c r="X17" s="4">
        <f t="shared" ref="X17:X19" si="11">+P17-T17</f>
        <v>-168192.88000000012</v>
      </c>
      <c r="Y17" s="4"/>
      <c r="Z17" s="12">
        <f t="shared" ref="Z17:Z19" si="12">IF(T17=0,0,X17/T17)</f>
        <v>-0.16660324678304694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120206.09999999999</v>
      </c>
      <c r="I18" s="2"/>
      <c r="J18" s="19">
        <f t="shared" si="6"/>
        <v>0.26807514197560456</v>
      </c>
      <c r="K18" s="2"/>
      <c r="L18" s="2">
        <f t="shared" si="7"/>
        <v>-120206.09999999999</v>
      </c>
      <c r="M18" s="2"/>
      <c r="N18" s="19">
        <f t="shared" si="8"/>
        <v>-1</v>
      </c>
      <c r="O18" s="11"/>
      <c r="P18" s="2">
        <v>830847.79999999993</v>
      </c>
      <c r="Q18" s="2"/>
      <c r="R18" s="19">
        <f t="shared" si="9"/>
        <v>0.24549024204654421</v>
      </c>
      <c r="S18" s="2"/>
      <c r="T18" s="2">
        <v>1012391.18</v>
      </c>
      <c r="U18" s="2"/>
      <c r="V18" s="19">
        <f t="shared" si="10"/>
        <v>0.26660155008400238</v>
      </c>
      <c r="W18" s="2"/>
      <c r="X18" s="2">
        <f t="shared" si="11"/>
        <v>-181543.38000000012</v>
      </c>
      <c r="Y18" s="2"/>
      <c r="Z18" s="19">
        <f t="shared" si="12"/>
        <v>-0.17932137654537855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6594</v>
      </c>
      <c r="E19" s="2"/>
      <c r="F19" s="19">
        <f t="shared" si="5"/>
        <v>0</v>
      </c>
      <c r="G19" s="2"/>
      <c r="H19" s="2">
        <v>1572</v>
      </c>
      <c r="I19" s="2"/>
      <c r="J19" s="19">
        <f t="shared" si="6"/>
        <v>3.5057632115645578E-3</v>
      </c>
      <c r="K19" s="2"/>
      <c r="L19" s="2">
        <f t="shared" si="7"/>
        <v>5022</v>
      </c>
      <c r="M19" s="2"/>
      <c r="N19" s="19">
        <f t="shared" si="8"/>
        <v>3.1946564885496183</v>
      </c>
      <c r="O19" s="11"/>
      <c r="P19" s="2">
        <v>10500.75</v>
      </c>
      <c r="Q19" s="2"/>
      <c r="R19" s="19">
        <f t="shared" si="9"/>
        <v>3.1026520852197588E-3</v>
      </c>
      <c r="S19" s="2"/>
      <c r="T19" s="2">
        <v>-2849.75</v>
      </c>
      <c r="U19" s="2"/>
      <c r="V19" s="19">
        <f t="shared" si="10"/>
        <v>-7.504488209309426E-4</v>
      </c>
      <c r="W19" s="2"/>
      <c r="X19" s="2">
        <f t="shared" si="11"/>
        <v>13350.5</v>
      </c>
      <c r="Y19" s="2"/>
      <c r="Z19" s="19">
        <f t="shared" si="12"/>
        <v>-4.6847969120098254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-6594</v>
      </c>
      <c r="E21" s="14"/>
      <c r="F21" s="20">
        <f>IF(D$12=0,0,D21/D$12)</f>
        <v>0</v>
      </c>
      <c r="G21" s="14"/>
      <c r="H21" s="21">
        <f>H12-H17</f>
        <v>326626.40000000008</v>
      </c>
      <c r="I21" s="14"/>
      <c r="J21" s="20">
        <f>IF(H$12=0,0,H21/H$12)</f>
        <v>0.72841909481283096</v>
      </c>
      <c r="K21" s="15"/>
      <c r="L21" s="21">
        <f>+D21-H21</f>
        <v>-333220.40000000008</v>
      </c>
      <c r="M21" s="15"/>
      <c r="N21" s="20">
        <f>IF(H21=0,0,L21/H21)</f>
        <v>-1.0201882027907114</v>
      </c>
      <c r="O21" s="29"/>
      <c r="P21" s="21">
        <f>P12-P17</f>
        <v>2543094.73</v>
      </c>
      <c r="Q21" s="14"/>
      <c r="R21" s="20">
        <f>IF(P$12=0,0,P21/P$12)</f>
        <v>0.75140710586823611</v>
      </c>
      <c r="S21" s="14"/>
      <c r="T21" s="21">
        <f>T12-T17</f>
        <v>2787852.7699999996</v>
      </c>
      <c r="U21" s="14"/>
      <c r="V21" s="20">
        <f>IF(T$12=0,0,T21/T$12)</f>
        <v>0.73414889873692857</v>
      </c>
      <c r="W21" s="15"/>
      <c r="X21" s="21">
        <f>+P21-T21</f>
        <v>-244758.03999999957</v>
      </c>
      <c r="Y21" s="15"/>
      <c r="Z21" s="20">
        <f>IF(T21=0,0,X21/T21)</f>
        <v>-8.7794464124444999E-2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SUM(OSRRefD22x_0)</f>
        <v>40687.89</v>
      </c>
      <c r="E23" s="22"/>
      <c r="F23" s="35">
        <f t="shared" ref="F23:F33" si="13">IF(D$12=0,0,D23/D$12)</f>
        <v>0</v>
      </c>
      <c r="G23" s="22"/>
      <c r="H23" s="22">
        <f>SUM(OSRRefH22x_0)</f>
        <v>170463.72</v>
      </c>
      <c r="I23" s="22"/>
      <c r="J23" s="35">
        <f t="shared" ref="J23:J33" si="14">IF(H$12=0,0,H23/H$12)</f>
        <v>0.38015613135015369</v>
      </c>
      <c r="K23" s="4"/>
      <c r="L23" s="22">
        <f t="shared" ref="L23:L33" si="15">+D23-H23</f>
        <v>-129775.83</v>
      </c>
      <c r="M23" s="4"/>
      <c r="N23" s="35">
        <f t="shared" ref="N23:N33" si="16">IF(H23=0,0,L23/H23)</f>
        <v>-0.76131055922046054</v>
      </c>
      <c r="O23" s="10"/>
      <c r="P23" s="22">
        <f>SUM(OSRRefP22x_0)</f>
        <v>1660757.36</v>
      </c>
      <c r="Q23" s="22"/>
      <c r="R23" s="35">
        <f t="shared" ref="R23:R33" si="17">IF(P$12=0,0,P23/P$12)</f>
        <v>0.49070326272390663</v>
      </c>
      <c r="S23" s="22"/>
      <c r="T23" s="22">
        <f>SUM(OSRRefT22x_0)</f>
        <v>1696410</v>
      </c>
      <c r="U23" s="22"/>
      <c r="V23" s="35">
        <f t="shared" ref="V23:V33" si="18">IF(T$12=0,0,T23/T$12)</f>
        <v>0.44673002344607787</v>
      </c>
      <c r="W23" s="4"/>
      <c r="X23" s="22">
        <f t="shared" ref="X23:X33" si="19">+P23-T23</f>
        <v>-35652.639999999898</v>
      </c>
      <c r="Y23" s="4"/>
      <c r="Z23" s="35">
        <f t="shared" ref="Z23:Z33" si="20">IF(T23=0,0,X23/T23)</f>
        <v>-2.1016523128253133E-2</v>
      </c>
    </row>
    <row r="24" spans="1:26" s="25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10328.309999999998</v>
      </c>
      <c r="E24" s="1"/>
      <c r="F24" s="5">
        <f t="shared" si="13"/>
        <v>0</v>
      </c>
      <c r="G24" s="1"/>
      <c r="H24" s="1">
        <f>SUM(OSRRefH22_0x_0)</f>
        <v>31661.700000000004</v>
      </c>
      <c r="I24" s="1"/>
      <c r="J24" s="5">
        <f t="shared" si="14"/>
        <v>7.0609683890326708E-2</v>
      </c>
      <c r="K24" s="1"/>
      <c r="L24" s="1">
        <f t="shared" si="15"/>
        <v>-21333.390000000007</v>
      </c>
      <c r="M24" s="1"/>
      <c r="N24" s="5">
        <f t="shared" si="16"/>
        <v>-0.67379167890542846</v>
      </c>
      <c r="O24" s="13"/>
      <c r="P24" s="1">
        <f>SUM(OSRRefP22_0x_0)</f>
        <v>320099.02</v>
      </c>
      <c r="Q24" s="1"/>
      <c r="R24" s="5">
        <f t="shared" si="17"/>
        <v>9.4579519737142723E-2</v>
      </c>
      <c r="S24" s="1"/>
      <c r="T24" s="1">
        <f>SUM(OSRRefT22_0x_0)</f>
        <v>317283.97000000003</v>
      </c>
      <c r="U24" s="1"/>
      <c r="V24" s="5">
        <f t="shared" si="18"/>
        <v>8.3553077002118989E-2</v>
      </c>
      <c r="W24" s="1"/>
      <c r="X24" s="1">
        <f t="shared" si="19"/>
        <v>2815.0499999999884</v>
      </c>
      <c r="Y24" s="1"/>
      <c r="Z24" s="5">
        <f t="shared" si="20"/>
        <v>8.8723360338689283E-3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6">
        <v>3740.11</v>
      </c>
      <c r="E25" s="2"/>
      <c r="F25" s="7">
        <f t="shared" si="13"/>
        <v>0</v>
      </c>
      <c r="G25" s="2"/>
      <c r="H25" s="6">
        <v>4225.83</v>
      </c>
      <c r="I25" s="2"/>
      <c r="J25" s="7">
        <f t="shared" si="14"/>
        <v>9.424147170690747E-3</v>
      </c>
      <c r="K25" s="2"/>
      <c r="L25" s="6">
        <f t="shared" si="15"/>
        <v>-485.7199999999998</v>
      </c>
      <c r="M25" s="2"/>
      <c r="N25" s="7">
        <f t="shared" si="16"/>
        <v>-0.11494073353637033</v>
      </c>
      <c r="O25" s="11"/>
      <c r="P25" s="6">
        <v>46210.080000000002</v>
      </c>
      <c r="Q25" s="2"/>
      <c r="R25" s="7">
        <f t="shared" si="17"/>
        <v>1.3653672458650276E-2</v>
      </c>
      <c r="S25" s="2"/>
      <c r="T25" s="6">
        <v>46460.85</v>
      </c>
      <c r="U25" s="2"/>
      <c r="V25" s="7">
        <f t="shared" si="18"/>
        <v>1.2234929415545008E-2</v>
      </c>
      <c r="W25" s="2"/>
      <c r="X25" s="6">
        <f t="shared" si="19"/>
        <v>-250.7699999999968</v>
      </c>
      <c r="Y25" s="2"/>
      <c r="Z25" s="7">
        <f t="shared" si="20"/>
        <v>-5.3974475284028767E-3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1266.53</v>
      </c>
      <c r="E26" s="2"/>
      <c r="F26" s="7">
        <f t="shared" si="13"/>
        <v>0</v>
      </c>
      <c r="G26" s="2"/>
      <c r="H26" s="6">
        <v>3014.26</v>
      </c>
      <c r="I26" s="2"/>
      <c r="J26" s="7">
        <f t="shared" si="14"/>
        <v>6.7221894517115683E-3</v>
      </c>
      <c r="K26" s="2"/>
      <c r="L26" s="6">
        <f t="shared" si="15"/>
        <v>-1747.7300000000002</v>
      </c>
      <c r="M26" s="2"/>
      <c r="N26" s="7">
        <f t="shared" si="16"/>
        <v>-0.57982058614718046</v>
      </c>
      <c r="O26" s="11"/>
      <c r="P26" s="6">
        <v>30302.220000000005</v>
      </c>
      <c r="Q26" s="2"/>
      <c r="R26" s="7">
        <f t="shared" si="17"/>
        <v>8.9533839077959101E-3</v>
      </c>
      <c r="S26" s="2"/>
      <c r="T26" s="6">
        <v>28690.449999999997</v>
      </c>
      <c r="U26" s="2"/>
      <c r="V26" s="7">
        <f t="shared" si="18"/>
        <v>7.5552993681825284E-3</v>
      </c>
      <c r="W26" s="2"/>
      <c r="X26" s="6">
        <f t="shared" si="19"/>
        <v>1611.7700000000077</v>
      </c>
      <c r="Y26" s="2"/>
      <c r="Z26" s="7">
        <f t="shared" si="20"/>
        <v>5.6177926801427233E-2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6">
        <v>16509.649999999998</v>
      </c>
      <c r="E27" s="2"/>
      <c r="F27" s="7">
        <f t="shared" si="13"/>
        <v>0</v>
      </c>
      <c r="G27" s="2"/>
      <c r="H27" s="6">
        <v>16686.48</v>
      </c>
      <c r="I27" s="2"/>
      <c r="J27" s="7">
        <f t="shared" si="14"/>
        <v>3.7213007451976948E-2</v>
      </c>
      <c r="K27" s="2"/>
      <c r="L27" s="6">
        <f t="shared" si="15"/>
        <v>-176.83000000000175</v>
      </c>
      <c r="M27" s="2"/>
      <c r="N27" s="7">
        <f t="shared" si="16"/>
        <v>-1.0597202046207574E-2</v>
      </c>
      <c r="O27" s="11"/>
      <c r="P27" s="6">
        <v>177115.4</v>
      </c>
      <c r="Q27" s="2"/>
      <c r="R27" s="7">
        <f t="shared" si="17"/>
        <v>5.2332211045356923E-2</v>
      </c>
      <c r="S27" s="2"/>
      <c r="T27" s="6">
        <v>161035.69999999998</v>
      </c>
      <c r="U27" s="2"/>
      <c r="V27" s="7">
        <f t="shared" si="18"/>
        <v>4.240689576025581E-2</v>
      </c>
      <c r="W27" s="2"/>
      <c r="X27" s="6">
        <f t="shared" si="19"/>
        <v>16079.700000000012</v>
      </c>
      <c r="Y27" s="2"/>
      <c r="Z27" s="7">
        <f t="shared" si="20"/>
        <v>9.9851771998383049E-2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84.87</v>
      </c>
      <c r="E28" s="2"/>
      <c r="F28" s="7">
        <f t="shared" si="13"/>
        <v>0</v>
      </c>
      <c r="G28" s="2"/>
      <c r="H28" s="6">
        <v>223.9</v>
      </c>
      <c r="I28" s="2"/>
      <c r="J28" s="7">
        <f t="shared" si="14"/>
        <v>4.9932594342831074E-4</v>
      </c>
      <c r="K28" s="2"/>
      <c r="L28" s="6">
        <f t="shared" si="15"/>
        <v>-139.03</v>
      </c>
      <c r="M28" s="2"/>
      <c r="N28" s="7">
        <f t="shared" si="16"/>
        <v>-0.62094685127288962</v>
      </c>
      <c r="O28" s="11"/>
      <c r="P28" s="6">
        <v>2408.85</v>
      </c>
      <c r="Q28" s="2"/>
      <c r="R28" s="7">
        <f t="shared" si="17"/>
        <v>7.117418732453983E-4</v>
      </c>
      <c r="S28" s="2"/>
      <c r="T28" s="6">
        <v>2429.0700000000002</v>
      </c>
      <c r="U28" s="2"/>
      <c r="V28" s="7">
        <f t="shared" si="18"/>
        <v>6.3966759100227209E-4</v>
      </c>
      <c r="W28" s="2"/>
      <c r="X28" s="6">
        <f t="shared" si="19"/>
        <v>-20.220000000000255</v>
      </c>
      <c r="Y28" s="2"/>
      <c r="Z28" s="7">
        <f t="shared" si="20"/>
        <v>-8.3241734490979071E-3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6">
        <v>1334.66</v>
      </c>
      <c r="E29" s="2"/>
      <c r="F29" s="7">
        <f t="shared" si="13"/>
        <v>0</v>
      </c>
      <c r="G29" s="2"/>
      <c r="H29" s="6">
        <v>1129.4000000000001</v>
      </c>
      <c r="I29" s="2"/>
      <c r="J29" s="7">
        <f t="shared" si="14"/>
        <v>2.5187079969090408E-3</v>
      </c>
      <c r="K29" s="2"/>
      <c r="L29" s="6">
        <f t="shared" si="15"/>
        <v>205.26</v>
      </c>
      <c r="M29" s="2"/>
      <c r="N29" s="7">
        <f t="shared" si="16"/>
        <v>0.18174251815123071</v>
      </c>
      <c r="O29" s="11"/>
      <c r="P29" s="6">
        <v>13784.82</v>
      </c>
      <c r="Q29" s="2"/>
      <c r="R29" s="7">
        <f t="shared" si="17"/>
        <v>4.072994835357383E-3</v>
      </c>
      <c r="S29" s="2"/>
      <c r="T29" s="6">
        <v>12393.75</v>
      </c>
      <c r="U29" s="2"/>
      <c r="V29" s="7">
        <f t="shared" si="18"/>
        <v>3.2637512323582317E-3</v>
      </c>
      <c r="W29" s="2"/>
      <c r="X29" s="6">
        <f t="shared" si="19"/>
        <v>1391.0699999999997</v>
      </c>
      <c r="Y29" s="2"/>
      <c r="Z29" s="7">
        <f t="shared" si="20"/>
        <v>0.112239636913767</v>
      </c>
    </row>
    <row r="30" spans="1:26" s="24" customFormat="1" hidden="1" outlineLevel="2" x14ac:dyDescent="0.25">
      <c r="A30" s="27"/>
      <c r="B30" s="11" t="str">
        <f>CONCATENATE("          ", "6117", " - ", "RETIREMENT STAFF HOURLY")</f>
        <v xml:space="preserve">          6117 - RETIREMENT STAFF HOURLY</v>
      </c>
      <c r="C30" s="11"/>
      <c r="D30" s="6">
        <v>1195.8399999999999</v>
      </c>
      <c r="E30" s="2"/>
      <c r="F30" s="7">
        <f t="shared" si="13"/>
        <v>0</v>
      </c>
      <c r="G30" s="2"/>
      <c r="H30" s="6">
        <v>1027.56</v>
      </c>
      <c r="I30" s="2"/>
      <c r="J30" s="7">
        <f t="shared" si="14"/>
        <v>2.291591632108955E-3</v>
      </c>
      <c r="K30" s="2"/>
      <c r="L30" s="6">
        <f t="shared" si="15"/>
        <v>168.27999999999997</v>
      </c>
      <c r="M30" s="2"/>
      <c r="N30" s="7">
        <f t="shared" si="16"/>
        <v>0.16376659270504884</v>
      </c>
      <c r="O30" s="11"/>
      <c r="P30" s="6">
        <v>7322.31</v>
      </c>
      <c r="Q30" s="2"/>
      <c r="R30" s="7">
        <f t="shared" si="17"/>
        <v>2.1635197857415417E-3</v>
      </c>
      <c r="S30" s="2"/>
      <c r="T30" s="6">
        <v>7476.18</v>
      </c>
      <c r="U30" s="2"/>
      <c r="V30" s="7">
        <f t="shared" si="18"/>
        <v>1.968765844746906E-3</v>
      </c>
      <c r="W30" s="2"/>
      <c r="X30" s="6">
        <f t="shared" si="19"/>
        <v>-153.86999999999989</v>
      </c>
      <c r="Y30" s="2"/>
      <c r="Z30" s="7">
        <f t="shared" si="20"/>
        <v>-2.0581366419749107E-2</v>
      </c>
    </row>
    <row r="31" spans="1:26" s="24" customFormat="1" hidden="1" outlineLevel="2" x14ac:dyDescent="0.25">
      <c r="A31" s="27"/>
      <c r="B31" s="11" t="str">
        <f>CONCATENATE("          ", "6118", " - ", "VACATION")</f>
        <v xml:space="preserve">          6118 - VACATION</v>
      </c>
      <c r="C31" s="11"/>
      <c r="D31" s="6">
        <v>3517.2</v>
      </c>
      <c r="E31" s="2"/>
      <c r="F31" s="7">
        <f t="shared" si="13"/>
        <v>0</v>
      </c>
      <c r="G31" s="2"/>
      <c r="H31" s="6">
        <v>2568.3200000000002</v>
      </c>
      <c r="I31" s="2"/>
      <c r="J31" s="7">
        <f t="shared" si="14"/>
        <v>5.7276856052961107E-3</v>
      </c>
      <c r="K31" s="2"/>
      <c r="L31" s="6">
        <f t="shared" si="15"/>
        <v>948.87999999999965</v>
      </c>
      <c r="M31" s="2"/>
      <c r="N31" s="7">
        <f t="shared" si="16"/>
        <v>0.36945551956142519</v>
      </c>
      <c r="O31" s="11"/>
      <c r="P31" s="6">
        <v>29810.339999999997</v>
      </c>
      <c r="Q31" s="2"/>
      <c r="R31" s="7">
        <f t="shared" si="17"/>
        <v>8.8080483357960131E-3</v>
      </c>
      <c r="S31" s="2"/>
      <c r="T31" s="6">
        <v>26761.56</v>
      </c>
      <c r="U31" s="2"/>
      <c r="V31" s="7">
        <f t="shared" si="18"/>
        <v>7.047348415921635E-3</v>
      </c>
      <c r="W31" s="2"/>
      <c r="X31" s="6">
        <f t="shared" si="19"/>
        <v>3048.7799999999952</v>
      </c>
      <c r="Y31" s="2"/>
      <c r="Z31" s="7">
        <f t="shared" si="20"/>
        <v>0.11392385197275477</v>
      </c>
    </row>
    <row r="32" spans="1:26" s="24" customFormat="1" hidden="1" outlineLevel="2" x14ac:dyDescent="0.25">
      <c r="A32" s="27"/>
      <c r="B32" s="11" t="str">
        <f>CONCATENATE("          ", "6119", " - ", "SICK LEAVE")</f>
        <v xml:space="preserve">          6119 - SICK LEAVE</v>
      </c>
      <c r="C32" s="11"/>
      <c r="D32" s="6">
        <v>-17939.05</v>
      </c>
      <c r="E32" s="2"/>
      <c r="F32" s="7">
        <f t="shared" si="13"/>
        <v>0</v>
      </c>
      <c r="G32" s="2"/>
      <c r="H32" s="6">
        <v>1594.49</v>
      </c>
      <c r="I32" s="2"/>
      <c r="J32" s="7">
        <f t="shared" si="14"/>
        <v>3.5559188188343332E-3</v>
      </c>
      <c r="K32" s="2"/>
      <c r="L32" s="6">
        <f t="shared" si="15"/>
        <v>-19533.54</v>
      </c>
      <c r="M32" s="2"/>
      <c r="N32" s="7">
        <f t="shared" si="16"/>
        <v>-12.250650678273304</v>
      </c>
      <c r="O32" s="11"/>
      <c r="P32" s="6">
        <v>294.8</v>
      </c>
      <c r="Q32" s="2"/>
      <c r="R32" s="7">
        <f t="shared" si="17"/>
        <v>8.7104429181038024E-5</v>
      </c>
      <c r="S32" s="2"/>
      <c r="T32" s="6">
        <v>19371.510000000002</v>
      </c>
      <c r="U32" s="2"/>
      <c r="V32" s="7">
        <f t="shared" si="18"/>
        <v>5.1012639140808726E-3</v>
      </c>
      <c r="W32" s="2"/>
      <c r="X32" s="6">
        <f t="shared" si="19"/>
        <v>-19076.710000000003</v>
      </c>
      <c r="Y32" s="2"/>
      <c r="Z32" s="7">
        <f t="shared" si="20"/>
        <v>-0.98478177488486962</v>
      </c>
    </row>
    <row r="33" spans="1:26" s="24" customFormat="1" hidden="1" outlineLevel="2" x14ac:dyDescent="0.25">
      <c r="A33" s="27"/>
      <c r="B33" s="11" t="str">
        <f>CONCATENATE("          ", "6156", " - ", "EMPLOYEE MEALS")</f>
        <v xml:space="preserve">          6156 - EMPLOYEE MEALS</v>
      </c>
      <c r="C33" s="11"/>
      <c r="D33" s="6">
        <v>618.5</v>
      </c>
      <c r="E33" s="2"/>
      <c r="F33" s="7">
        <f t="shared" si="13"/>
        <v>0</v>
      </c>
      <c r="G33" s="2"/>
      <c r="H33" s="6">
        <v>1191.46</v>
      </c>
      <c r="I33" s="2"/>
      <c r="J33" s="7">
        <f t="shared" si="14"/>
        <v>2.6571098193706798E-3</v>
      </c>
      <c r="K33" s="2"/>
      <c r="L33" s="6">
        <f t="shared" si="15"/>
        <v>-572.96</v>
      </c>
      <c r="M33" s="2"/>
      <c r="N33" s="7">
        <f t="shared" si="16"/>
        <v>-0.48088899333590723</v>
      </c>
      <c r="O33" s="11"/>
      <c r="P33" s="6">
        <v>12850.2</v>
      </c>
      <c r="Q33" s="2"/>
      <c r="R33" s="7">
        <f t="shared" si="17"/>
        <v>3.7968430660182319E-3</v>
      </c>
      <c r="S33" s="2"/>
      <c r="T33" s="6">
        <v>12664.9</v>
      </c>
      <c r="U33" s="2"/>
      <c r="V33" s="7">
        <f t="shared" si="18"/>
        <v>3.33515546002572E-3</v>
      </c>
      <c r="W33" s="2"/>
      <c r="X33" s="6">
        <f t="shared" si="19"/>
        <v>185.30000000000109</v>
      </c>
      <c r="Y33" s="2"/>
      <c r="Z33" s="7">
        <f t="shared" si="20"/>
        <v>1.4630988006222007E-2</v>
      </c>
    </row>
    <row r="34" spans="1:26" s="25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30151.360000000001</v>
      </c>
      <c r="E34" s="1"/>
      <c r="F34" s="5">
        <f t="shared" ref="F34:F40" si="21">IF(D$12=0,0,D34/D$12)</f>
        <v>0</v>
      </c>
      <c r="G34" s="1"/>
      <c r="H34" s="1">
        <f>SUM(OSRRefH22_1x_0)</f>
        <v>83704.63</v>
      </c>
      <c r="I34" s="1"/>
      <c r="J34" s="5">
        <f t="shared" ref="J34:J40" si="22">IF(H$12=0,0,H34/H$12)</f>
        <v>0.18667214535090526</v>
      </c>
      <c r="K34" s="1"/>
      <c r="L34" s="1">
        <f t="shared" ref="L34:L40" si="23">+D34-H34</f>
        <v>-53553.270000000004</v>
      </c>
      <c r="M34" s="1"/>
      <c r="N34" s="5">
        <f t="shared" ref="N34:N40" si="24">IF(H34=0,0,L34/H34)</f>
        <v>-0.63978862340111897</v>
      </c>
      <c r="O34" s="13"/>
      <c r="P34" s="1">
        <f>SUM(OSRRefP22_1x_0)</f>
        <v>891950.6</v>
      </c>
      <c r="Q34" s="1"/>
      <c r="R34" s="5">
        <f t="shared" ref="R34:R40" si="25">IF(P$12=0,0,P34/P$12)</f>
        <v>0.26354426007694831</v>
      </c>
      <c r="S34" s="1"/>
      <c r="T34" s="1">
        <f>SUM(OSRRefT22_1x_0)</f>
        <v>886372.42</v>
      </c>
      <c r="U34" s="1"/>
      <c r="V34" s="5">
        <f t="shared" ref="V34:V40" si="26">IF(T$12=0,0,T34/T$12)</f>
        <v>0.23341596192462719</v>
      </c>
      <c r="W34" s="1"/>
      <c r="X34" s="1">
        <f t="shared" ref="X34:X40" si="27">+P34-T34</f>
        <v>5578.1799999999348</v>
      </c>
      <c r="Y34" s="1"/>
      <c r="Z34" s="5">
        <f t="shared" ref="Z34:Z40" si="28">IF(T34=0,0,X34/T34)</f>
        <v>6.2932689173698956E-3</v>
      </c>
    </row>
    <row r="35" spans="1:26" s="24" customFormat="1" hidden="1" outlineLevel="2" x14ac:dyDescent="0.25">
      <c r="A35" s="27"/>
      <c r="B35" s="11" t="str">
        <f>CONCATENATE("          ", "6002", " - ", "STAFF SALARIES")</f>
        <v xml:space="preserve">          6002 - STAFF SALARIES</v>
      </c>
      <c r="C35" s="11"/>
      <c r="D35" s="6">
        <v>18810.36</v>
      </c>
      <c r="E35" s="2"/>
      <c r="F35" s="7">
        <f t="shared" si="21"/>
        <v>0</v>
      </c>
      <c r="G35" s="2"/>
      <c r="H35" s="6">
        <v>12673.57</v>
      </c>
      <c r="I35" s="2"/>
      <c r="J35" s="7">
        <f t="shared" si="22"/>
        <v>2.8263699405336025E-2</v>
      </c>
      <c r="K35" s="2"/>
      <c r="L35" s="6">
        <f t="shared" si="23"/>
        <v>6136.7900000000009</v>
      </c>
      <c r="M35" s="2"/>
      <c r="N35" s="7">
        <f t="shared" si="24"/>
        <v>0.48421952141346131</v>
      </c>
      <c r="O35" s="11"/>
      <c r="P35" s="6">
        <v>155710.24</v>
      </c>
      <c r="Q35" s="2"/>
      <c r="R35" s="7">
        <f t="shared" si="25"/>
        <v>4.600763762836646E-2</v>
      </c>
      <c r="S35" s="2"/>
      <c r="T35" s="6">
        <v>138596.64000000001</v>
      </c>
      <c r="U35" s="2"/>
      <c r="V35" s="7">
        <f t="shared" si="26"/>
        <v>3.6497827905251454E-2</v>
      </c>
      <c r="W35" s="2"/>
      <c r="X35" s="6">
        <f t="shared" si="27"/>
        <v>17113.599999999977</v>
      </c>
      <c r="Y35" s="2"/>
      <c r="Z35" s="7">
        <f t="shared" si="28"/>
        <v>0.12347774087452607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6">
        <v>15596</v>
      </c>
      <c r="E36" s="2"/>
      <c r="F36" s="7">
        <f t="shared" si="21"/>
        <v>0</v>
      </c>
      <c r="G36" s="2"/>
      <c r="H36" s="6">
        <v>16522.129999999997</v>
      </c>
      <c r="I36" s="2"/>
      <c r="J36" s="7">
        <f t="shared" si="22"/>
        <v>3.6846485706543967E-2</v>
      </c>
      <c r="K36" s="2"/>
      <c r="L36" s="6">
        <f t="shared" si="23"/>
        <v>-926.12999999999738</v>
      </c>
      <c r="M36" s="2"/>
      <c r="N36" s="7">
        <f t="shared" si="24"/>
        <v>-5.6053910724585605E-2</v>
      </c>
      <c r="O36" s="11"/>
      <c r="P36" s="6">
        <v>204780.40000000002</v>
      </c>
      <c r="Q36" s="2"/>
      <c r="R36" s="7">
        <f t="shared" si="25"/>
        <v>6.0506376694249117E-2</v>
      </c>
      <c r="S36" s="2"/>
      <c r="T36" s="6">
        <v>194304.44</v>
      </c>
      <c r="U36" s="2"/>
      <c r="V36" s="7">
        <f t="shared" si="26"/>
        <v>5.1167835038037401E-2</v>
      </c>
      <c r="W36" s="2"/>
      <c r="X36" s="6">
        <f t="shared" si="27"/>
        <v>10475.960000000021</v>
      </c>
      <c r="Y36" s="2"/>
      <c r="Z36" s="7">
        <f t="shared" si="28"/>
        <v>5.3915185880466863E-2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1"/>
        <v>0</v>
      </c>
      <c r="G37" s="2"/>
      <c r="H37" s="6">
        <v>16847.060000000001</v>
      </c>
      <c r="I37" s="2"/>
      <c r="J37" s="7">
        <f t="shared" si="22"/>
        <v>3.7571121610064123E-2</v>
      </c>
      <c r="K37" s="2"/>
      <c r="L37" s="6">
        <f t="shared" si="23"/>
        <v>-16847.060000000001</v>
      </c>
      <c r="M37" s="2"/>
      <c r="N37" s="7">
        <f t="shared" si="24"/>
        <v>-1</v>
      </c>
      <c r="O37" s="11"/>
      <c r="P37" s="6">
        <v>146126.22999999998</v>
      </c>
      <c r="Q37" s="2"/>
      <c r="R37" s="7">
        <f t="shared" si="25"/>
        <v>4.3175854316577583E-2</v>
      </c>
      <c r="S37" s="2"/>
      <c r="T37" s="6">
        <v>184812.97</v>
      </c>
      <c r="U37" s="2"/>
      <c r="V37" s="7">
        <f t="shared" si="26"/>
        <v>4.8668365796735037E-2</v>
      </c>
      <c r="W37" s="2"/>
      <c r="X37" s="6">
        <f t="shared" si="27"/>
        <v>-38686.74000000002</v>
      </c>
      <c r="Y37" s="2"/>
      <c r="Z37" s="7">
        <f t="shared" si="28"/>
        <v>-0.20932913961612121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1"/>
        <v>0</v>
      </c>
      <c r="G38" s="2"/>
      <c r="H38" s="6">
        <v>3546</v>
      </c>
      <c r="I38" s="2"/>
      <c r="J38" s="7">
        <f t="shared" si="22"/>
        <v>7.9080383894452426E-3</v>
      </c>
      <c r="K38" s="2"/>
      <c r="L38" s="6">
        <f t="shared" si="23"/>
        <v>-3546</v>
      </c>
      <c r="M38" s="2"/>
      <c r="N38" s="7">
        <f t="shared" si="24"/>
        <v>-1</v>
      </c>
      <c r="O38" s="11"/>
      <c r="P38" s="6">
        <v>13546.1</v>
      </c>
      <c r="Q38" s="2"/>
      <c r="R38" s="7">
        <f t="shared" si="25"/>
        <v>4.0024603396514894E-3</v>
      </c>
      <c r="S38" s="2"/>
      <c r="T38" s="6">
        <v>22257.83</v>
      </c>
      <c r="U38" s="2"/>
      <c r="V38" s="7">
        <f t="shared" si="26"/>
        <v>5.8613430230656603E-3</v>
      </c>
      <c r="W38" s="2"/>
      <c r="X38" s="6">
        <f t="shared" si="27"/>
        <v>-8711.7300000000014</v>
      </c>
      <c r="Y38" s="2"/>
      <c r="Z38" s="7">
        <f t="shared" si="28"/>
        <v>-0.39140068910581133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6">
        <v>-4255</v>
      </c>
      <c r="E39" s="2"/>
      <c r="F39" s="7">
        <f t="shared" si="21"/>
        <v>0</v>
      </c>
      <c r="G39" s="2"/>
      <c r="H39" s="6">
        <v>24305.870000000003</v>
      </c>
      <c r="I39" s="2"/>
      <c r="J39" s="7">
        <f t="shared" si="22"/>
        <v>5.420523210627904E-2</v>
      </c>
      <c r="K39" s="2"/>
      <c r="L39" s="6">
        <f t="shared" si="23"/>
        <v>-28560.870000000003</v>
      </c>
      <c r="M39" s="2"/>
      <c r="N39" s="7">
        <f t="shared" si="24"/>
        <v>-1.1750605923589652</v>
      </c>
      <c r="O39" s="11"/>
      <c r="P39" s="6">
        <v>291246.51</v>
      </c>
      <c r="Q39" s="2"/>
      <c r="R39" s="7">
        <f t="shared" si="25"/>
        <v>8.6054481019401219E-2</v>
      </c>
      <c r="S39" s="2"/>
      <c r="T39" s="6">
        <v>250979.90000000002</v>
      </c>
      <c r="U39" s="2"/>
      <c r="V39" s="7">
        <f t="shared" si="26"/>
        <v>6.6092664280152966E-2</v>
      </c>
      <c r="W39" s="2"/>
      <c r="X39" s="6">
        <f t="shared" si="27"/>
        <v>40266.609999999986</v>
      </c>
      <c r="Y39" s="2"/>
      <c r="Z39" s="7">
        <f t="shared" si="28"/>
        <v>0.16043758882683426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1"/>
        <v>0</v>
      </c>
      <c r="G40" s="2"/>
      <c r="H40" s="6">
        <v>9810</v>
      </c>
      <c r="I40" s="2"/>
      <c r="J40" s="7">
        <f t="shared" si="22"/>
        <v>2.1877568133236842E-2</v>
      </c>
      <c r="K40" s="2"/>
      <c r="L40" s="6">
        <f t="shared" si="23"/>
        <v>-9810</v>
      </c>
      <c r="M40" s="2"/>
      <c r="N40" s="7">
        <f t="shared" si="24"/>
        <v>-1</v>
      </c>
      <c r="O40" s="11"/>
      <c r="P40" s="6">
        <v>80541.119999999995</v>
      </c>
      <c r="Q40" s="2"/>
      <c r="R40" s="7">
        <f t="shared" si="25"/>
        <v>2.3797450078702456E-2</v>
      </c>
      <c r="S40" s="2"/>
      <c r="T40" s="6">
        <v>95420.64</v>
      </c>
      <c r="U40" s="2"/>
      <c r="V40" s="7">
        <f t="shared" si="26"/>
        <v>2.5127925881384662E-2</v>
      </c>
      <c r="W40" s="2"/>
      <c r="X40" s="6">
        <f t="shared" si="27"/>
        <v>-14879.520000000004</v>
      </c>
      <c r="Y40" s="2"/>
      <c r="Z40" s="7">
        <f t="shared" si="28"/>
        <v>-0.15593607420784439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9">IF(D$12=0,0,D41/D$12)</f>
        <v>0</v>
      </c>
      <c r="G41" s="1"/>
      <c r="H41" s="1">
        <f>SUM(OSRRefH22_2x_0)</f>
        <v>103.09</v>
      </c>
      <c r="I41" s="1"/>
      <c r="J41" s="5">
        <f t="shared" ref="J41:J62" si="30">IF(H$12=0,0,H41/H$12)</f>
        <v>2.2990402638688949E-4</v>
      </c>
      <c r="K41" s="1"/>
      <c r="L41" s="1">
        <f t="shared" ref="L41:L62" si="31">+D41-H41</f>
        <v>-103.09</v>
      </c>
      <c r="M41" s="1"/>
      <c r="N41" s="5">
        <f t="shared" ref="N41:N62" si="32">IF(H41=0,0,L41/H41)</f>
        <v>-1</v>
      </c>
      <c r="O41" s="13"/>
      <c r="P41" s="1">
        <f>SUM(OSRRefP22_2x_0)</f>
        <v>2628.74</v>
      </c>
      <c r="Q41" s="1"/>
      <c r="R41" s="5">
        <f t="shared" ref="R41:R62" si="33">IF(P$12=0,0,P41/P$12)</f>
        <v>7.7671267695170231E-4</v>
      </c>
      <c r="S41" s="1"/>
      <c r="T41" s="1">
        <f>SUM(OSRRefT22_2x_0)</f>
        <v>3908.45</v>
      </c>
      <c r="U41" s="1"/>
      <c r="V41" s="5">
        <f t="shared" ref="V41:V62" si="34">IF(T$12=0,0,T41/T$12)</f>
        <v>1.0292452650820397E-3</v>
      </c>
      <c r="W41" s="1"/>
      <c r="X41" s="1">
        <f t="shared" ref="X41:X62" si="35">+P41-T41</f>
        <v>-1279.71</v>
      </c>
      <c r="Y41" s="1"/>
      <c r="Z41" s="5">
        <f t="shared" ref="Z41:Z62" si="36">IF(T41=0,0,X41/T41)</f>
        <v>-0.32742135629213631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9"/>
        <v>0</v>
      </c>
      <c r="G42" s="2"/>
      <c r="H42" s="6">
        <v>103.09</v>
      </c>
      <c r="I42" s="2"/>
      <c r="J42" s="7">
        <f t="shared" si="30"/>
        <v>2.2990402638688949E-4</v>
      </c>
      <c r="K42" s="2"/>
      <c r="L42" s="6">
        <f t="shared" si="31"/>
        <v>-103.09</v>
      </c>
      <c r="M42" s="2"/>
      <c r="N42" s="7">
        <f t="shared" si="32"/>
        <v>-1</v>
      </c>
      <c r="O42" s="11"/>
      <c r="P42" s="6">
        <v>2628.74</v>
      </c>
      <c r="Q42" s="2"/>
      <c r="R42" s="7">
        <f t="shared" si="33"/>
        <v>7.7671267695170231E-4</v>
      </c>
      <c r="S42" s="2"/>
      <c r="T42" s="6">
        <v>3908.45</v>
      </c>
      <c r="U42" s="2"/>
      <c r="V42" s="7">
        <f t="shared" si="34"/>
        <v>1.0292452650820397E-3</v>
      </c>
      <c r="W42" s="2"/>
      <c r="X42" s="6">
        <f t="shared" si="35"/>
        <v>-1279.71</v>
      </c>
      <c r="Y42" s="2"/>
      <c r="Z42" s="7">
        <f t="shared" si="36"/>
        <v>-0.32742135629213631</v>
      </c>
    </row>
    <row r="43" spans="1:26" s="25" customFormat="1" outlineLevel="1" collapsed="1" x14ac:dyDescent="0.25">
      <c r="A43" s="26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3"/>
      <c r="P43" s="1">
        <f>SUM(OSRRefP22_3x_0)</f>
        <v>16.690000000000001</v>
      </c>
      <c r="Q43" s="1"/>
      <c r="R43" s="5">
        <f t="shared" si="33"/>
        <v>4.9313871201883469E-6</v>
      </c>
      <c r="S43" s="1"/>
      <c r="T43" s="1">
        <f>SUM(OSRRefT22_3x_0)</f>
        <v>-39.15</v>
      </c>
      <c r="U43" s="1"/>
      <c r="V43" s="5">
        <f t="shared" si="34"/>
        <v>-1.0309701320974262E-5</v>
      </c>
      <c r="W43" s="1"/>
      <c r="X43" s="1">
        <f t="shared" si="35"/>
        <v>55.84</v>
      </c>
      <c r="Y43" s="1"/>
      <c r="Z43" s="5">
        <f t="shared" si="36"/>
        <v>-1.4263090676883781</v>
      </c>
    </row>
    <row r="44" spans="1:26" s="24" customFormat="1" hidden="1" outlineLevel="2" x14ac:dyDescent="0.25">
      <c r="A44" s="27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9"/>
        <v>0</v>
      </c>
      <c r="G44" s="2"/>
      <c r="H44" s="6"/>
      <c r="I44" s="2"/>
      <c r="J44" s="7">
        <f t="shared" si="30"/>
        <v>0</v>
      </c>
      <c r="K44" s="2"/>
      <c r="L44" s="6">
        <f t="shared" si="31"/>
        <v>0</v>
      </c>
      <c r="M44" s="2"/>
      <c r="N44" s="7">
        <f t="shared" si="32"/>
        <v>0</v>
      </c>
      <c r="O44" s="11"/>
      <c r="P44" s="6">
        <v>16.690000000000001</v>
      </c>
      <c r="Q44" s="2"/>
      <c r="R44" s="7">
        <f t="shared" si="33"/>
        <v>4.9313871201883469E-6</v>
      </c>
      <c r="S44" s="2"/>
      <c r="T44" s="6">
        <v>-39.15</v>
      </c>
      <c r="U44" s="2"/>
      <c r="V44" s="7">
        <f t="shared" si="34"/>
        <v>-1.0309701320974262E-5</v>
      </c>
      <c r="W44" s="2"/>
      <c r="X44" s="6">
        <f t="shared" si="35"/>
        <v>55.84</v>
      </c>
      <c r="Y44" s="2"/>
      <c r="Z44" s="7">
        <f t="shared" si="36"/>
        <v>-1.4263090676883781</v>
      </c>
    </row>
    <row r="45" spans="1:26" s="25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101.99</v>
      </c>
      <c r="I45" s="1"/>
      <c r="J45" s="5">
        <f t="shared" si="30"/>
        <v>2.2745088419050206E-4</v>
      </c>
      <c r="K45" s="1"/>
      <c r="L45" s="1">
        <f t="shared" si="31"/>
        <v>-101.99</v>
      </c>
      <c r="M45" s="1"/>
      <c r="N45" s="5">
        <f t="shared" si="32"/>
        <v>-1</v>
      </c>
      <c r="O45" s="13"/>
      <c r="P45" s="1">
        <f>SUM(OSRRefP22_4x_0)</f>
        <v>1125.75</v>
      </c>
      <c r="Q45" s="1"/>
      <c r="R45" s="5">
        <f t="shared" si="33"/>
        <v>3.3262486821761716E-4</v>
      </c>
      <c r="S45" s="1"/>
      <c r="T45" s="1">
        <f>SUM(OSRRefT22_4x_0)</f>
        <v>1410.53</v>
      </c>
      <c r="U45" s="1"/>
      <c r="V45" s="5">
        <f t="shared" si="34"/>
        <v>3.7144682003253709E-4</v>
      </c>
      <c r="W45" s="1"/>
      <c r="X45" s="1">
        <f t="shared" si="35"/>
        <v>-284.77999999999997</v>
      </c>
      <c r="Y45" s="1"/>
      <c r="Z45" s="5">
        <f t="shared" si="36"/>
        <v>-0.20189574131709356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9"/>
        <v>0</v>
      </c>
      <c r="G46" s="2"/>
      <c r="H46" s="6">
        <v>101.99</v>
      </c>
      <c r="I46" s="2"/>
      <c r="J46" s="7">
        <f t="shared" si="30"/>
        <v>2.2745088419050206E-4</v>
      </c>
      <c r="K46" s="2"/>
      <c r="L46" s="6">
        <f t="shared" si="31"/>
        <v>-101.99</v>
      </c>
      <c r="M46" s="2"/>
      <c r="N46" s="7">
        <f t="shared" si="32"/>
        <v>-1</v>
      </c>
      <c r="O46" s="11"/>
      <c r="P46" s="6">
        <v>1125.75</v>
      </c>
      <c r="Q46" s="2"/>
      <c r="R46" s="7">
        <f t="shared" si="33"/>
        <v>3.3262486821761716E-4</v>
      </c>
      <c r="S46" s="2"/>
      <c r="T46" s="6">
        <v>1410.53</v>
      </c>
      <c r="U46" s="2"/>
      <c r="V46" s="7">
        <f t="shared" si="34"/>
        <v>3.7144682003253709E-4</v>
      </c>
      <c r="W46" s="2"/>
      <c r="X46" s="6">
        <f t="shared" si="35"/>
        <v>-284.77999999999997</v>
      </c>
      <c r="Y46" s="2"/>
      <c r="Z46" s="7">
        <f t="shared" si="36"/>
        <v>-0.20189574131709356</v>
      </c>
    </row>
    <row r="47" spans="1:26" s="25" customFormat="1" outlineLevel="1" collapsed="1" x14ac:dyDescent="0.25">
      <c r="A47" s="26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0</v>
      </c>
      <c r="E47" s="1"/>
      <c r="F47" s="5">
        <f t="shared" si="29"/>
        <v>0</v>
      </c>
      <c r="G47" s="1"/>
      <c r="H47" s="1">
        <f>SUM(OSRRefH22_5x_0)</f>
        <v>3907.27</v>
      </c>
      <c r="I47" s="1"/>
      <c r="J47" s="5">
        <f t="shared" si="30"/>
        <v>8.7137171906169521E-3</v>
      </c>
      <c r="K47" s="1"/>
      <c r="L47" s="1">
        <f t="shared" si="31"/>
        <v>-3907.27</v>
      </c>
      <c r="M47" s="1"/>
      <c r="N47" s="5">
        <f t="shared" si="32"/>
        <v>-1</v>
      </c>
      <c r="O47" s="13"/>
      <c r="P47" s="1">
        <f>SUM(OSRRefP22_5x_0)</f>
        <v>26858.9</v>
      </c>
      <c r="Q47" s="1"/>
      <c r="R47" s="5">
        <f t="shared" si="33"/>
        <v>7.9359876286654758E-3</v>
      </c>
      <c r="S47" s="1"/>
      <c r="T47" s="1">
        <f>SUM(OSRRefT22_5x_0)</f>
        <v>28085.360000000001</v>
      </c>
      <c r="U47" s="1"/>
      <c r="V47" s="5">
        <f t="shared" si="34"/>
        <v>7.3959558899626496E-3</v>
      </c>
      <c r="W47" s="1"/>
      <c r="X47" s="1">
        <f t="shared" si="35"/>
        <v>-1226.4599999999991</v>
      </c>
      <c r="Y47" s="1"/>
      <c r="Z47" s="5">
        <f t="shared" si="36"/>
        <v>-4.3669014746472862E-2</v>
      </c>
    </row>
    <row r="48" spans="1:26" s="24" customFormat="1" hidden="1" outlineLevel="2" x14ac:dyDescent="0.25">
      <c r="A48" s="27"/>
      <c r="B48" s="11" t="str">
        <f>CONCATENATE("          ", "6399", " - ", "DONATION-ON CAMPUS")</f>
        <v xml:space="preserve">          6399 - DONATION-ON CAMPUS</v>
      </c>
      <c r="C48" s="11"/>
      <c r="D48" s="6"/>
      <c r="E48" s="2"/>
      <c r="F48" s="7">
        <f t="shared" si="29"/>
        <v>0</v>
      </c>
      <c r="G48" s="2"/>
      <c r="H48" s="6">
        <v>3907.27</v>
      </c>
      <c r="I48" s="2"/>
      <c r="J48" s="7">
        <f t="shared" si="30"/>
        <v>8.7137171906169521E-3</v>
      </c>
      <c r="K48" s="2"/>
      <c r="L48" s="6">
        <f t="shared" si="31"/>
        <v>-3907.27</v>
      </c>
      <c r="M48" s="2"/>
      <c r="N48" s="7">
        <f t="shared" si="32"/>
        <v>-1</v>
      </c>
      <c r="O48" s="11"/>
      <c r="P48" s="6">
        <v>26858.9</v>
      </c>
      <c r="Q48" s="2"/>
      <c r="R48" s="7">
        <f t="shared" si="33"/>
        <v>7.9359876286654758E-3</v>
      </c>
      <c r="S48" s="2"/>
      <c r="T48" s="6">
        <v>28085.360000000001</v>
      </c>
      <c r="U48" s="2"/>
      <c r="V48" s="7">
        <f t="shared" si="34"/>
        <v>7.3959558899626496E-3</v>
      </c>
      <c r="W48" s="2"/>
      <c r="X48" s="6">
        <f t="shared" si="35"/>
        <v>-1226.4599999999991</v>
      </c>
      <c r="Y48" s="2"/>
      <c r="Z48" s="7">
        <f t="shared" si="36"/>
        <v>-4.3669014746472862E-2</v>
      </c>
    </row>
    <row r="49" spans="1:26" s="25" customFormat="1" outlineLevel="1" collapsed="1" x14ac:dyDescent="0.25">
      <c r="A49" s="26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3"/>
      <c r="P49" s="1">
        <f>SUM(OSRRefP22_6x_0)</f>
        <v>1564</v>
      </c>
      <c r="Q49" s="1"/>
      <c r="R49" s="5">
        <f t="shared" si="33"/>
        <v>4.6211440718841066E-4</v>
      </c>
      <c r="S49" s="1"/>
      <c r="T49" s="1">
        <f>SUM(OSRRefT22_6x_0)</f>
        <v>711.81</v>
      </c>
      <c r="U49" s="1"/>
      <c r="V49" s="5">
        <f t="shared" si="34"/>
        <v>1.8744696033927687E-4</v>
      </c>
      <c r="W49" s="1"/>
      <c r="X49" s="1">
        <f t="shared" si="35"/>
        <v>852.19</v>
      </c>
      <c r="Y49" s="1"/>
      <c r="Z49" s="5">
        <f t="shared" si="36"/>
        <v>1.1972155490931571</v>
      </c>
    </row>
    <row r="50" spans="1:26" s="24" customFormat="1" hidden="1" outlineLevel="2" x14ac:dyDescent="0.25">
      <c r="A50" s="27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1"/>
      <c r="P50" s="6">
        <v>1564</v>
      </c>
      <c r="Q50" s="2"/>
      <c r="R50" s="7">
        <f t="shared" si="33"/>
        <v>4.6211440718841066E-4</v>
      </c>
      <c r="S50" s="2"/>
      <c r="T50" s="6">
        <v>711.81</v>
      </c>
      <c r="U50" s="2"/>
      <c r="V50" s="7">
        <f t="shared" si="34"/>
        <v>1.8744696033927687E-4</v>
      </c>
      <c r="W50" s="2"/>
      <c r="X50" s="6">
        <f t="shared" si="35"/>
        <v>852.19</v>
      </c>
      <c r="Y50" s="2"/>
      <c r="Z50" s="7">
        <f t="shared" si="36"/>
        <v>1.1972155490931571</v>
      </c>
    </row>
    <row r="51" spans="1:26" s="25" customFormat="1" outlineLevel="1" collapsed="1" x14ac:dyDescent="0.25">
      <c r="A51" s="26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91.26</v>
      </c>
      <c r="E51" s="1"/>
      <c r="F51" s="5">
        <f t="shared" si="29"/>
        <v>0</v>
      </c>
      <c r="G51" s="1"/>
      <c r="H51" s="1">
        <f>SUM(OSRRefH22_7x_0)</f>
        <v>293.51</v>
      </c>
      <c r="I51" s="1"/>
      <c r="J51" s="5">
        <f t="shared" si="30"/>
        <v>6.545652418742451E-4</v>
      </c>
      <c r="K51" s="1"/>
      <c r="L51" s="1">
        <f t="shared" si="31"/>
        <v>-202.25</v>
      </c>
      <c r="M51" s="1"/>
      <c r="N51" s="5">
        <f t="shared" si="32"/>
        <v>-0.68907362611154643</v>
      </c>
      <c r="O51" s="13"/>
      <c r="P51" s="1">
        <f>SUM(OSRRefP22_7x_0)</f>
        <v>2665.97</v>
      </c>
      <c r="Q51" s="1"/>
      <c r="R51" s="5">
        <f t="shared" si="33"/>
        <v>7.8771300903586125E-4</v>
      </c>
      <c r="S51" s="1"/>
      <c r="T51" s="1">
        <f>SUM(OSRRefT22_7x_0)</f>
        <v>2338.8000000000002</v>
      </c>
      <c r="U51" s="1"/>
      <c r="V51" s="5">
        <f t="shared" si="34"/>
        <v>6.1589602680701418E-4</v>
      </c>
      <c r="W51" s="1"/>
      <c r="X51" s="1">
        <f t="shared" si="35"/>
        <v>327.16999999999962</v>
      </c>
      <c r="Y51" s="1"/>
      <c r="Z51" s="5">
        <f t="shared" si="36"/>
        <v>0.13988797674020848</v>
      </c>
    </row>
    <row r="52" spans="1:26" s="24" customFormat="1" hidden="1" outlineLevel="2" x14ac:dyDescent="0.25">
      <c r="A52" s="27"/>
      <c r="B52" s="11" t="str">
        <f>CONCATENATE("          ", "6351", " - ", "EQUIPMENT RENTAL")</f>
        <v xml:space="preserve">          6351 - EQUIPMENT RENTAL</v>
      </c>
      <c r="C52" s="11"/>
      <c r="D52" s="6">
        <v>91.26</v>
      </c>
      <c r="E52" s="2"/>
      <c r="F52" s="7">
        <f t="shared" si="29"/>
        <v>0</v>
      </c>
      <c r="G52" s="2"/>
      <c r="H52" s="6">
        <v>293.51</v>
      </c>
      <c r="I52" s="2"/>
      <c r="J52" s="7">
        <f t="shared" si="30"/>
        <v>6.545652418742451E-4</v>
      </c>
      <c r="K52" s="2"/>
      <c r="L52" s="6">
        <f t="shared" si="31"/>
        <v>-202.25</v>
      </c>
      <c r="M52" s="2"/>
      <c r="N52" s="7">
        <f t="shared" si="32"/>
        <v>-0.68907362611154643</v>
      </c>
      <c r="O52" s="11"/>
      <c r="P52" s="6">
        <v>2665.97</v>
      </c>
      <c r="Q52" s="2"/>
      <c r="R52" s="7">
        <f t="shared" si="33"/>
        <v>7.8771300903586125E-4</v>
      </c>
      <c r="S52" s="2"/>
      <c r="T52" s="6">
        <v>2338.8000000000002</v>
      </c>
      <c r="U52" s="2"/>
      <c r="V52" s="7">
        <f t="shared" si="34"/>
        <v>6.1589602680701418E-4</v>
      </c>
      <c r="W52" s="2"/>
      <c r="X52" s="6">
        <f t="shared" si="35"/>
        <v>327.16999999999962</v>
      </c>
      <c r="Y52" s="2"/>
      <c r="Z52" s="7">
        <f t="shared" si="36"/>
        <v>0.13988797674020848</v>
      </c>
    </row>
    <row r="53" spans="1:26" s="25" customFormat="1" outlineLevel="1" collapsed="1" x14ac:dyDescent="0.25">
      <c r="A53" s="26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SUM(OSRRefD22_8x_0)</f>
        <v>0</v>
      </c>
      <c r="E53" s="1"/>
      <c r="F53" s="5">
        <f t="shared" si="29"/>
        <v>0</v>
      </c>
      <c r="G53" s="1"/>
      <c r="H53" s="1">
        <f>SUM(OSRRefH22_8x_0)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SUM(OSRRefP22_8x_0)</f>
        <v>0</v>
      </c>
      <c r="Q53" s="1"/>
      <c r="R53" s="5">
        <f t="shared" si="33"/>
        <v>0</v>
      </c>
      <c r="S53" s="1"/>
      <c r="T53" s="1">
        <f>SUM(OSRRefT22_8x_0)</f>
        <v>7.4</v>
      </c>
      <c r="U53" s="1"/>
      <c r="V53" s="5">
        <f t="shared" si="34"/>
        <v>1.9487047196732963E-6</v>
      </c>
      <c r="W53" s="1"/>
      <c r="X53" s="1">
        <f t="shared" si="35"/>
        <v>-7.4</v>
      </c>
      <c r="Y53" s="1"/>
      <c r="Z53" s="5">
        <f t="shared" si="36"/>
        <v>-1</v>
      </c>
    </row>
    <row r="54" spans="1:26" s="24" customFormat="1" hidden="1" outlineLevel="2" x14ac:dyDescent="0.25">
      <c r="A54" s="27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/>
      <c r="Q54" s="2"/>
      <c r="R54" s="7">
        <f t="shared" si="33"/>
        <v>0</v>
      </c>
      <c r="S54" s="2"/>
      <c r="T54" s="6">
        <v>7.4</v>
      </c>
      <c r="U54" s="2"/>
      <c r="V54" s="7">
        <f t="shared" si="34"/>
        <v>1.9487047196732963E-6</v>
      </c>
      <c r="W54" s="2"/>
      <c r="X54" s="6">
        <f t="shared" si="35"/>
        <v>-7.4</v>
      </c>
      <c r="Y54" s="2"/>
      <c r="Z54" s="7">
        <f t="shared" si="36"/>
        <v>-1</v>
      </c>
    </row>
    <row r="55" spans="1:26" s="25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9"/>
        <v>0</v>
      </c>
      <c r="G55" s="1"/>
      <c r="H55" s="1">
        <f>SUM(OSRRefH22_9x_0)</f>
        <v>29</v>
      </c>
      <c r="I55" s="1"/>
      <c r="J55" s="5">
        <f t="shared" si="30"/>
        <v>6.4673748813849993E-5</v>
      </c>
      <c r="K55" s="1"/>
      <c r="L55" s="1">
        <f t="shared" si="31"/>
        <v>-29</v>
      </c>
      <c r="M55" s="1"/>
      <c r="N55" s="5">
        <f t="shared" si="32"/>
        <v>-1</v>
      </c>
      <c r="O55" s="13"/>
      <c r="P55" s="1">
        <f>SUM(OSRRefP22_9x_0)</f>
        <v>3224.62</v>
      </c>
      <c r="Q55" s="1"/>
      <c r="R55" s="5">
        <f t="shared" si="33"/>
        <v>9.5277708421220755E-4</v>
      </c>
      <c r="S55" s="1"/>
      <c r="T55" s="1">
        <f>SUM(OSRRefT22_9x_0)</f>
        <v>3158.4</v>
      </c>
      <c r="U55" s="1"/>
      <c r="V55" s="5">
        <f t="shared" si="34"/>
        <v>8.317282414346133E-4</v>
      </c>
      <c r="W55" s="1"/>
      <c r="X55" s="1">
        <f t="shared" si="35"/>
        <v>66.2199999999998</v>
      </c>
      <c r="Y55" s="1"/>
      <c r="Z55" s="5">
        <f t="shared" si="36"/>
        <v>2.0966312056737525E-2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>
        <v>29</v>
      </c>
      <c r="I56" s="2"/>
      <c r="J56" s="7">
        <f t="shared" si="30"/>
        <v>6.4673748813849993E-5</v>
      </c>
      <c r="K56" s="2"/>
      <c r="L56" s="6">
        <f t="shared" si="31"/>
        <v>-29</v>
      </c>
      <c r="M56" s="2"/>
      <c r="N56" s="7">
        <f t="shared" si="32"/>
        <v>-1</v>
      </c>
      <c r="O56" s="11"/>
      <c r="P56" s="6">
        <v>3224.62</v>
      </c>
      <c r="Q56" s="2"/>
      <c r="R56" s="7">
        <f t="shared" si="33"/>
        <v>9.5277708421220755E-4</v>
      </c>
      <c r="S56" s="2"/>
      <c r="T56" s="6">
        <v>3158.4</v>
      </c>
      <c r="U56" s="2"/>
      <c r="V56" s="7">
        <f t="shared" si="34"/>
        <v>8.317282414346133E-4</v>
      </c>
      <c r="W56" s="2"/>
      <c r="X56" s="6">
        <f t="shared" si="35"/>
        <v>66.2199999999998</v>
      </c>
      <c r="Y56" s="2"/>
      <c r="Z56" s="7">
        <f t="shared" si="36"/>
        <v>2.0966312056737525E-2</v>
      </c>
    </row>
    <row r="57" spans="1:26" s="25" customFormat="1" outlineLevel="1" collapsed="1" x14ac:dyDescent="0.25">
      <c r="A57" s="26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724.42</v>
      </c>
      <c r="E57" s="1"/>
      <c r="F57" s="5">
        <f t="shared" si="29"/>
        <v>0</v>
      </c>
      <c r="G57" s="1"/>
      <c r="H57" s="1">
        <f>SUM(OSRRefH22_10x_0)</f>
        <v>35559.769999999997</v>
      </c>
      <c r="I57" s="1"/>
      <c r="J57" s="5">
        <f t="shared" si="30"/>
        <v>7.930288389166476E-2</v>
      </c>
      <c r="K57" s="1"/>
      <c r="L57" s="1">
        <f t="shared" si="31"/>
        <v>-34835.35</v>
      </c>
      <c r="M57" s="1"/>
      <c r="N57" s="5">
        <f t="shared" si="32"/>
        <v>-0.97962810220651042</v>
      </c>
      <c r="O57" s="13"/>
      <c r="P57" s="1">
        <f>SUM(OSRRefP22_10x_0)</f>
        <v>265321.17</v>
      </c>
      <c r="Q57" s="1"/>
      <c r="R57" s="5">
        <f t="shared" si="33"/>
        <v>7.8394331962330893E-2</v>
      </c>
      <c r="S57" s="1"/>
      <c r="T57" s="1">
        <f>SUM(OSRRefT22_10x_0)</f>
        <v>296576.13</v>
      </c>
      <c r="U57" s="1"/>
      <c r="V57" s="5">
        <f t="shared" si="34"/>
        <v>7.8099905982897441E-2</v>
      </c>
      <c r="W57" s="1"/>
      <c r="X57" s="1">
        <f t="shared" si="35"/>
        <v>-31254.960000000021</v>
      </c>
      <c r="Y57" s="1"/>
      <c r="Z57" s="5">
        <f t="shared" si="36"/>
        <v>-0.10538595941622146</v>
      </c>
    </row>
    <row r="58" spans="1:26" s="24" customFormat="1" hidden="1" outlineLevel="2" x14ac:dyDescent="0.25">
      <c r="A58" s="27"/>
      <c r="B58" s="11" t="str">
        <f>CONCATENATE("          ", "6387", " - ", "COMMISSION DUE HOUSING")</f>
        <v xml:space="preserve">          6387 - COMMISSION DUE HOUSING</v>
      </c>
      <c r="C58" s="11"/>
      <c r="D58" s="6">
        <v>724.42</v>
      </c>
      <c r="E58" s="2"/>
      <c r="F58" s="7">
        <f t="shared" si="29"/>
        <v>0</v>
      </c>
      <c r="G58" s="2"/>
      <c r="H58" s="6">
        <v>35559.769999999997</v>
      </c>
      <c r="I58" s="2"/>
      <c r="J58" s="7">
        <f t="shared" si="30"/>
        <v>7.930288389166476E-2</v>
      </c>
      <c r="K58" s="2"/>
      <c r="L58" s="6">
        <f t="shared" si="31"/>
        <v>-34835.35</v>
      </c>
      <c r="M58" s="2"/>
      <c r="N58" s="7">
        <f t="shared" si="32"/>
        <v>-0.97962810220651042</v>
      </c>
      <c r="O58" s="11"/>
      <c r="P58" s="6">
        <v>265321.17</v>
      </c>
      <c r="Q58" s="2"/>
      <c r="R58" s="7">
        <f t="shared" si="33"/>
        <v>7.8394331962330893E-2</v>
      </c>
      <c r="S58" s="2"/>
      <c r="T58" s="6">
        <v>296576.13</v>
      </c>
      <c r="U58" s="2"/>
      <c r="V58" s="7">
        <f t="shared" si="34"/>
        <v>7.8099905982897441E-2</v>
      </c>
      <c r="W58" s="2"/>
      <c r="X58" s="6">
        <f t="shared" si="35"/>
        <v>-31254.960000000021</v>
      </c>
      <c r="Y58" s="2"/>
      <c r="Z58" s="7">
        <f t="shared" si="36"/>
        <v>-0.10538595941622146</v>
      </c>
    </row>
    <row r="59" spans="1:26" s="25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51.62</v>
      </c>
      <c r="E59" s="1"/>
      <c r="F59" s="5">
        <f t="shared" si="29"/>
        <v>0</v>
      </c>
      <c r="G59" s="1"/>
      <c r="H59" s="1">
        <f>SUM(OSRRefH22_11x_0)</f>
        <v>7.06</v>
      </c>
      <c r="I59" s="1"/>
      <c r="J59" s="5">
        <f t="shared" si="30"/>
        <v>1.5744712642268307E-5</v>
      </c>
      <c r="K59" s="1"/>
      <c r="L59" s="1">
        <f t="shared" si="31"/>
        <v>44.559999999999995</v>
      </c>
      <c r="M59" s="1"/>
      <c r="N59" s="5">
        <f t="shared" si="32"/>
        <v>6.3116147308781869</v>
      </c>
      <c r="O59" s="13"/>
      <c r="P59" s="1">
        <f>SUM(OSRRefP22_11x_0)</f>
        <v>9444.7099999999991</v>
      </c>
      <c r="Q59" s="1"/>
      <c r="R59" s="5">
        <f t="shared" si="33"/>
        <v>2.7906244007138451E-3</v>
      </c>
      <c r="S59" s="1"/>
      <c r="T59" s="1">
        <f>SUM(OSRRefT22_11x_0)</f>
        <v>11185.029999999999</v>
      </c>
      <c r="U59" s="1"/>
      <c r="V59" s="5">
        <f t="shared" si="34"/>
        <v>2.9454487500928926E-3</v>
      </c>
      <c r="W59" s="1"/>
      <c r="X59" s="1">
        <f t="shared" si="35"/>
        <v>-1740.3199999999997</v>
      </c>
      <c r="Y59" s="1"/>
      <c r="Z59" s="5">
        <f t="shared" si="36"/>
        <v>-0.15559368191234174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>
        <v>8238.75</v>
      </c>
      <c r="Q60" s="2"/>
      <c r="R60" s="7">
        <f t="shared" si="33"/>
        <v>2.4342999183014822E-3</v>
      </c>
      <c r="S60" s="2"/>
      <c r="T60" s="6">
        <v>8778.98</v>
      </c>
      <c r="U60" s="2"/>
      <c r="V60" s="7">
        <f t="shared" si="34"/>
        <v>2.3118432107996586E-3</v>
      </c>
      <c r="W60" s="2"/>
      <c r="X60" s="6">
        <f t="shared" si="35"/>
        <v>-540.22999999999956</v>
      </c>
      <c r="Y60" s="2"/>
      <c r="Z60" s="7">
        <f t="shared" si="36"/>
        <v>-6.1536761673907397E-2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1.62</v>
      </c>
      <c r="E61" s="2"/>
      <c r="F61" s="7">
        <f t="shared" si="29"/>
        <v>0</v>
      </c>
      <c r="G61" s="2"/>
      <c r="H61" s="6">
        <v>7.06</v>
      </c>
      <c r="I61" s="2"/>
      <c r="J61" s="7">
        <f t="shared" si="30"/>
        <v>1.5744712642268307E-5</v>
      </c>
      <c r="K61" s="2"/>
      <c r="L61" s="6">
        <f t="shared" si="31"/>
        <v>-5.4399999999999995</v>
      </c>
      <c r="M61" s="2"/>
      <c r="N61" s="7">
        <f t="shared" si="32"/>
        <v>-0.77053824362606227</v>
      </c>
      <c r="O61" s="11"/>
      <c r="P61" s="6">
        <v>298.55</v>
      </c>
      <c r="Q61" s="2"/>
      <c r="R61" s="7">
        <f t="shared" si="33"/>
        <v>8.8212440067838874E-5</v>
      </c>
      <c r="S61" s="2"/>
      <c r="T61" s="6">
        <v>303.51</v>
      </c>
      <c r="U61" s="2"/>
      <c r="V61" s="7">
        <f t="shared" si="34"/>
        <v>7.9925860738924611E-5</v>
      </c>
      <c r="W61" s="2"/>
      <c r="X61" s="6">
        <f t="shared" si="35"/>
        <v>-4.9599999999999795</v>
      </c>
      <c r="Y61" s="2"/>
      <c r="Z61" s="7">
        <f t="shared" si="36"/>
        <v>-1.634213040756476E-2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50</v>
      </c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50</v>
      </c>
      <c r="M62" s="2"/>
      <c r="N62" s="7">
        <f t="shared" si="32"/>
        <v>0</v>
      </c>
      <c r="O62" s="11"/>
      <c r="P62" s="6">
        <v>907.41</v>
      </c>
      <c r="Q62" s="2"/>
      <c r="R62" s="7">
        <f t="shared" si="33"/>
        <v>2.6811204234452408E-4</v>
      </c>
      <c r="S62" s="2"/>
      <c r="T62" s="6">
        <v>2102.54</v>
      </c>
      <c r="U62" s="2"/>
      <c r="V62" s="7">
        <f t="shared" si="34"/>
        <v>5.536796785543097E-4</v>
      </c>
      <c r="W62" s="2"/>
      <c r="X62" s="6">
        <f t="shared" si="35"/>
        <v>-1195.1300000000001</v>
      </c>
      <c r="Y62" s="2"/>
      <c r="Z62" s="7">
        <f t="shared" si="36"/>
        <v>-0.5684220038619956</v>
      </c>
    </row>
    <row r="63" spans="1:26" s="25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-821.36000000000013</v>
      </c>
      <c r="E63" s="1"/>
      <c r="F63" s="5">
        <f t="shared" ref="F63:F66" si="37">IF(D$12=0,0,D63/D$12)</f>
        <v>0</v>
      </c>
      <c r="G63" s="1"/>
      <c r="H63" s="1">
        <f>SUM(OSRRefH22_12x_0)</f>
        <v>5581.2800000000007</v>
      </c>
      <c r="I63" s="1"/>
      <c r="J63" s="5">
        <f t="shared" ref="J63:J66" si="38">IF(H$12=0,0,H63/H$12)</f>
        <v>1.2446975888957403E-2</v>
      </c>
      <c r="K63" s="1"/>
      <c r="L63" s="1">
        <f t="shared" ref="L63:L66" si="39">+D63-H63</f>
        <v>-6402.6400000000012</v>
      </c>
      <c r="M63" s="1"/>
      <c r="N63" s="5">
        <f t="shared" ref="N63:N66" si="40">IF(H63=0,0,L63/H63)</f>
        <v>-1.1471633747097441</v>
      </c>
      <c r="O63" s="13"/>
      <c r="P63" s="1">
        <f>SUM(OSRRefP22_12x_0)</f>
        <v>54719.43</v>
      </c>
      <c r="Q63" s="1"/>
      <c r="R63" s="5">
        <f t="shared" ref="R63:R66" si="41">IF(P$12=0,0,P63/P$12)</f>
        <v>1.6167926442543307E-2</v>
      </c>
      <c r="S63" s="1"/>
      <c r="T63" s="1">
        <f>SUM(OSRRefT22_12x_0)</f>
        <v>54414.350000000006</v>
      </c>
      <c r="U63" s="1"/>
      <c r="V63" s="5">
        <f t="shared" ref="V63:V66" si="42">IF(T$12=0,0,T63/T$12)</f>
        <v>1.4329391981480356E-2</v>
      </c>
      <c r="W63" s="1"/>
      <c r="X63" s="1">
        <f t="shared" ref="X63:X66" si="43">+P63-T63</f>
        <v>305.07999999999447</v>
      </c>
      <c r="Y63" s="1"/>
      <c r="Z63" s="5">
        <f t="shared" ref="Z63:Z66" si="44">IF(T63=0,0,X63/T63)</f>
        <v>5.6066092859694992E-3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421.34</v>
      </c>
      <c r="E64" s="2"/>
      <c r="F64" s="7">
        <f t="shared" si="37"/>
        <v>0</v>
      </c>
      <c r="G64" s="2"/>
      <c r="H64" s="6">
        <v>421.34</v>
      </c>
      <c r="I64" s="2"/>
      <c r="J64" s="7">
        <f t="shared" si="38"/>
        <v>9.3964266638715691E-4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4634.74</v>
      </c>
      <c r="Q64" s="2"/>
      <c r="R64" s="7">
        <f t="shared" si="41"/>
        <v>1.3694246339977074E-3</v>
      </c>
      <c r="S64" s="2"/>
      <c r="T64" s="6">
        <v>3806.18</v>
      </c>
      <c r="U64" s="2"/>
      <c r="V64" s="7">
        <f t="shared" si="42"/>
        <v>1.0023136391792034E-3</v>
      </c>
      <c r="W64" s="2"/>
      <c r="X64" s="6">
        <f t="shared" si="43"/>
        <v>828.56</v>
      </c>
      <c r="Y64" s="2"/>
      <c r="Z64" s="7">
        <f t="shared" si="44"/>
        <v>0.21768807570845308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6">
        <v>-1242.7</v>
      </c>
      <c r="E65" s="2"/>
      <c r="F65" s="7">
        <f t="shared" si="37"/>
        <v>0</v>
      </c>
      <c r="G65" s="2"/>
      <c r="H65" s="6">
        <v>3916.67</v>
      </c>
      <c r="I65" s="2"/>
      <c r="J65" s="7">
        <f t="shared" si="38"/>
        <v>8.7346804057497184E-3</v>
      </c>
      <c r="K65" s="2"/>
      <c r="L65" s="6">
        <f t="shared" si="39"/>
        <v>-5159.37</v>
      </c>
      <c r="M65" s="2"/>
      <c r="N65" s="7">
        <f t="shared" si="40"/>
        <v>-1.3172848363533307</v>
      </c>
      <c r="O65" s="11"/>
      <c r="P65" s="6">
        <v>38570.82</v>
      </c>
      <c r="Q65" s="2"/>
      <c r="R65" s="7">
        <f t="shared" si="41"/>
        <v>1.1396503592756325E-2</v>
      </c>
      <c r="S65" s="2"/>
      <c r="T65" s="6">
        <v>39818.060000000005</v>
      </c>
      <c r="U65" s="2"/>
      <c r="V65" s="7">
        <f t="shared" si="42"/>
        <v>1.0485627223004661E-2</v>
      </c>
      <c r="W65" s="2"/>
      <c r="X65" s="6">
        <f t="shared" si="43"/>
        <v>-1247.2400000000052</v>
      </c>
      <c r="Y65" s="2"/>
      <c r="Z65" s="7">
        <f t="shared" si="44"/>
        <v>-3.1323474825242746E-2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37"/>
        <v>0</v>
      </c>
      <c r="G66" s="2"/>
      <c r="H66" s="6">
        <v>1243.27</v>
      </c>
      <c r="I66" s="2"/>
      <c r="J66" s="7">
        <f t="shared" si="38"/>
        <v>2.7726528168205266E-3</v>
      </c>
      <c r="K66" s="2"/>
      <c r="L66" s="6">
        <f t="shared" si="39"/>
        <v>-1243.27</v>
      </c>
      <c r="M66" s="2"/>
      <c r="N66" s="7">
        <f t="shared" si="40"/>
        <v>-1</v>
      </c>
      <c r="O66" s="11"/>
      <c r="P66" s="6">
        <v>11513.87</v>
      </c>
      <c r="Q66" s="2"/>
      <c r="R66" s="7">
        <f t="shared" si="41"/>
        <v>3.4019982157892752E-3</v>
      </c>
      <c r="S66" s="2"/>
      <c r="T66" s="6">
        <v>10790.11</v>
      </c>
      <c r="U66" s="2"/>
      <c r="V66" s="7">
        <f t="shared" si="42"/>
        <v>2.8414511192964907E-3</v>
      </c>
      <c r="W66" s="2"/>
      <c r="X66" s="6">
        <f t="shared" si="43"/>
        <v>723.76000000000022</v>
      </c>
      <c r="Y66" s="2"/>
      <c r="Z66" s="7">
        <f t="shared" si="44"/>
        <v>6.7076239259840742E-2</v>
      </c>
    </row>
    <row r="67" spans="1:26" s="25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-103.42</v>
      </c>
      <c r="E67" s="1"/>
      <c r="F67" s="5">
        <f t="shared" ref="F67:F75" si="45">IF(D$12=0,0,D67/D$12)</f>
        <v>0</v>
      </c>
      <c r="G67" s="1"/>
      <c r="H67" s="1">
        <f>SUM(OSRRefH22_13x_0)</f>
        <v>8699.4700000000012</v>
      </c>
      <c r="I67" s="1"/>
      <c r="J67" s="5">
        <f t="shared" ref="J67:J75" si="46">IF(H$12=0,0,H67/H$12)</f>
        <v>1.9400942675642192E-2</v>
      </c>
      <c r="K67" s="1"/>
      <c r="L67" s="1">
        <f t="shared" ref="L67:L75" si="47">+D67-H67</f>
        <v>-8802.8900000000012</v>
      </c>
      <c r="M67" s="1"/>
      <c r="N67" s="5">
        <f t="shared" ref="N67:N75" si="48">IF(H67=0,0,L67/H67)</f>
        <v>-1.0118880805382398</v>
      </c>
      <c r="O67" s="13"/>
      <c r="P67" s="1">
        <f>SUM(OSRRefP22_13x_0)</f>
        <v>76941.84</v>
      </c>
      <c r="Q67" s="1"/>
      <c r="R67" s="5">
        <f t="shared" ref="R67:R75" si="49">IF(P$12=0,0,P67/P$12)</f>
        <v>2.27339723654639E-2</v>
      </c>
      <c r="S67" s="1"/>
      <c r="T67" s="1">
        <f>SUM(OSRRefT22_13x_0)</f>
        <v>86622.5</v>
      </c>
      <c r="U67" s="1"/>
      <c r="V67" s="5">
        <f t="shared" ref="V67:V75" si="50">IF(T$12=0,0,T67/T$12)</f>
        <v>2.2811037105391903E-2</v>
      </c>
      <c r="W67" s="1"/>
      <c r="X67" s="1">
        <f t="shared" ref="X67:X75" si="51">+P67-T67</f>
        <v>-9680.6600000000035</v>
      </c>
      <c r="Y67" s="1"/>
      <c r="Z67" s="5">
        <f t="shared" ref="Z67:Z75" si="52">IF(T67=0,0,X67/T67)</f>
        <v>-0.1117568761003204</v>
      </c>
    </row>
    <row r="68" spans="1:26" s="24" customFormat="1" hidden="1" outlineLevel="2" x14ac:dyDescent="0.2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118.34</v>
      </c>
      <c r="Q68" s="2"/>
      <c r="R68" s="7">
        <f t="shared" si="49"/>
        <v>3.4965868891736903E-5</v>
      </c>
      <c r="S68" s="2"/>
      <c r="T68" s="6"/>
      <c r="U68" s="2"/>
      <c r="V68" s="7">
        <f t="shared" si="50"/>
        <v>0</v>
      </c>
      <c r="W68" s="2"/>
      <c r="X68" s="6">
        <f t="shared" si="51"/>
        <v>118.34</v>
      </c>
      <c r="Y68" s="2"/>
      <c r="Z68" s="7">
        <f t="shared" si="52"/>
        <v>0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6">
        <v>-103.42</v>
      </c>
      <c r="E69" s="2"/>
      <c r="F69" s="7">
        <f t="shared" si="45"/>
        <v>0</v>
      </c>
      <c r="G69" s="2"/>
      <c r="H69" s="6">
        <v>3275.51</v>
      </c>
      <c r="I69" s="2"/>
      <c r="J69" s="7">
        <f t="shared" si="46"/>
        <v>7.3048107233535785E-3</v>
      </c>
      <c r="K69" s="2"/>
      <c r="L69" s="6">
        <f t="shared" si="47"/>
        <v>-3378.9300000000003</v>
      </c>
      <c r="M69" s="2"/>
      <c r="N69" s="7">
        <f t="shared" si="48"/>
        <v>-1.0315737091323183</v>
      </c>
      <c r="O69" s="11"/>
      <c r="P69" s="6">
        <v>34387.160000000003</v>
      </c>
      <c r="Q69" s="2"/>
      <c r="R69" s="7">
        <f t="shared" si="49"/>
        <v>1.0160359372310121E-2</v>
      </c>
      <c r="S69" s="2"/>
      <c r="T69" s="6">
        <v>39033.040000000001</v>
      </c>
      <c r="U69" s="2"/>
      <c r="V69" s="7">
        <f t="shared" si="50"/>
        <v>1.02789012528644E-2</v>
      </c>
      <c r="W69" s="2"/>
      <c r="X69" s="6">
        <f t="shared" si="51"/>
        <v>-4645.8799999999974</v>
      </c>
      <c r="Y69" s="2"/>
      <c r="Z69" s="7">
        <f t="shared" si="52"/>
        <v>-0.11902429326539765</v>
      </c>
    </row>
    <row r="70" spans="1:26" s="24" customFormat="1" hidden="1" outlineLevel="2" x14ac:dyDescent="0.25">
      <c r="A70" s="27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45"/>
        <v>0</v>
      </c>
      <c r="G70" s="2"/>
      <c r="H70" s="6">
        <v>1850.35</v>
      </c>
      <c r="I70" s="2"/>
      <c r="J70" s="7">
        <f t="shared" si="46"/>
        <v>4.1265196937140458E-3</v>
      </c>
      <c r="K70" s="2"/>
      <c r="L70" s="6">
        <f t="shared" si="47"/>
        <v>-1850.35</v>
      </c>
      <c r="M70" s="2"/>
      <c r="N70" s="7">
        <f t="shared" si="48"/>
        <v>-1</v>
      </c>
      <c r="O70" s="11"/>
      <c r="P70" s="6">
        <v>16573.400000000001</v>
      </c>
      <c r="Q70" s="2"/>
      <c r="R70" s="7">
        <f t="shared" si="49"/>
        <v>4.8969353683480854E-3</v>
      </c>
      <c r="S70" s="2"/>
      <c r="T70" s="6">
        <v>12521.44</v>
      </c>
      <c r="U70" s="2"/>
      <c r="V70" s="7">
        <f t="shared" si="50"/>
        <v>3.2973769223116215E-3</v>
      </c>
      <c r="W70" s="2"/>
      <c r="X70" s="6">
        <f t="shared" si="51"/>
        <v>4051.9600000000009</v>
      </c>
      <c r="Y70" s="2"/>
      <c r="Z70" s="7">
        <f t="shared" si="52"/>
        <v>0.32360175826422527</v>
      </c>
    </row>
    <row r="71" spans="1:26" s="24" customFormat="1" hidden="1" outlineLevel="2" x14ac:dyDescent="0.25">
      <c r="A71" s="27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45"/>
        <v>0</v>
      </c>
      <c r="G71" s="2"/>
      <c r="H71" s="6">
        <v>313.58999999999997</v>
      </c>
      <c r="I71" s="2"/>
      <c r="J71" s="7">
        <f t="shared" si="46"/>
        <v>6.9934623760466261E-4</v>
      </c>
      <c r="K71" s="2"/>
      <c r="L71" s="6">
        <f t="shared" si="47"/>
        <v>-313.58999999999997</v>
      </c>
      <c r="M71" s="2"/>
      <c r="N71" s="7">
        <f t="shared" si="48"/>
        <v>-1</v>
      </c>
      <c r="O71" s="11"/>
      <c r="P71" s="6">
        <v>3279.53</v>
      </c>
      <c r="Q71" s="2"/>
      <c r="R71" s="7">
        <f t="shared" si="49"/>
        <v>9.6900131829067034E-4</v>
      </c>
      <c r="S71" s="2"/>
      <c r="T71" s="6">
        <v>3259.4</v>
      </c>
      <c r="U71" s="2"/>
      <c r="V71" s="7">
        <f t="shared" si="50"/>
        <v>8.5832542747339745E-4</v>
      </c>
      <c r="W71" s="2"/>
      <c r="X71" s="6">
        <f t="shared" si="51"/>
        <v>20.130000000000109</v>
      </c>
      <c r="Y71" s="2"/>
      <c r="Z71" s="7">
        <f t="shared" si="52"/>
        <v>6.175983309811655E-3</v>
      </c>
    </row>
    <row r="72" spans="1:26" s="24" customFormat="1" hidden="1" outlineLevel="2" x14ac:dyDescent="0.25">
      <c r="A72" s="27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45"/>
        <v>0</v>
      </c>
      <c r="G72" s="2"/>
      <c r="H72" s="6">
        <v>3242.34</v>
      </c>
      <c r="I72" s="2"/>
      <c r="J72" s="7">
        <f t="shared" si="46"/>
        <v>7.2308373354861505E-3</v>
      </c>
      <c r="K72" s="2"/>
      <c r="L72" s="6">
        <f t="shared" si="47"/>
        <v>-3242.34</v>
      </c>
      <c r="M72" s="2"/>
      <c r="N72" s="7">
        <f t="shared" si="48"/>
        <v>-1</v>
      </c>
      <c r="O72" s="11"/>
      <c r="P72" s="6">
        <v>19420.62</v>
      </c>
      <c r="Q72" s="2"/>
      <c r="R72" s="7">
        <f t="shared" si="49"/>
        <v>5.738202236912654E-3</v>
      </c>
      <c r="S72" s="2"/>
      <c r="T72" s="6">
        <v>28703.919999999998</v>
      </c>
      <c r="U72" s="2"/>
      <c r="V72" s="7">
        <f t="shared" si="50"/>
        <v>7.5588465374492857E-3</v>
      </c>
      <c r="W72" s="2"/>
      <c r="X72" s="6">
        <f t="shared" si="51"/>
        <v>-9283.2999999999993</v>
      </c>
      <c r="Y72" s="2"/>
      <c r="Z72" s="7">
        <f t="shared" si="52"/>
        <v>-0.3234157564541707</v>
      </c>
    </row>
    <row r="73" spans="1:26" s="24" customFormat="1" hidden="1" outlineLevel="2" x14ac:dyDescent="0.25">
      <c r="A73" s="27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441</v>
      </c>
      <c r="Q73" s="2"/>
      <c r="R73" s="7">
        <f t="shared" si="49"/>
        <v>1.3030208028778074E-4</v>
      </c>
      <c r="S73" s="2"/>
      <c r="T73" s="6">
        <v>20.73</v>
      </c>
      <c r="U73" s="2"/>
      <c r="V73" s="7">
        <f t="shared" si="50"/>
        <v>5.4590065998415447E-6</v>
      </c>
      <c r="W73" s="2"/>
      <c r="X73" s="6">
        <f t="shared" si="51"/>
        <v>420.27</v>
      </c>
      <c r="Y73" s="2"/>
      <c r="Z73" s="7">
        <f t="shared" si="52"/>
        <v>20.273516642547033</v>
      </c>
    </row>
    <row r="74" spans="1:26" s="24" customFormat="1" hidden="1" outlineLevel="2" x14ac:dyDescent="0.25">
      <c r="A74" s="27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1"/>
      <c r="P74" s="6">
        <v>153.87</v>
      </c>
      <c r="Q74" s="2"/>
      <c r="R74" s="7">
        <f t="shared" si="49"/>
        <v>4.5463902707212753E-5</v>
      </c>
      <c r="S74" s="2"/>
      <c r="T74" s="6"/>
      <c r="U74" s="2"/>
      <c r="V74" s="7">
        <f t="shared" si="50"/>
        <v>0</v>
      </c>
      <c r="W74" s="2"/>
      <c r="X74" s="6">
        <f t="shared" si="51"/>
        <v>153.87</v>
      </c>
      <c r="Y74" s="2"/>
      <c r="Z74" s="7">
        <f t="shared" si="52"/>
        <v>0</v>
      </c>
    </row>
    <row r="75" spans="1:26" s="24" customFormat="1" hidden="1" outlineLevel="2" x14ac:dyDescent="0.25">
      <c r="A75" s="27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5"/>
        <v>0</v>
      </c>
      <c r="G75" s="2"/>
      <c r="H75" s="6">
        <v>17.68</v>
      </c>
      <c r="I75" s="2"/>
      <c r="J75" s="7">
        <f t="shared" si="46"/>
        <v>3.9428685483754058E-5</v>
      </c>
      <c r="K75" s="2"/>
      <c r="L75" s="6">
        <f t="shared" si="47"/>
        <v>-17.68</v>
      </c>
      <c r="M75" s="2"/>
      <c r="N75" s="7">
        <f t="shared" si="48"/>
        <v>-1</v>
      </c>
      <c r="O75" s="11"/>
      <c r="P75" s="6">
        <v>2567.92</v>
      </c>
      <c r="Q75" s="2"/>
      <c r="R75" s="7">
        <f t="shared" si="49"/>
        <v>7.587422177156416E-4</v>
      </c>
      <c r="S75" s="2"/>
      <c r="T75" s="6">
        <v>3083.97</v>
      </c>
      <c r="U75" s="2"/>
      <c r="V75" s="7">
        <f t="shared" si="50"/>
        <v>8.1212795869335869E-4</v>
      </c>
      <c r="W75" s="2"/>
      <c r="X75" s="6">
        <f t="shared" si="51"/>
        <v>-516.04999999999973</v>
      </c>
      <c r="Y75" s="2"/>
      <c r="Z75" s="7">
        <f t="shared" si="52"/>
        <v>-0.16733301556111108</v>
      </c>
    </row>
    <row r="76" spans="1:26" s="25" customFormat="1" outlineLevel="1" collapsed="1" x14ac:dyDescent="0.25">
      <c r="A76" s="26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265.7</v>
      </c>
      <c r="E76" s="1"/>
      <c r="F76" s="5">
        <f t="shared" ref="F76:F81" si="53">IF(D$12=0,0,D76/D$12)</f>
        <v>0</v>
      </c>
      <c r="G76" s="1"/>
      <c r="H76" s="1">
        <f>SUM(OSRRefH22_14x_0)</f>
        <v>264.05</v>
      </c>
      <c r="I76" s="1"/>
      <c r="J76" s="5">
        <f t="shared" ref="J76:J81" si="54">IF(H$12=0,0,H76/H$12)</f>
        <v>5.8886563359645139E-4</v>
      </c>
      <c r="K76" s="1"/>
      <c r="L76" s="1">
        <f t="shared" ref="L76:L81" si="55">+D76-H76</f>
        <v>1.6499999999999773</v>
      </c>
      <c r="M76" s="1"/>
      <c r="N76" s="5">
        <f t="shared" ref="N76:N81" si="56">IF(H76=0,0,L76/H76)</f>
        <v>6.2488165120241513E-3</v>
      </c>
      <c r="O76" s="13"/>
      <c r="P76" s="1">
        <f>SUM(OSRRefP22_14x_0)</f>
        <v>3024.35</v>
      </c>
      <c r="Q76" s="1"/>
      <c r="R76" s="5">
        <f t="shared" ref="R76:R81" si="57">IF(P$12=0,0,P76/P$12)</f>
        <v>8.9360339346564557E-4</v>
      </c>
      <c r="S76" s="1"/>
      <c r="T76" s="1">
        <f>SUM(OSRRefT22_14x_0)</f>
        <v>2332.1</v>
      </c>
      <c r="U76" s="1"/>
      <c r="V76" s="5">
        <f t="shared" ref="V76:V81" si="58">IF(T$12=0,0,T76/T$12)</f>
        <v>6.1413165902028297E-4</v>
      </c>
      <c r="W76" s="1"/>
      <c r="X76" s="1">
        <f t="shared" ref="X76:X81" si="59">+P76-T76</f>
        <v>692.25</v>
      </c>
      <c r="Y76" s="1"/>
      <c r="Z76" s="5">
        <f t="shared" ref="Z76:Z81" si="60">IF(T76=0,0,X76/T76)</f>
        <v>0.29683547017709361</v>
      </c>
    </row>
    <row r="77" spans="1:26" s="24" customFormat="1" hidden="1" outlineLevel="2" x14ac:dyDescent="0.25">
      <c r="A77" s="27"/>
      <c r="B77" s="11" t="str">
        <f>CONCATENATE("          ", "6309", " - ", "TELEPHONE")</f>
        <v xml:space="preserve">          6309 - TELEPHONE</v>
      </c>
      <c r="C77" s="11"/>
      <c r="D77" s="6">
        <v>265.7</v>
      </c>
      <c r="E77" s="2"/>
      <c r="F77" s="7">
        <f t="shared" si="53"/>
        <v>0</v>
      </c>
      <c r="G77" s="2"/>
      <c r="H77" s="6">
        <v>264.05</v>
      </c>
      <c r="I77" s="2"/>
      <c r="J77" s="7">
        <f t="shared" si="54"/>
        <v>5.8886563359645139E-4</v>
      </c>
      <c r="K77" s="2"/>
      <c r="L77" s="6">
        <f t="shared" si="55"/>
        <v>1.6499999999999773</v>
      </c>
      <c r="M77" s="2"/>
      <c r="N77" s="7">
        <f t="shared" si="56"/>
        <v>6.2488165120241513E-3</v>
      </c>
      <c r="O77" s="11"/>
      <c r="P77" s="6">
        <v>3024.35</v>
      </c>
      <c r="Q77" s="2"/>
      <c r="R77" s="7">
        <f t="shared" si="57"/>
        <v>8.9360339346564557E-4</v>
      </c>
      <c r="S77" s="2"/>
      <c r="T77" s="6">
        <v>2332.1</v>
      </c>
      <c r="U77" s="2"/>
      <c r="V77" s="7">
        <f t="shared" si="58"/>
        <v>6.1413165902028297E-4</v>
      </c>
      <c r="W77" s="2"/>
      <c r="X77" s="6">
        <f t="shared" si="59"/>
        <v>692.25</v>
      </c>
      <c r="Y77" s="2"/>
      <c r="Z77" s="7">
        <f t="shared" si="60"/>
        <v>0.29683547017709361</v>
      </c>
    </row>
    <row r="78" spans="1:26" s="25" customFormat="1" outlineLevel="1" collapsed="1" x14ac:dyDescent="0.25">
      <c r="A78" s="26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550.9</v>
      </c>
      <c r="I78" s="1"/>
      <c r="J78" s="5">
        <f t="shared" si="54"/>
        <v>1.2285782145362053E-3</v>
      </c>
      <c r="K78" s="1"/>
      <c r="L78" s="1">
        <f t="shared" si="55"/>
        <v>-550.9</v>
      </c>
      <c r="M78" s="1"/>
      <c r="N78" s="5">
        <f t="shared" si="56"/>
        <v>-1</v>
      </c>
      <c r="O78" s="13"/>
      <c r="P78" s="1">
        <f>SUM(OSRRefP22_15x_0)</f>
        <v>1112.43</v>
      </c>
      <c r="Q78" s="1"/>
      <c r="R78" s="5">
        <f t="shared" si="57"/>
        <v>3.2868921354770058E-4</v>
      </c>
      <c r="S78" s="1"/>
      <c r="T78" s="1">
        <f>SUM(OSRRefT22_15x_0)</f>
        <v>2041.9</v>
      </c>
      <c r="U78" s="1"/>
      <c r="V78" s="5">
        <f t="shared" si="58"/>
        <v>5.3771083339201398E-4</v>
      </c>
      <c r="W78" s="1"/>
      <c r="X78" s="1">
        <f t="shared" si="59"/>
        <v>-929.47</v>
      </c>
      <c r="Y78" s="1"/>
      <c r="Z78" s="5">
        <f t="shared" si="60"/>
        <v>-0.45519858954894948</v>
      </c>
    </row>
    <row r="79" spans="1:26" s="24" customFormat="1" hidden="1" outlineLevel="2" x14ac:dyDescent="0.25">
      <c r="A79" s="27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53"/>
        <v>0</v>
      </c>
      <c r="G79" s="2"/>
      <c r="H79" s="6">
        <v>550.9</v>
      </c>
      <c r="I79" s="2"/>
      <c r="J79" s="7">
        <f t="shared" si="54"/>
        <v>1.2285782145362053E-3</v>
      </c>
      <c r="K79" s="2"/>
      <c r="L79" s="6">
        <f t="shared" si="55"/>
        <v>-550.9</v>
      </c>
      <c r="M79" s="2"/>
      <c r="N79" s="7">
        <f t="shared" si="56"/>
        <v>-1</v>
      </c>
      <c r="O79" s="11"/>
      <c r="P79" s="6">
        <v>1112.43</v>
      </c>
      <c r="Q79" s="2"/>
      <c r="R79" s="7">
        <f t="shared" si="57"/>
        <v>3.2868921354770058E-4</v>
      </c>
      <c r="S79" s="2"/>
      <c r="T79" s="6">
        <v>2041.9</v>
      </c>
      <c r="U79" s="2"/>
      <c r="V79" s="7">
        <f t="shared" si="58"/>
        <v>5.3771083339201398E-4</v>
      </c>
      <c r="W79" s="2"/>
      <c r="X79" s="6">
        <f t="shared" si="59"/>
        <v>-929.47</v>
      </c>
      <c r="Y79" s="2"/>
      <c r="Z79" s="7">
        <f t="shared" si="60"/>
        <v>-0.45519858954894948</v>
      </c>
    </row>
    <row r="80" spans="1:26" s="25" customFormat="1" outlineLevel="1" collapsed="1" x14ac:dyDescent="0.25">
      <c r="A80" s="26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3"/>
        <v>0</v>
      </c>
      <c r="G80" s="1"/>
      <c r="H80" s="1">
        <f>SUM(OSRRefH22_16x_0)</f>
        <v>0</v>
      </c>
      <c r="I80" s="1"/>
      <c r="J80" s="5">
        <f t="shared" si="54"/>
        <v>0</v>
      </c>
      <c r="K80" s="1"/>
      <c r="L80" s="1">
        <f t="shared" si="55"/>
        <v>0</v>
      </c>
      <c r="M80" s="1"/>
      <c r="N80" s="5">
        <f t="shared" si="56"/>
        <v>0</v>
      </c>
      <c r="O80" s="13"/>
      <c r="P80" s="1">
        <f>SUM(OSRRefP22_16x_0)</f>
        <v>59.14</v>
      </c>
      <c r="Q80" s="1"/>
      <c r="R80" s="5">
        <f t="shared" si="57"/>
        <v>1.7474070358774046E-5</v>
      </c>
      <c r="S80" s="1"/>
      <c r="T80" s="1">
        <f>SUM(OSRRefT22_16x_0)</f>
        <v>0</v>
      </c>
      <c r="U80" s="1"/>
      <c r="V80" s="5">
        <f t="shared" si="58"/>
        <v>0</v>
      </c>
      <c r="W80" s="1"/>
      <c r="X80" s="1">
        <f t="shared" si="59"/>
        <v>59.14</v>
      </c>
      <c r="Y80" s="1"/>
      <c r="Z80" s="5">
        <f t="shared" si="60"/>
        <v>0</v>
      </c>
    </row>
    <row r="81" spans="1:26" s="24" customFormat="1" hidden="1" outlineLevel="2" x14ac:dyDescent="0.25">
      <c r="A81" s="27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>
        <v>59.14</v>
      </c>
      <c r="Q81" s="2"/>
      <c r="R81" s="7">
        <f t="shared" si="57"/>
        <v>1.7474070358774046E-5</v>
      </c>
      <c r="S81" s="2"/>
      <c r="T81" s="6"/>
      <c r="U81" s="2"/>
      <c r="V81" s="7">
        <f t="shared" si="58"/>
        <v>0</v>
      </c>
      <c r="W81" s="2"/>
      <c r="X81" s="6">
        <f t="shared" si="59"/>
        <v>59.14</v>
      </c>
      <c r="Y81" s="2"/>
      <c r="Z81" s="7">
        <f t="shared" si="60"/>
        <v>0</v>
      </c>
    </row>
    <row r="82" spans="1:26" s="53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1">
        <f>+D21-D23+D83</f>
        <v>-47281.89</v>
      </c>
      <c r="E85" s="14"/>
      <c r="F85" s="20">
        <f>IF(D$12=0,0,D85/D$12)</f>
        <v>0</v>
      </c>
      <c r="G85" s="14"/>
      <c r="H85" s="21">
        <f>+H21-H23+H83</f>
        <v>156162.68000000008</v>
      </c>
      <c r="I85" s="14"/>
      <c r="J85" s="20">
        <f>IF(H$12=0,0,H85/H$12)</f>
        <v>0.34826296346267727</v>
      </c>
      <c r="K85" s="15"/>
      <c r="L85" s="21">
        <f>+D85-H85</f>
        <v>-203444.57000000007</v>
      </c>
      <c r="M85" s="15"/>
      <c r="N85" s="20">
        <f>IF(H85=0,0,L85/H85)</f>
        <v>-1.3027733002532997</v>
      </c>
      <c r="O85" s="29"/>
      <c r="P85" s="21">
        <f>+P21-P23+P83</f>
        <v>882337.36999999988</v>
      </c>
      <c r="Q85" s="14"/>
      <c r="R85" s="20">
        <f>IF(P$12=0,0,P85/P$12)</f>
        <v>0.26070384314432948</v>
      </c>
      <c r="S85" s="14"/>
      <c r="T85" s="21">
        <f>+T21-T23+T83</f>
        <v>1091442.7699999996</v>
      </c>
      <c r="U85" s="14"/>
      <c r="V85" s="20">
        <f>IF(T$12=0,0,T85/T$12)</f>
        <v>0.28741887529085064</v>
      </c>
      <c r="W85" s="15"/>
      <c r="X85" s="21">
        <f>+P85-T85</f>
        <v>-209105.39999999967</v>
      </c>
      <c r="Y85" s="15"/>
      <c r="Z85" s="20">
        <f>IF(T85=0,0,X85/T85)</f>
        <v>-0.19158622490119182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21628.01</v>
      </c>
      <c r="E87" s="4"/>
      <c r="F87" s="12">
        <f>IF(D$12=0,0,D87/D$12)</f>
        <v>0</v>
      </c>
      <c r="G87" s="4"/>
      <c r="H87" s="4">
        <v>49917.97</v>
      </c>
      <c r="I87" s="4"/>
      <c r="J87" s="12">
        <f>IF(H$12=0,0,H87/H$12)</f>
        <v>0.11132352596818273</v>
      </c>
      <c r="K87" s="4"/>
      <c r="L87" s="4">
        <f>+D87-H87</f>
        <v>-28289.960000000003</v>
      </c>
      <c r="M87" s="4"/>
      <c r="N87" s="12">
        <f>IF(H87=0,0,L87/H87)</f>
        <v>-0.5667289755572994</v>
      </c>
      <c r="O87" s="10"/>
      <c r="P87" s="4">
        <v>384279.31</v>
      </c>
      <c r="Q87" s="4"/>
      <c r="R87" s="12">
        <f>IF(P$12=0,0,P87/P$12)</f>
        <v>0.11354284241395235</v>
      </c>
      <c r="S87" s="4"/>
      <c r="T87" s="4">
        <v>394771.6</v>
      </c>
      <c r="U87" s="4"/>
      <c r="V87" s="12">
        <f>IF(T$12=0,0,T87/T$12)</f>
        <v>0.10395855136661872</v>
      </c>
      <c r="W87" s="4"/>
      <c r="X87" s="4">
        <f>+P87-T87</f>
        <v>-10492.289999999979</v>
      </c>
      <c r="Y87" s="4"/>
      <c r="Z87" s="12">
        <f>IF(T87=0,0,X87/T87)</f>
        <v>-2.6578127707261565E-2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0">
        <f>+D85-D87</f>
        <v>-68909.899999999994</v>
      </c>
      <c r="E89" s="14"/>
      <c r="F89" s="36">
        <f>IF(D$12=0,0,D89/D$12)</f>
        <v>0</v>
      </c>
      <c r="G89" s="14"/>
      <c r="H89" s="30">
        <f>+H85-H87</f>
        <v>106244.71000000008</v>
      </c>
      <c r="I89" s="14"/>
      <c r="J89" s="36">
        <f>IF(H$12=0,0,H89/H$12)</f>
        <v>0.2369394374944945</v>
      </c>
      <c r="K89" s="15"/>
      <c r="L89" s="30">
        <f>D89-H89</f>
        <v>-175154.61000000007</v>
      </c>
      <c r="M89" s="15"/>
      <c r="N89" s="36">
        <f>IF(H89=0,0,L89/H89)</f>
        <v>-1.6485960571589864</v>
      </c>
      <c r="O89" s="29"/>
      <c r="P89" s="30">
        <f>+P85-P87</f>
        <v>498058.05999999988</v>
      </c>
      <c r="Q89" s="14"/>
      <c r="R89" s="36">
        <f>IF(P$12=0,0,P89/P$12)</f>
        <v>0.14716100073037711</v>
      </c>
      <c r="S89" s="14"/>
      <c r="T89" s="30">
        <f>+T85-T87</f>
        <v>696671.16999999958</v>
      </c>
      <c r="U89" s="14"/>
      <c r="V89" s="36">
        <f>IF(T$12=0,0,T89/T$12)</f>
        <v>0.18346032392423195</v>
      </c>
      <c r="W89" s="15"/>
      <c r="X89" s="30">
        <f>P89-T89</f>
        <v>-198613.10999999969</v>
      </c>
      <c r="Y89" s="15"/>
      <c r="Z89" s="36">
        <f>IF(T89=0,0,X89/T89)</f>
        <v>-0.28508874567035669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1">
        <f>SUM(D89:D91)</f>
        <v>-68909.899999999994</v>
      </c>
      <c r="E92" s="14"/>
      <c r="F92" s="32">
        <f>IF(D$12=0,0,D92/D$12)</f>
        <v>0</v>
      </c>
      <c r="G92" s="14"/>
      <c r="H92" s="31">
        <f>SUM(H89:H91)</f>
        <v>106244.71000000008</v>
      </c>
      <c r="I92" s="14"/>
      <c r="J92" s="32">
        <f>IF(H$12=0,0,H92/H$12)</f>
        <v>0.2369394374944945</v>
      </c>
      <c r="K92" s="15"/>
      <c r="L92" s="31">
        <f>+D92-H92</f>
        <v>-175154.61000000007</v>
      </c>
      <c r="M92" s="15"/>
      <c r="N92" s="32">
        <f>IF(H92=0,0,L92/H92)</f>
        <v>-1.6485960571589864</v>
      </c>
      <c r="O92" s="29"/>
      <c r="P92" s="31">
        <f>SUM(P89:P91)</f>
        <v>498058.05999999988</v>
      </c>
      <c r="Q92" s="14"/>
      <c r="R92" s="32">
        <f>IF(P$12=0,0,P92/P$12)</f>
        <v>0.14716100073037711</v>
      </c>
      <c r="S92" s="14"/>
      <c r="T92" s="31">
        <f>SUM(T89:T91)</f>
        <v>696671.16999999958</v>
      </c>
      <c r="U92" s="14"/>
      <c r="V92" s="32">
        <f>IF(T$12=0,0,T92/T$12)</f>
        <v>0.18346032392423195</v>
      </c>
      <c r="W92" s="15"/>
      <c r="X92" s="31">
        <f>+P92-T92</f>
        <v>-198613.10999999969</v>
      </c>
      <c r="Y92" s="15"/>
      <c r="Z92" s="32">
        <f>IF(T92=0,0,X92/T92)</f>
        <v>-0.28508874567035669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4">
        <v>43965.471506909722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9" t="s">
        <v>313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61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4:24" x14ac:dyDescent="0.25"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","445", " - ", "Central Park Coffee House")</f>
        <v>Department 445 - Central Park Coffee House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9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0</v>
      </c>
      <c r="E18" s="22"/>
      <c r="F18" s="35">
        <f t="shared" ref="F18:F20" si="0">IF(D$12=0,0,D18/D$12)</f>
        <v>0</v>
      </c>
      <c r="G18" s="22"/>
      <c r="H18" s="22">
        <f>SUM(OSRRefH22x_0)</f>
        <v>0</v>
      </c>
      <c r="I18" s="22"/>
      <c r="J18" s="35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5">
        <f t="shared" ref="N18:N20" si="3">IF(H18=0,0,L18/H18)</f>
        <v>0</v>
      </c>
      <c r="O18" s="10"/>
      <c r="P18" s="22">
        <f>SUM(OSRRefP22x_0)</f>
        <v>0</v>
      </c>
      <c r="Q18" s="22"/>
      <c r="R18" s="35">
        <f t="shared" ref="R18:R20" si="4">IF(P$12=0,0,P18/P$12)</f>
        <v>0</v>
      </c>
      <c r="S18" s="22"/>
      <c r="T18" s="22">
        <f>SUM(OSRRefT22x_0)</f>
        <v>929.2</v>
      </c>
      <c r="U18" s="22"/>
      <c r="V18" s="35">
        <f t="shared" ref="V18:V20" si="5">IF(T$12=0,0,T18/T$12)</f>
        <v>0</v>
      </c>
      <c r="W18" s="4"/>
      <c r="X18" s="22">
        <f t="shared" ref="X18:X20" si="6">+P18-T18</f>
        <v>-929.2</v>
      </c>
      <c r="Y18" s="4"/>
      <c r="Z18" s="35">
        <f t="shared" ref="Z18:Z20" si="7">IF(T18=0,0,X18/T18)</f>
        <v>-1</v>
      </c>
    </row>
    <row r="19" spans="1:26" s="25" customFormat="1" outlineLevel="1" collapsed="1" x14ac:dyDescent="0.25">
      <c r="A19" s="26"/>
      <c r="B19" s="13" t="str">
        <f>CONCATENATE("     ","General                                           ")</f>
        <v xml:space="preserve">     General  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7"/>
      <c r="B20" s="11" t="str">
        <f>CONCATENATE("          ", "6279", " - ", "GENERAL EXPENSE")</f>
        <v xml:space="preserve">          6279 - GENERAL EXPENSE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929.2</v>
      </c>
      <c r="U20" s="2"/>
      <c r="V20" s="7">
        <f t="shared" si="5"/>
        <v>0</v>
      </c>
      <c r="W20" s="2"/>
      <c r="X20" s="6">
        <f t="shared" si="6"/>
        <v>-929.2</v>
      </c>
      <c r="Y20" s="2"/>
      <c r="Z20" s="7">
        <f t="shared" si="7"/>
        <v>-1</v>
      </c>
    </row>
    <row r="21" spans="1:26" s="53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3</v>
      </c>
      <c r="C24" s="28"/>
      <c r="D24" s="21">
        <f>+D16-D18+D22</f>
        <v>0</v>
      </c>
      <c r="E24" s="14"/>
      <c r="F24" s="20">
        <f>IF(D$12=0,0,D24/D$12)</f>
        <v>0</v>
      </c>
      <c r="G24" s="14"/>
      <c r="H24" s="21">
        <f>+H16-H18+H22</f>
        <v>0</v>
      </c>
      <c r="I24" s="14"/>
      <c r="J24" s="20">
        <f>IF(H$12=0,0,H24/H$12)</f>
        <v>0</v>
      </c>
      <c r="K24" s="15"/>
      <c r="L24" s="21">
        <f>+D24-H24</f>
        <v>0</v>
      </c>
      <c r="M24" s="15"/>
      <c r="N24" s="20">
        <f>IF(H24=0,0,L24/H24)</f>
        <v>0</v>
      </c>
      <c r="O24" s="29"/>
      <c r="P24" s="21">
        <f>+P16-P18+P22</f>
        <v>0</v>
      </c>
      <c r="Q24" s="14"/>
      <c r="R24" s="20">
        <f>IF(P$12=0,0,P24/P$12)</f>
        <v>0</v>
      </c>
      <c r="S24" s="14"/>
      <c r="T24" s="21">
        <f>+T16-T18+T22</f>
        <v>-929.2</v>
      </c>
      <c r="U24" s="14"/>
      <c r="V24" s="20">
        <f>IF(T$12=0,0,T24/T$12)</f>
        <v>0</v>
      </c>
      <c r="W24" s="15"/>
      <c r="X24" s="21">
        <f>+P24-T24</f>
        <v>929.2</v>
      </c>
      <c r="Y24" s="15"/>
      <c r="Z24" s="20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4</v>
      </c>
      <c r="C28" s="28"/>
      <c r="D28" s="30">
        <f>+D24-D26</f>
        <v>0</v>
      </c>
      <c r="E28" s="14"/>
      <c r="F28" s="36">
        <f>IF(D$12=0,0,D28/D$12)</f>
        <v>0</v>
      </c>
      <c r="G28" s="14"/>
      <c r="H28" s="30">
        <f>+H24-H26</f>
        <v>0</v>
      </c>
      <c r="I28" s="14"/>
      <c r="J28" s="36">
        <f>IF(H$12=0,0,H28/H$12)</f>
        <v>0</v>
      </c>
      <c r="K28" s="15"/>
      <c r="L28" s="30">
        <f>D28-H28</f>
        <v>0</v>
      </c>
      <c r="M28" s="15"/>
      <c r="N28" s="36">
        <f>IF(H28=0,0,L28/H28)</f>
        <v>0</v>
      </c>
      <c r="O28" s="29"/>
      <c r="P28" s="30">
        <f>+P24-P26</f>
        <v>0</v>
      </c>
      <c r="Q28" s="14"/>
      <c r="R28" s="36">
        <f>IF(P$12=0,0,P28/P$12)</f>
        <v>0</v>
      </c>
      <c r="S28" s="14"/>
      <c r="T28" s="30">
        <f>+T24-T26</f>
        <v>-929.2</v>
      </c>
      <c r="U28" s="14"/>
      <c r="V28" s="36">
        <f>IF(T$12=0,0,T28/T$12)</f>
        <v>0</v>
      </c>
      <c r="W28" s="15"/>
      <c r="X28" s="30">
        <f>P28-T28</f>
        <v>929.2</v>
      </c>
      <c r="Y28" s="15"/>
      <c r="Z28" s="36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1">
        <f>SUM(D28:D30)</f>
        <v>0</v>
      </c>
      <c r="E31" s="14"/>
      <c r="F31" s="32">
        <f>IF(D$12=0,0,D31/D$12)</f>
        <v>0</v>
      </c>
      <c r="G31" s="14"/>
      <c r="H31" s="31">
        <f>SUM(H28:H30)</f>
        <v>0</v>
      </c>
      <c r="I31" s="14"/>
      <c r="J31" s="32">
        <f>IF(H$12=0,0,H31/H$12)</f>
        <v>0</v>
      </c>
      <c r="K31" s="15"/>
      <c r="L31" s="31">
        <f>+D31-H31</f>
        <v>0</v>
      </c>
      <c r="M31" s="15"/>
      <c r="N31" s="32">
        <f>IF(H31=0,0,L31/H31)</f>
        <v>0</v>
      </c>
      <c r="O31" s="29"/>
      <c r="P31" s="31">
        <f>SUM(P28:P30)</f>
        <v>0</v>
      </c>
      <c r="Q31" s="14"/>
      <c r="R31" s="32">
        <f>IF(P$12=0,0,P31/P$12)</f>
        <v>0</v>
      </c>
      <c r="S31" s="14"/>
      <c r="T31" s="31">
        <f>SUM(T28:T30)</f>
        <v>-929.2</v>
      </c>
      <c r="U31" s="14"/>
      <c r="V31" s="32">
        <f>IF(T$12=0,0,T31/T$12)</f>
        <v>0</v>
      </c>
      <c r="W31" s="15"/>
      <c r="X31" s="31">
        <f>+P31-T31</f>
        <v>929.2</v>
      </c>
      <c r="Y31" s="15"/>
      <c r="Z31" s="32">
        <f>IF(T31=0,0,X31/T31)</f>
        <v>-1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4">
        <v>43965.471522685184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9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1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","450", " - ", "Beachside Dining Hall")</f>
        <v>Department 450 - Beachside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288700.21000000002</v>
      </c>
      <c r="I12" s="4"/>
      <c r="J12" s="12"/>
      <c r="K12" s="4"/>
      <c r="L12" s="4">
        <f t="shared" ref="L12:L15" si="0">+D12-H12</f>
        <v>-288700.21000000002</v>
      </c>
      <c r="M12" s="4"/>
      <c r="N12" s="12">
        <f t="shared" ref="N12:N15" si="1">IF(H12=0,0,L12/H12)</f>
        <v>-1</v>
      </c>
      <c r="O12" s="10"/>
      <c r="P12" s="4">
        <f>SUM(OSRRefP13x_0)</f>
        <v>1996380.34</v>
      </c>
      <c r="Q12" s="4"/>
      <c r="R12" s="12"/>
      <c r="S12" s="4"/>
      <c r="T12" s="4">
        <f>SUM(OSRRefT13x_0)</f>
        <v>2245999.2600000002</v>
      </c>
      <c r="U12" s="4"/>
      <c r="V12" s="12"/>
      <c r="W12" s="4"/>
      <c r="X12" s="4">
        <f t="shared" ref="X12:X15" si="2">+P12-T12</f>
        <v>-249618.92000000016</v>
      </c>
      <c r="Y12" s="4"/>
      <c r="Z12" s="12">
        <f t="shared" ref="Z12:Z15" si="3">IF(T12=0,0,X12/T12)</f>
        <v>-0.11113935985891649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--83.13</f>
        <v>83.13</v>
      </c>
      <c r="I13" s="2"/>
      <c r="J13" s="19"/>
      <c r="K13" s="2"/>
      <c r="L13" s="2">
        <f t="shared" si="0"/>
        <v>-83.13</v>
      </c>
      <c r="M13" s="2"/>
      <c r="N13" s="19">
        <f t="shared" si="1"/>
        <v>-1</v>
      </c>
      <c r="O13" s="11"/>
      <c r="P13" s="2">
        <f>--959.82</f>
        <v>959.82</v>
      </c>
      <c r="Q13" s="2"/>
      <c r="R13" s="19"/>
      <c r="S13" s="2"/>
      <c r="T13" s="2">
        <f>--865.48</f>
        <v>865.48</v>
      </c>
      <c r="U13" s="2"/>
      <c r="V13" s="19"/>
      <c r="W13" s="2"/>
      <c r="X13" s="2">
        <f t="shared" si="2"/>
        <v>94.340000000000032</v>
      </c>
      <c r="Y13" s="2"/>
      <c r="Z13" s="19">
        <f t="shared" si="3"/>
        <v>0.10900309654758057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--287671.26</f>
        <v>287671.26</v>
      </c>
      <c r="I14" s="2"/>
      <c r="J14" s="19"/>
      <c r="K14" s="2"/>
      <c r="L14" s="2">
        <f t="shared" si="0"/>
        <v>-287671.26</v>
      </c>
      <c r="M14" s="2"/>
      <c r="N14" s="19">
        <f t="shared" si="1"/>
        <v>-1</v>
      </c>
      <c r="O14" s="11"/>
      <c r="P14" s="2">
        <f>--1986254.12</f>
        <v>1986254.12</v>
      </c>
      <c r="Q14" s="2"/>
      <c r="R14" s="19"/>
      <c r="S14" s="2"/>
      <c r="T14" s="2">
        <f>--2236100.91</f>
        <v>2236100.91</v>
      </c>
      <c r="U14" s="2"/>
      <c r="V14" s="19"/>
      <c r="W14" s="2"/>
      <c r="X14" s="2">
        <f t="shared" si="2"/>
        <v>-249846.79000000004</v>
      </c>
      <c r="Y14" s="2"/>
      <c r="Z14" s="19">
        <f t="shared" si="3"/>
        <v>-0.11173323568836614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--945.82</f>
        <v>945.82</v>
      </c>
      <c r="I15" s="2"/>
      <c r="J15" s="19"/>
      <c r="K15" s="2"/>
      <c r="L15" s="2">
        <f t="shared" si="0"/>
        <v>-945.82</v>
      </c>
      <c r="M15" s="2"/>
      <c r="N15" s="19">
        <f t="shared" si="1"/>
        <v>-1</v>
      </c>
      <c r="O15" s="11"/>
      <c r="P15" s="2">
        <f>--9166.4</f>
        <v>9166.4</v>
      </c>
      <c r="Q15" s="2"/>
      <c r="R15" s="19"/>
      <c r="S15" s="2"/>
      <c r="T15" s="2">
        <f>--9032.87</f>
        <v>9032.8700000000008</v>
      </c>
      <c r="U15" s="2"/>
      <c r="V15" s="19"/>
      <c r="W15" s="2"/>
      <c r="X15" s="2">
        <f t="shared" si="2"/>
        <v>133.52999999999884</v>
      </c>
      <c r="Y15" s="2"/>
      <c r="Z15" s="19">
        <f t="shared" si="3"/>
        <v>1.4782677045058638E-2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-8792</v>
      </c>
      <c r="E17" s="4"/>
      <c r="F17" s="12">
        <f t="shared" ref="F17:F19" si="5">IF(D$12=0,0,D17/D$12)</f>
        <v>0</v>
      </c>
      <c r="G17" s="4"/>
      <c r="H17" s="4">
        <f>SUM(OSRRefH16x_0)</f>
        <v>62971.07</v>
      </c>
      <c r="I17" s="4"/>
      <c r="J17" s="12">
        <f t="shared" ref="J17:J19" si="6">IF(H$12=0,0,H17/H$12)</f>
        <v>0.21811923863858634</v>
      </c>
      <c r="K17" s="4"/>
      <c r="L17" s="4">
        <f t="shared" ref="L17:L19" si="7">+D17-H17</f>
        <v>-71763.070000000007</v>
      </c>
      <c r="M17" s="4"/>
      <c r="N17" s="12">
        <f t="shared" ref="N17:N19" si="8">IF(H17=0,0,L17/H17)</f>
        <v>-1.1396196697943994</v>
      </c>
      <c r="O17" s="10"/>
      <c r="P17" s="4">
        <f>SUM(OSRRefP16x_0)</f>
        <v>446039.54</v>
      </c>
      <c r="Q17" s="4"/>
      <c r="R17" s="12">
        <f t="shared" ref="R17:R19" si="9">IF(P$12=0,0,P17/P$12)</f>
        <v>0.22342412969264161</v>
      </c>
      <c r="S17" s="4"/>
      <c r="T17" s="4">
        <f>SUM(OSRRefT16x_0)</f>
        <v>484485.24000000005</v>
      </c>
      <c r="U17" s="4"/>
      <c r="V17" s="12">
        <f t="shared" ref="V17:V19" si="10">IF(T$12=0,0,T17/T$12)</f>
        <v>0.21571032930794465</v>
      </c>
      <c r="W17" s="4"/>
      <c r="X17" s="4">
        <f t="shared" ref="X17:X19" si="11">+P17-T17</f>
        <v>-38445.70000000007</v>
      </c>
      <c r="Y17" s="4"/>
      <c r="Z17" s="12">
        <f t="shared" ref="Z17:Z19" si="12">IF(T17=0,0,X17/T17)</f>
        <v>-7.9353707452470723E-2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60750.07</v>
      </c>
      <c r="I18" s="2"/>
      <c r="J18" s="19">
        <f t="shared" si="6"/>
        <v>0.21042613720301762</v>
      </c>
      <c r="K18" s="2"/>
      <c r="L18" s="2">
        <f t="shared" si="7"/>
        <v>-60750.07</v>
      </c>
      <c r="M18" s="2"/>
      <c r="N18" s="19">
        <f t="shared" si="8"/>
        <v>-1</v>
      </c>
      <c r="O18" s="11"/>
      <c r="P18" s="2">
        <v>437174.54</v>
      </c>
      <c r="Q18" s="2"/>
      <c r="R18" s="19">
        <f t="shared" si="9"/>
        <v>0.21898359307625717</v>
      </c>
      <c r="S18" s="2"/>
      <c r="T18" s="2">
        <v>488034.74000000005</v>
      </c>
      <c r="U18" s="2"/>
      <c r="V18" s="19">
        <f t="shared" si="10"/>
        <v>0.21729069492213457</v>
      </c>
      <c r="W18" s="2"/>
      <c r="X18" s="2">
        <f t="shared" si="11"/>
        <v>-50860.20000000007</v>
      </c>
      <c r="Y18" s="2"/>
      <c r="Z18" s="19">
        <f t="shared" si="12"/>
        <v>-0.10421430244904301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-8792</v>
      </c>
      <c r="E19" s="2"/>
      <c r="F19" s="19">
        <f t="shared" si="5"/>
        <v>0</v>
      </c>
      <c r="G19" s="2"/>
      <c r="H19" s="2">
        <v>2221</v>
      </c>
      <c r="I19" s="2"/>
      <c r="J19" s="19">
        <f t="shared" si="6"/>
        <v>7.6931014355687511E-3</v>
      </c>
      <c r="K19" s="2"/>
      <c r="L19" s="2">
        <f t="shared" si="7"/>
        <v>-11013</v>
      </c>
      <c r="M19" s="2"/>
      <c r="N19" s="19">
        <f t="shared" si="8"/>
        <v>-4.9585772174696086</v>
      </c>
      <c r="O19" s="11"/>
      <c r="P19" s="2">
        <v>8865</v>
      </c>
      <c r="Q19" s="2"/>
      <c r="R19" s="19">
        <f t="shared" si="9"/>
        <v>4.4405366163844306E-3</v>
      </c>
      <c r="S19" s="2"/>
      <c r="T19" s="2">
        <v>-3549.5</v>
      </c>
      <c r="U19" s="2"/>
      <c r="V19" s="19">
        <f t="shared" si="10"/>
        <v>-1.5803656141899173E-3</v>
      </c>
      <c r="W19" s="2"/>
      <c r="X19" s="2">
        <f t="shared" si="11"/>
        <v>12414.5</v>
      </c>
      <c r="Y19" s="2"/>
      <c r="Z19" s="19">
        <f t="shared" si="12"/>
        <v>-3.4975348640653614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8792</v>
      </c>
      <c r="E21" s="14"/>
      <c r="F21" s="20">
        <f>IF(D$12=0,0,D21/D$12)</f>
        <v>0</v>
      </c>
      <c r="G21" s="14"/>
      <c r="H21" s="21">
        <f>H12-H17</f>
        <v>225729.14</v>
      </c>
      <c r="I21" s="14"/>
      <c r="J21" s="20">
        <f>IF(H$12=0,0,H21/H$12)</f>
        <v>0.7818807613614136</v>
      </c>
      <c r="K21" s="15"/>
      <c r="L21" s="21">
        <f>+D21-H21</f>
        <v>-216937.14</v>
      </c>
      <c r="M21" s="15"/>
      <c r="N21" s="20">
        <f>IF(H21=0,0,L21/H21)</f>
        <v>-0.96105066452652055</v>
      </c>
      <c r="O21" s="29"/>
      <c r="P21" s="21">
        <f>P12-P17</f>
        <v>1550340.8</v>
      </c>
      <c r="Q21" s="14"/>
      <c r="R21" s="20">
        <f>IF(P$12=0,0,P21/P$12)</f>
        <v>0.77657587030735831</v>
      </c>
      <c r="S21" s="14"/>
      <c r="T21" s="21">
        <f>T12-T17</f>
        <v>1761514.0200000003</v>
      </c>
      <c r="U21" s="14"/>
      <c r="V21" s="20">
        <f>IF(T$12=0,0,T21/T$12)</f>
        <v>0.78428967069205535</v>
      </c>
      <c r="W21" s="15"/>
      <c r="X21" s="21">
        <f>+P21-T21</f>
        <v>-211173.2200000002</v>
      </c>
      <c r="Y21" s="15"/>
      <c r="Z21" s="20">
        <f>IF(T21=0,0,X21/T21)</f>
        <v>-0.11988165725754495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SUM(OSRRefD22x_0)</f>
        <v>-8061.6799999999976</v>
      </c>
      <c r="E23" s="22"/>
      <c r="F23" s="35">
        <f t="shared" ref="F23:F33" si="13">IF(D$12=0,0,D23/D$12)</f>
        <v>0</v>
      </c>
      <c r="G23" s="22"/>
      <c r="H23" s="22">
        <f>SUM(OSRRefH22x_0)</f>
        <v>119558.21999999999</v>
      </c>
      <c r="I23" s="22"/>
      <c r="J23" s="35">
        <f t="shared" ref="J23:J33" si="14">IF(H$12=0,0,H23/H$12)</f>
        <v>0.41412585047998401</v>
      </c>
      <c r="K23" s="4"/>
      <c r="L23" s="22">
        <f t="shared" ref="L23:L33" si="15">+D23-H23</f>
        <v>-127619.89999999998</v>
      </c>
      <c r="M23" s="4"/>
      <c r="N23" s="35">
        <f t="shared" ref="N23:N33" si="16">IF(H23=0,0,L23/H23)</f>
        <v>-1.0674289061847859</v>
      </c>
      <c r="O23" s="10"/>
      <c r="P23" s="22">
        <f>SUM(OSRRefP22x_0)</f>
        <v>1155716.6000000003</v>
      </c>
      <c r="Q23" s="22"/>
      <c r="R23" s="35">
        <f t="shared" ref="R23:R33" si="17">IF(P$12=0,0,P23/P$12)</f>
        <v>0.57890602148486414</v>
      </c>
      <c r="S23" s="22"/>
      <c r="T23" s="22">
        <f>SUM(OSRRefT22x_0)</f>
        <v>1099022.6200000001</v>
      </c>
      <c r="U23" s="22"/>
      <c r="V23" s="35">
        <f t="shared" ref="V23:V33" si="18">IF(T$12=0,0,T23/T$12)</f>
        <v>0.48932456905618038</v>
      </c>
      <c r="W23" s="4"/>
      <c r="X23" s="22">
        <f t="shared" ref="X23:X33" si="19">+P23-T23</f>
        <v>56693.980000000214</v>
      </c>
      <c r="Y23" s="4"/>
      <c r="Z23" s="35">
        <f t="shared" ref="Z23:Z33" si="20">IF(T23=0,0,X23/T23)</f>
        <v>5.1585817223671164E-2</v>
      </c>
    </row>
    <row r="24" spans="1:26" s="25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-28710.289999999997</v>
      </c>
      <c r="E24" s="1"/>
      <c r="F24" s="5">
        <f t="shared" si="13"/>
        <v>0</v>
      </c>
      <c r="G24" s="1"/>
      <c r="H24" s="1">
        <f>SUM(OSRRefH22_0x_0)</f>
        <v>22140.859999999993</v>
      </c>
      <c r="I24" s="1"/>
      <c r="J24" s="5">
        <f t="shared" si="14"/>
        <v>7.6691527172772028E-2</v>
      </c>
      <c r="K24" s="1"/>
      <c r="L24" s="1">
        <f t="shared" si="15"/>
        <v>-50851.149999999994</v>
      </c>
      <c r="M24" s="1"/>
      <c r="N24" s="5">
        <f t="shared" si="16"/>
        <v>-2.2967106968744671</v>
      </c>
      <c r="O24" s="13"/>
      <c r="P24" s="1">
        <f>SUM(OSRRefP22_0x_0)</f>
        <v>222974.41000000003</v>
      </c>
      <c r="Q24" s="1"/>
      <c r="R24" s="5">
        <f t="shared" si="17"/>
        <v>0.11168934372495375</v>
      </c>
      <c r="S24" s="1"/>
      <c r="T24" s="1">
        <f>SUM(OSRRefT22_0x_0)</f>
        <v>236504.96000000002</v>
      </c>
      <c r="U24" s="1"/>
      <c r="V24" s="5">
        <f t="shared" si="18"/>
        <v>0.10530055116759032</v>
      </c>
      <c r="W24" s="1"/>
      <c r="X24" s="1">
        <f t="shared" si="19"/>
        <v>-13530.549999999988</v>
      </c>
      <c r="Y24" s="1"/>
      <c r="Z24" s="5">
        <f t="shared" si="20"/>
        <v>-5.7210428060367052E-2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6">
        <v>2427.11</v>
      </c>
      <c r="E25" s="2"/>
      <c r="F25" s="7">
        <f t="shared" si="13"/>
        <v>0</v>
      </c>
      <c r="G25" s="2"/>
      <c r="H25" s="6">
        <v>2827.97</v>
      </c>
      <c r="I25" s="2"/>
      <c r="J25" s="7">
        <f t="shared" si="14"/>
        <v>9.795524568548113E-3</v>
      </c>
      <c r="K25" s="2"/>
      <c r="L25" s="6">
        <f t="shared" si="15"/>
        <v>-400.85999999999967</v>
      </c>
      <c r="M25" s="2"/>
      <c r="N25" s="7">
        <f t="shared" si="16"/>
        <v>-0.14174832123395922</v>
      </c>
      <c r="O25" s="11"/>
      <c r="P25" s="6">
        <v>38583.25</v>
      </c>
      <c r="Q25" s="2"/>
      <c r="R25" s="7">
        <f t="shared" si="17"/>
        <v>1.9326602865664365E-2</v>
      </c>
      <c r="S25" s="2"/>
      <c r="T25" s="6">
        <v>30127.119999999999</v>
      </c>
      <c r="U25" s="2"/>
      <c r="V25" s="7">
        <f t="shared" si="18"/>
        <v>1.3413682068621873E-2</v>
      </c>
      <c r="W25" s="2"/>
      <c r="X25" s="6">
        <f t="shared" si="19"/>
        <v>8456.130000000001</v>
      </c>
      <c r="Y25" s="2"/>
      <c r="Z25" s="7">
        <f t="shared" si="20"/>
        <v>0.2806816582534275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760.55</v>
      </c>
      <c r="E26" s="2"/>
      <c r="F26" s="7">
        <f t="shared" si="13"/>
        <v>0</v>
      </c>
      <c r="G26" s="2"/>
      <c r="H26" s="6">
        <v>2023.63</v>
      </c>
      <c r="I26" s="2"/>
      <c r="J26" s="7">
        <f t="shared" si="14"/>
        <v>7.0094510842233192E-3</v>
      </c>
      <c r="K26" s="2"/>
      <c r="L26" s="6">
        <f t="shared" si="15"/>
        <v>-1263.0800000000002</v>
      </c>
      <c r="M26" s="2"/>
      <c r="N26" s="7">
        <f t="shared" si="16"/>
        <v>-0.62416548479712208</v>
      </c>
      <c r="O26" s="11"/>
      <c r="P26" s="6">
        <v>23165.27</v>
      </c>
      <c r="Q26" s="2"/>
      <c r="R26" s="7">
        <f t="shared" si="17"/>
        <v>1.1603635607832122E-2</v>
      </c>
      <c r="S26" s="2"/>
      <c r="T26" s="6">
        <v>18940.54</v>
      </c>
      <c r="U26" s="2"/>
      <c r="V26" s="7">
        <f t="shared" si="18"/>
        <v>8.4330125736550767E-3</v>
      </c>
      <c r="W26" s="2"/>
      <c r="X26" s="6">
        <f t="shared" si="19"/>
        <v>4224.7299999999996</v>
      </c>
      <c r="Y26" s="2"/>
      <c r="Z26" s="7">
        <f t="shared" si="20"/>
        <v>0.22305224666244994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6">
        <v>12616.93</v>
      </c>
      <c r="E27" s="2"/>
      <c r="F27" s="7">
        <f t="shared" si="13"/>
        <v>0</v>
      </c>
      <c r="G27" s="2"/>
      <c r="H27" s="6">
        <v>11698.26</v>
      </c>
      <c r="I27" s="2"/>
      <c r="J27" s="7">
        <f t="shared" si="14"/>
        <v>4.0520441602726921E-2</v>
      </c>
      <c r="K27" s="2"/>
      <c r="L27" s="6">
        <f t="shared" si="15"/>
        <v>918.67000000000007</v>
      </c>
      <c r="M27" s="2"/>
      <c r="N27" s="7">
        <f t="shared" si="16"/>
        <v>7.853048231104455E-2</v>
      </c>
      <c r="O27" s="11"/>
      <c r="P27" s="6">
        <v>142432.07</v>
      </c>
      <c r="Q27" s="2"/>
      <c r="R27" s="7">
        <f t="shared" si="17"/>
        <v>7.1345157606591131E-2</v>
      </c>
      <c r="S27" s="2"/>
      <c r="T27" s="6">
        <v>122292.74</v>
      </c>
      <c r="U27" s="2"/>
      <c r="V27" s="7">
        <f t="shared" si="18"/>
        <v>5.4449145277100403E-2</v>
      </c>
      <c r="W27" s="2"/>
      <c r="X27" s="6">
        <f t="shared" si="19"/>
        <v>20139.330000000002</v>
      </c>
      <c r="Y27" s="2"/>
      <c r="Z27" s="7">
        <f t="shared" si="20"/>
        <v>0.16468132122969853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54.73</v>
      </c>
      <c r="E28" s="2"/>
      <c r="F28" s="7">
        <f t="shared" si="13"/>
        <v>0</v>
      </c>
      <c r="G28" s="2"/>
      <c r="H28" s="6">
        <v>150.28</v>
      </c>
      <c r="I28" s="2"/>
      <c r="J28" s="7">
        <f t="shared" si="14"/>
        <v>5.2053997466783969E-4</v>
      </c>
      <c r="K28" s="2"/>
      <c r="L28" s="6">
        <f t="shared" si="15"/>
        <v>-95.550000000000011</v>
      </c>
      <c r="M28" s="2"/>
      <c r="N28" s="7">
        <f t="shared" si="16"/>
        <v>-0.63581314878892736</v>
      </c>
      <c r="O28" s="11"/>
      <c r="P28" s="6">
        <v>1817.04</v>
      </c>
      <c r="Q28" s="2"/>
      <c r="R28" s="7">
        <f t="shared" si="17"/>
        <v>9.1016724799043041E-4</v>
      </c>
      <c r="S28" s="2"/>
      <c r="T28" s="6">
        <v>1608.14</v>
      </c>
      <c r="U28" s="2"/>
      <c r="V28" s="7">
        <f t="shared" si="18"/>
        <v>7.1600201684839375E-4</v>
      </c>
      <c r="W28" s="2"/>
      <c r="X28" s="6">
        <f t="shared" si="19"/>
        <v>208.89999999999986</v>
      </c>
      <c r="Y28" s="2"/>
      <c r="Z28" s="7">
        <f t="shared" si="20"/>
        <v>0.12990162548036854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6">
        <v>2022.13</v>
      </c>
      <c r="E29" s="2"/>
      <c r="F29" s="7">
        <f t="shared" si="13"/>
        <v>0</v>
      </c>
      <c r="G29" s="2"/>
      <c r="H29" s="6">
        <v>857.67</v>
      </c>
      <c r="I29" s="2"/>
      <c r="J29" s="7">
        <f t="shared" si="14"/>
        <v>2.9707979775975913E-3</v>
      </c>
      <c r="K29" s="2"/>
      <c r="L29" s="6">
        <f t="shared" si="15"/>
        <v>1164.46</v>
      </c>
      <c r="M29" s="2"/>
      <c r="N29" s="7">
        <f t="shared" si="16"/>
        <v>1.3577016801333848</v>
      </c>
      <c r="O29" s="11"/>
      <c r="P29" s="6">
        <v>12264.74</v>
      </c>
      <c r="Q29" s="2"/>
      <c r="R29" s="7">
        <f t="shared" si="17"/>
        <v>6.1434886700998063E-3</v>
      </c>
      <c r="S29" s="2"/>
      <c r="T29" s="6">
        <v>10249.049999999999</v>
      </c>
      <c r="U29" s="2"/>
      <c r="V29" s="7">
        <f t="shared" si="18"/>
        <v>4.5632472737324042E-3</v>
      </c>
      <c r="W29" s="2"/>
      <c r="X29" s="6">
        <f t="shared" si="19"/>
        <v>2015.6900000000005</v>
      </c>
      <c r="Y29" s="2"/>
      <c r="Z29" s="7">
        <f t="shared" si="20"/>
        <v>0.19667091096247952</v>
      </c>
    </row>
    <row r="30" spans="1:26" s="24" customFormat="1" hidden="1" outlineLevel="2" x14ac:dyDescent="0.25">
      <c r="A30" s="27"/>
      <c r="B30" s="11" t="str">
        <f>CONCATENATE("          ", "6117", " - ", "RETIREMENT STAFF HOURLY")</f>
        <v xml:space="preserve">          6117 - RETIREMENT STAFF HOURLY</v>
      </c>
      <c r="C30" s="11"/>
      <c r="D30" s="6">
        <v>1099.3499999999999</v>
      </c>
      <c r="E30" s="2"/>
      <c r="F30" s="7">
        <f t="shared" si="13"/>
        <v>0</v>
      </c>
      <c r="G30" s="2"/>
      <c r="H30" s="6">
        <v>571.26</v>
      </c>
      <c r="I30" s="2"/>
      <c r="J30" s="7">
        <f t="shared" si="14"/>
        <v>1.9787308086821271E-3</v>
      </c>
      <c r="K30" s="2"/>
      <c r="L30" s="6">
        <f t="shared" si="15"/>
        <v>528.08999999999992</v>
      </c>
      <c r="M30" s="2"/>
      <c r="N30" s="7">
        <f t="shared" si="16"/>
        <v>0.92443020691103861</v>
      </c>
      <c r="O30" s="11"/>
      <c r="P30" s="6">
        <v>5374.9</v>
      </c>
      <c r="Q30" s="2"/>
      <c r="R30" s="7">
        <f t="shared" si="17"/>
        <v>2.6923226462949438E-3</v>
      </c>
      <c r="S30" s="2"/>
      <c r="T30" s="6">
        <v>4302.25</v>
      </c>
      <c r="U30" s="2"/>
      <c r="V30" s="7">
        <f t="shared" si="18"/>
        <v>1.9155171048453505E-3</v>
      </c>
      <c r="W30" s="2"/>
      <c r="X30" s="6">
        <f t="shared" si="19"/>
        <v>1072.6499999999996</v>
      </c>
      <c r="Y30" s="2"/>
      <c r="Z30" s="7">
        <f t="shared" si="20"/>
        <v>0.24932302864780048</v>
      </c>
    </row>
    <row r="31" spans="1:26" s="24" customFormat="1" hidden="1" outlineLevel="2" x14ac:dyDescent="0.25">
      <c r="A31" s="27"/>
      <c r="B31" s="11" t="str">
        <f>CONCATENATE("          ", "6118", " - ", "VACATION")</f>
        <v xml:space="preserve">          6118 - VACATION</v>
      </c>
      <c r="C31" s="11"/>
      <c r="D31" s="6">
        <v>1799.43</v>
      </c>
      <c r="E31" s="2"/>
      <c r="F31" s="7">
        <f t="shared" si="13"/>
        <v>0</v>
      </c>
      <c r="G31" s="2"/>
      <c r="H31" s="6">
        <v>1940.26</v>
      </c>
      <c r="I31" s="2"/>
      <c r="J31" s="7">
        <f t="shared" si="14"/>
        <v>6.7206740168287366E-3</v>
      </c>
      <c r="K31" s="2"/>
      <c r="L31" s="6">
        <f t="shared" si="15"/>
        <v>-140.82999999999993</v>
      </c>
      <c r="M31" s="2"/>
      <c r="N31" s="7">
        <f t="shared" si="16"/>
        <v>-7.2583055879108946E-2</v>
      </c>
      <c r="O31" s="11"/>
      <c r="P31" s="6">
        <v>22156.1</v>
      </c>
      <c r="Q31" s="2"/>
      <c r="R31" s="7">
        <f t="shared" si="17"/>
        <v>1.1098135739004521E-2</v>
      </c>
      <c r="S31" s="2"/>
      <c r="T31" s="6">
        <v>21694.809999999998</v>
      </c>
      <c r="U31" s="2"/>
      <c r="V31" s="7">
        <f t="shared" si="18"/>
        <v>9.6593130667371619E-3</v>
      </c>
      <c r="W31" s="2"/>
      <c r="X31" s="6">
        <f t="shared" si="19"/>
        <v>461.29000000000087</v>
      </c>
      <c r="Y31" s="2"/>
      <c r="Z31" s="7">
        <f t="shared" si="20"/>
        <v>2.1262689094765103E-2</v>
      </c>
    </row>
    <row r="32" spans="1:26" s="24" customFormat="1" hidden="1" outlineLevel="2" x14ac:dyDescent="0.25">
      <c r="A32" s="27"/>
      <c r="B32" s="11" t="str">
        <f>CONCATENATE("          ", "6119", " - ", "SICK LEAVE")</f>
        <v xml:space="preserve">          6119 - SICK LEAVE</v>
      </c>
      <c r="C32" s="11"/>
      <c r="D32" s="6">
        <v>-50122.52</v>
      </c>
      <c r="E32" s="2"/>
      <c r="F32" s="7">
        <f t="shared" si="13"/>
        <v>0</v>
      </c>
      <c r="G32" s="2"/>
      <c r="H32" s="6">
        <v>1258.82</v>
      </c>
      <c r="I32" s="2"/>
      <c r="J32" s="7">
        <f t="shared" si="14"/>
        <v>4.3603016430088497E-3</v>
      </c>
      <c r="K32" s="2"/>
      <c r="L32" s="6">
        <f t="shared" si="15"/>
        <v>-51381.34</v>
      </c>
      <c r="M32" s="2"/>
      <c r="N32" s="7">
        <f t="shared" si="16"/>
        <v>-40.817066776822735</v>
      </c>
      <c r="O32" s="11"/>
      <c r="P32" s="6">
        <v>-34429.15</v>
      </c>
      <c r="Q32" s="2"/>
      <c r="R32" s="7">
        <f t="shared" si="17"/>
        <v>-1.7245786942582293E-2</v>
      </c>
      <c r="S32" s="2"/>
      <c r="T32" s="6">
        <v>17469.37</v>
      </c>
      <c r="U32" s="2"/>
      <c r="V32" s="7">
        <f t="shared" si="18"/>
        <v>7.7779945484042576E-3</v>
      </c>
      <c r="W32" s="2"/>
      <c r="X32" s="6">
        <f t="shared" si="19"/>
        <v>-51898.520000000004</v>
      </c>
      <c r="Y32" s="2"/>
      <c r="Z32" s="7">
        <f t="shared" si="20"/>
        <v>-2.9708295147449513</v>
      </c>
    </row>
    <row r="33" spans="1:26" s="24" customFormat="1" hidden="1" outlineLevel="2" x14ac:dyDescent="0.25">
      <c r="A33" s="27"/>
      <c r="B33" s="11" t="str">
        <f>CONCATENATE("          ", "6156", " - ", "EMPLOYEE MEALS")</f>
        <v xml:space="preserve">          6156 - EMPLOYEE MEALS</v>
      </c>
      <c r="C33" s="11"/>
      <c r="D33" s="6">
        <v>632</v>
      </c>
      <c r="E33" s="2"/>
      <c r="F33" s="7">
        <f t="shared" si="13"/>
        <v>0</v>
      </c>
      <c r="G33" s="2"/>
      <c r="H33" s="6">
        <v>812.71</v>
      </c>
      <c r="I33" s="2"/>
      <c r="J33" s="7">
        <f t="shared" si="14"/>
        <v>2.8150654964885545E-3</v>
      </c>
      <c r="K33" s="2"/>
      <c r="L33" s="6">
        <f t="shared" si="15"/>
        <v>-180.71000000000004</v>
      </c>
      <c r="M33" s="2"/>
      <c r="N33" s="7">
        <f t="shared" si="16"/>
        <v>-0.22235483751891821</v>
      </c>
      <c r="O33" s="11"/>
      <c r="P33" s="6">
        <v>11610.19</v>
      </c>
      <c r="Q33" s="2"/>
      <c r="R33" s="7">
        <f t="shared" si="17"/>
        <v>5.8156202840586981E-3</v>
      </c>
      <c r="S33" s="2"/>
      <c r="T33" s="6">
        <v>9820.94</v>
      </c>
      <c r="U33" s="2"/>
      <c r="V33" s="7">
        <f t="shared" si="18"/>
        <v>4.3726372376453942E-3</v>
      </c>
      <c r="W33" s="2"/>
      <c r="X33" s="6">
        <f t="shared" si="19"/>
        <v>1789.25</v>
      </c>
      <c r="Y33" s="2"/>
      <c r="Z33" s="7">
        <f t="shared" si="20"/>
        <v>0.18218724480548704</v>
      </c>
    </row>
    <row r="34" spans="1:26" s="25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19467.86</v>
      </c>
      <c r="E34" s="1"/>
      <c r="F34" s="5">
        <f t="shared" ref="F34:F40" si="21">IF(D$12=0,0,D34/D$12)</f>
        <v>0</v>
      </c>
      <c r="G34" s="1"/>
      <c r="H34" s="1">
        <f>SUM(OSRRefH22_1x_0)</f>
        <v>58329.47</v>
      </c>
      <c r="I34" s="1"/>
      <c r="J34" s="5">
        <f t="shared" ref="J34:J40" si="22">IF(H$12=0,0,H34/H$12)</f>
        <v>0.20204166114046124</v>
      </c>
      <c r="K34" s="1"/>
      <c r="L34" s="1">
        <f t="shared" ref="L34:L40" si="23">+D34-H34</f>
        <v>-38861.61</v>
      </c>
      <c r="M34" s="1"/>
      <c r="N34" s="5">
        <f t="shared" ref="N34:N40" si="24">IF(H34=0,0,L34/H34)</f>
        <v>-0.66624315290366942</v>
      </c>
      <c r="O34" s="13"/>
      <c r="P34" s="1">
        <f>SUM(OSRRefP22_1x_0)</f>
        <v>646704.23</v>
      </c>
      <c r="Q34" s="1"/>
      <c r="R34" s="5">
        <f t="shared" ref="R34:R40" si="25">IF(P$12=0,0,P34/P$12)</f>
        <v>0.32393838841350237</v>
      </c>
      <c r="S34" s="1"/>
      <c r="T34" s="1">
        <f>SUM(OSRRefT22_1x_0)</f>
        <v>566830.66</v>
      </c>
      <c r="U34" s="1"/>
      <c r="V34" s="5">
        <f t="shared" ref="V34:V40" si="26">IF(T$12=0,0,T34/T$12)</f>
        <v>0.25237348475350785</v>
      </c>
      <c r="W34" s="1"/>
      <c r="X34" s="1">
        <f t="shared" ref="X34:X40" si="27">+P34-T34</f>
        <v>79873.569999999949</v>
      </c>
      <c r="Y34" s="1"/>
      <c r="Z34" s="5">
        <f t="shared" ref="Z34:Z40" si="28">IF(T34=0,0,X34/T34)</f>
        <v>0.14091257872324681</v>
      </c>
    </row>
    <row r="35" spans="1:26" s="24" customFormat="1" hidden="1" outlineLevel="2" x14ac:dyDescent="0.25">
      <c r="A35" s="27"/>
      <c r="B35" s="11" t="str">
        <f>CONCATENATE("          ", "6002", " - ", "STAFF SALARIES")</f>
        <v xml:space="preserve">          6002 - STAFF SALARIES</v>
      </c>
      <c r="C35" s="11"/>
      <c r="D35" s="6">
        <v>4177.78</v>
      </c>
      <c r="E35" s="2"/>
      <c r="F35" s="7">
        <f t="shared" si="21"/>
        <v>0</v>
      </c>
      <c r="G35" s="2"/>
      <c r="H35" s="6">
        <v>8417.32</v>
      </c>
      <c r="I35" s="2"/>
      <c r="J35" s="7">
        <f t="shared" si="22"/>
        <v>2.9155919214606734E-2</v>
      </c>
      <c r="K35" s="2"/>
      <c r="L35" s="6">
        <f t="shared" si="23"/>
        <v>-4239.54</v>
      </c>
      <c r="M35" s="2"/>
      <c r="N35" s="7">
        <f t="shared" si="24"/>
        <v>-0.50366862611852703</v>
      </c>
      <c r="O35" s="11"/>
      <c r="P35" s="6">
        <v>96676.49</v>
      </c>
      <c r="Q35" s="2"/>
      <c r="R35" s="7">
        <f t="shared" si="25"/>
        <v>4.8425887624198902E-2</v>
      </c>
      <c r="S35" s="2"/>
      <c r="T35" s="6">
        <v>90592.760000000009</v>
      </c>
      <c r="U35" s="2"/>
      <c r="V35" s="7">
        <f t="shared" si="26"/>
        <v>4.0335169122005854E-2</v>
      </c>
      <c r="W35" s="2"/>
      <c r="X35" s="6">
        <f t="shared" si="27"/>
        <v>6083.7299999999959</v>
      </c>
      <c r="Y35" s="2"/>
      <c r="Z35" s="7">
        <f t="shared" si="28"/>
        <v>6.7154704194904713E-2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6">
        <v>19857.080000000002</v>
      </c>
      <c r="E36" s="2"/>
      <c r="F36" s="7">
        <f t="shared" si="21"/>
        <v>0</v>
      </c>
      <c r="G36" s="2"/>
      <c r="H36" s="6">
        <v>16495.830000000002</v>
      </c>
      <c r="I36" s="2"/>
      <c r="J36" s="7">
        <f t="shared" si="22"/>
        <v>5.7138268101710077E-2</v>
      </c>
      <c r="K36" s="2"/>
      <c r="L36" s="6">
        <f t="shared" si="23"/>
        <v>3361.25</v>
      </c>
      <c r="M36" s="2"/>
      <c r="N36" s="7">
        <f t="shared" si="24"/>
        <v>0.20376361783553781</v>
      </c>
      <c r="O36" s="11"/>
      <c r="P36" s="6">
        <v>223344.59</v>
      </c>
      <c r="Q36" s="2"/>
      <c r="R36" s="7">
        <f t="shared" si="25"/>
        <v>0.1118747693137471</v>
      </c>
      <c r="S36" s="2"/>
      <c r="T36" s="6">
        <v>168367.69</v>
      </c>
      <c r="U36" s="2"/>
      <c r="V36" s="7">
        <f t="shared" si="26"/>
        <v>7.4963377325422617E-2</v>
      </c>
      <c r="W36" s="2"/>
      <c r="X36" s="6">
        <f t="shared" si="27"/>
        <v>54976.899999999994</v>
      </c>
      <c r="Y36" s="2"/>
      <c r="Z36" s="7">
        <f t="shared" si="28"/>
        <v>0.32652880133949685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1"/>
        <v>0</v>
      </c>
      <c r="G37" s="2"/>
      <c r="H37" s="6">
        <v>7861.46</v>
      </c>
      <c r="I37" s="2"/>
      <c r="J37" s="7">
        <f t="shared" si="22"/>
        <v>2.7230530937265338E-2</v>
      </c>
      <c r="K37" s="2"/>
      <c r="L37" s="6">
        <f t="shared" si="23"/>
        <v>-7861.46</v>
      </c>
      <c r="M37" s="2"/>
      <c r="N37" s="7">
        <f t="shared" si="24"/>
        <v>-1</v>
      </c>
      <c r="O37" s="11"/>
      <c r="P37" s="6">
        <v>107403.49</v>
      </c>
      <c r="Q37" s="2"/>
      <c r="R37" s="7">
        <f t="shared" si="25"/>
        <v>5.3799112247318565E-2</v>
      </c>
      <c r="S37" s="2"/>
      <c r="T37" s="6">
        <v>89840.44</v>
      </c>
      <c r="U37" s="2"/>
      <c r="V37" s="7">
        <f t="shared" si="26"/>
        <v>4.0000209082882779E-2</v>
      </c>
      <c r="W37" s="2"/>
      <c r="X37" s="6">
        <f t="shared" si="27"/>
        <v>17563.050000000003</v>
      </c>
      <c r="Y37" s="2"/>
      <c r="Z37" s="7">
        <f t="shared" si="28"/>
        <v>0.19549158485866724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1"/>
        <v>0</v>
      </c>
      <c r="G38" s="2"/>
      <c r="H38" s="6">
        <v>1515.85</v>
      </c>
      <c r="I38" s="2"/>
      <c r="J38" s="7">
        <f t="shared" si="22"/>
        <v>5.2506023462885595E-3</v>
      </c>
      <c r="K38" s="2"/>
      <c r="L38" s="6">
        <f t="shared" si="23"/>
        <v>-1515.85</v>
      </c>
      <c r="M38" s="2"/>
      <c r="N38" s="7">
        <f t="shared" si="24"/>
        <v>-1</v>
      </c>
      <c r="O38" s="11"/>
      <c r="P38" s="6">
        <v>10378.219999999999</v>
      </c>
      <c r="Q38" s="2"/>
      <c r="R38" s="7">
        <f t="shared" si="25"/>
        <v>5.1985184346185253E-3</v>
      </c>
      <c r="S38" s="2"/>
      <c r="T38" s="6">
        <v>2894.72</v>
      </c>
      <c r="U38" s="2"/>
      <c r="V38" s="7">
        <f t="shared" si="26"/>
        <v>1.2888339063833883E-3</v>
      </c>
      <c r="W38" s="2"/>
      <c r="X38" s="6">
        <f t="shared" si="27"/>
        <v>7483.5</v>
      </c>
      <c r="Y38" s="2"/>
      <c r="Z38" s="7">
        <f t="shared" si="28"/>
        <v>2.5852241322131331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6">
        <v>-4567</v>
      </c>
      <c r="E39" s="2"/>
      <c r="F39" s="7">
        <f t="shared" si="21"/>
        <v>0</v>
      </c>
      <c r="G39" s="2"/>
      <c r="H39" s="6">
        <v>17172.009999999998</v>
      </c>
      <c r="I39" s="2"/>
      <c r="J39" s="7">
        <f t="shared" si="22"/>
        <v>5.9480420883656432E-2</v>
      </c>
      <c r="K39" s="2"/>
      <c r="L39" s="6">
        <f t="shared" si="23"/>
        <v>-21739.01</v>
      </c>
      <c r="M39" s="2"/>
      <c r="N39" s="7">
        <f t="shared" si="24"/>
        <v>-1.2659560529023686</v>
      </c>
      <c r="O39" s="11"/>
      <c r="P39" s="6">
        <v>146844.08000000002</v>
      </c>
      <c r="Q39" s="2"/>
      <c r="R39" s="7">
        <f t="shared" si="25"/>
        <v>7.3555162339456831E-2</v>
      </c>
      <c r="S39" s="2"/>
      <c r="T39" s="6">
        <v>152937.15</v>
      </c>
      <c r="U39" s="2"/>
      <c r="V39" s="7">
        <f t="shared" si="26"/>
        <v>6.8093143539147902E-2</v>
      </c>
      <c r="W39" s="2"/>
      <c r="X39" s="6">
        <f t="shared" si="27"/>
        <v>-6093.0699999999779</v>
      </c>
      <c r="Y39" s="2"/>
      <c r="Z39" s="7">
        <f t="shared" si="28"/>
        <v>-3.9840352720055122E-2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1"/>
        <v>0</v>
      </c>
      <c r="G40" s="2"/>
      <c r="H40" s="6">
        <v>6867</v>
      </c>
      <c r="I40" s="2"/>
      <c r="J40" s="7">
        <f t="shared" si="22"/>
        <v>2.378591965693409E-2</v>
      </c>
      <c r="K40" s="2"/>
      <c r="L40" s="6">
        <f t="shared" si="23"/>
        <v>-6867</v>
      </c>
      <c r="M40" s="2"/>
      <c r="N40" s="7">
        <f t="shared" si="24"/>
        <v>-1</v>
      </c>
      <c r="O40" s="11"/>
      <c r="P40" s="6">
        <v>62057.36</v>
      </c>
      <c r="Q40" s="2"/>
      <c r="R40" s="7">
        <f t="shared" si="25"/>
        <v>3.1084938454162495E-2</v>
      </c>
      <c r="S40" s="2"/>
      <c r="T40" s="6">
        <v>62197.9</v>
      </c>
      <c r="U40" s="2"/>
      <c r="V40" s="7">
        <f t="shared" si="26"/>
        <v>2.7692751777665319E-2</v>
      </c>
      <c r="W40" s="2"/>
      <c r="X40" s="6">
        <f t="shared" si="27"/>
        <v>-140.54000000000087</v>
      </c>
      <c r="Y40" s="2"/>
      <c r="Z40" s="7">
        <f t="shared" si="28"/>
        <v>-2.2595618180035158E-3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4" si="29">IF(D$12=0,0,D41/D$12)</f>
        <v>0</v>
      </c>
      <c r="G41" s="1"/>
      <c r="H41" s="1">
        <f>SUM(OSRRefH22_2x_0)</f>
        <v>53.5</v>
      </c>
      <c r="I41" s="1"/>
      <c r="J41" s="5">
        <f t="shared" ref="J41:J64" si="30">IF(H$12=0,0,H41/H$12)</f>
        <v>1.8531333939798657E-4</v>
      </c>
      <c r="K41" s="1"/>
      <c r="L41" s="1">
        <f t="shared" ref="L41:L64" si="31">+D41-H41</f>
        <v>-53.5</v>
      </c>
      <c r="M41" s="1"/>
      <c r="N41" s="5">
        <f t="shared" ref="N41:N64" si="32">IF(H41=0,0,L41/H41)</f>
        <v>-1</v>
      </c>
      <c r="O41" s="13"/>
      <c r="P41" s="1">
        <f>SUM(OSRRefP22_2x_0)</f>
        <v>3020.03</v>
      </c>
      <c r="Q41" s="1"/>
      <c r="R41" s="5">
        <f t="shared" ref="R41:R64" si="33">IF(P$12=0,0,P41/P$12)</f>
        <v>1.5127528254460772E-3</v>
      </c>
      <c r="S41" s="1"/>
      <c r="T41" s="1">
        <f>SUM(OSRRefT22_2x_0)</f>
        <v>4017.39</v>
      </c>
      <c r="U41" s="1"/>
      <c r="V41" s="5">
        <f t="shared" ref="V41:V64" si="34">IF(T$12=0,0,T41/T$12)</f>
        <v>1.7886871432005722E-3</v>
      </c>
      <c r="W41" s="1"/>
      <c r="X41" s="1">
        <f t="shared" ref="X41:X64" si="35">+P41-T41</f>
        <v>-997.35999999999967</v>
      </c>
      <c r="Y41" s="1"/>
      <c r="Z41" s="5">
        <f t="shared" ref="Z41:Z64" si="36">IF(T41=0,0,X41/T41)</f>
        <v>-0.24826068666472503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9"/>
        <v>0</v>
      </c>
      <c r="G42" s="2"/>
      <c r="H42" s="6">
        <v>53.5</v>
      </c>
      <c r="I42" s="2"/>
      <c r="J42" s="7">
        <f t="shared" si="30"/>
        <v>1.8531333939798657E-4</v>
      </c>
      <c r="K42" s="2"/>
      <c r="L42" s="6">
        <f t="shared" si="31"/>
        <v>-53.5</v>
      </c>
      <c r="M42" s="2"/>
      <c r="N42" s="7">
        <f t="shared" si="32"/>
        <v>-1</v>
      </c>
      <c r="O42" s="11"/>
      <c r="P42" s="6">
        <v>3020.03</v>
      </c>
      <c r="Q42" s="2"/>
      <c r="R42" s="7">
        <f t="shared" si="33"/>
        <v>1.5127528254460772E-3</v>
      </c>
      <c r="S42" s="2"/>
      <c r="T42" s="6">
        <v>4017.39</v>
      </c>
      <c r="U42" s="2"/>
      <c r="V42" s="7">
        <f t="shared" si="34"/>
        <v>1.7886871432005722E-3</v>
      </c>
      <c r="W42" s="2"/>
      <c r="X42" s="6">
        <f t="shared" si="35"/>
        <v>-997.35999999999967</v>
      </c>
      <c r="Y42" s="2"/>
      <c r="Z42" s="7">
        <f t="shared" si="36"/>
        <v>-0.24826068666472503</v>
      </c>
    </row>
    <row r="43" spans="1:26" s="25" customFormat="1" outlineLevel="1" collapsed="1" x14ac:dyDescent="0.25">
      <c r="A43" s="26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5</v>
      </c>
      <c r="I43" s="1"/>
      <c r="J43" s="5">
        <f t="shared" si="30"/>
        <v>1.7319003682054818E-5</v>
      </c>
      <c r="K43" s="1"/>
      <c r="L43" s="1">
        <f t="shared" si="31"/>
        <v>-5</v>
      </c>
      <c r="M43" s="1"/>
      <c r="N43" s="5">
        <f t="shared" si="32"/>
        <v>-1</v>
      </c>
      <c r="O43" s="13"/>
      <c r="P43" s="1">
        <f>SUM(OSRRefP22_3x_0)</f>
        <v>46.62</v>
      </c>
      <c r="Q43" s="1"/>
      <c r="R43" s="5">
        <f t="shared" si="33"/>
        <v>2.3352263627280558E-5</v>
      </c>
      <c r="S43" s="1"/>
      <c r="T43" s="1">
        <f>SUM(OSRRefT22_3x_0)</f>
        <v>64.64</v>
      </c>
      <c r="U43" s="1"/>
      <c r="V43" s="5">
        <f t="shared" si="34"/>
        <v>2.8780062910617341E-5</v>
      </c>
      <c r="W43" s="1"/>
      <c r="X43" s="1">
        <f t="shared" si="35"/>
        <v>-18.020000000000003</v>
      </c>
      <c r="Y43" s="1"/>
      <c r="Z43" s="5">
        <f t="shared" si="36"/>
        <v>-0.27877475247524758</v>
      </c>
    </row>
    <row r="44" spans="1:26" s="24" customFormat="1" hidden="1" outlineLevel="2" x14ac:dyDescent="0.25">
      <c r="A44" s="27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9"/>
        <v>0</v>
      </c>
      <c r="G44" s="2"/>
      <c r="H44" s="6">
        <v>5</v>
      </c>
      <c r="I44" s="2"/>
      <c r="J44" s="7">
        <f t="shared" si="30"/>
        <v>1.7319003682054818E-5</v>
      </c>
      <c r="K44" s="2"/>
      <c r="L44" s="6">
        <f t="shared" si="31"/>
        <v>-5</v>
      </c>
      <c r="M44" s="2"/>
      <c r="N44" s="7">
        <f t="shared" si="32"/>
        <v>-1</v>
      </c>
      <c r="O44" s="11"/>
      <c r="P44" s="6">
        <v>46.62</v>
      </c>
      <c r="Q44" s="2"/>
      <c r="R44" s="7">
        <f t="shared" si="33"/>
        <v>2.3352263627280558E-5</v>
      </c>
      <c r="S44" s="2"/>
      <c r="T44" s="6">
        <v>64.64</v>
      </c>
      <c r="U44" s="2"/>
      <c r="V44" s="7">
        <f t="shared" si="34"/>
        <v>2.8780062910617341E-5</v>
      </c>
      <c r="W44" s="2"/>
      <c r="X44" s="6">
        <f t="shared" si="35"/>
        <v>-18.020000000000003</v>
      </c>
      <c r="Y44" s="2"/>
      <c r="Z44" s="7">
        <f t="shared" si="36"/>
        <v>-0.27877475247524758</v>
      </c>
    </row>
    <row r="45" spans="1:26" s="25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6.66</v>
      </c>
      <c r="I45" s="1"/>
      <c r="J45" s="5">
        <f t="shared" si="30"/>
        <v>2.3068912904497019E-5</v>
      </c>
      <c r="K45" s="1"/>
      <c r="L45" s="1">
        <f t="shared" si="31"/>
        <v>-6.66</v>
      </c>
      <c r="M45" s="1"/>
      <c r="N45" s="5">
        <f t="shared" si="32"/>
        <v>-1</v>
      </c>
      <c r="O45" s="13"/>
      <c r="P45" s="1">
        <f>SUM(OSRRefP22_4x_0)</f>
        <v>70.89</v>
      </c>
      <c r="Q45" s="1"/>
      <c r="R45" s="5">
        <f t="shared" si="33"/>
        <v>3.5509265734404094E-5</v>
      </c>
      <c r="S45" s="1"/>
      <c r="T45" s="1">
        <f>SUM(OSRRefT22_4x_0)</f>
        <v>144.16</v>
      </c>
      <c r="U45" s="1"/>
      <c r="V45" s="5">
        <f t="shared" si="34"/>
        <v>6.4185239313035205E-5</v>
      </c>
      <c r="W45" s="1"/>
      <c r="X45" s="1">
        <f t="shared" si="35"/>
        <v>-73.27</v>
      </c>
      <c r="Y45" s="1"/>
      <c r="Z45" s="5">
        <f t="shared" si="36"/>
        <v>-0.50825471698113212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9"/>
        <v>0</v>
      </c>
      <c r="G46" s="2"/>
      <c r="H46" s="6">
        <v>6.66</v>
      </c>
      <c r="I46" s="2"/>
      <c r="J46" s="7">
        <f t="shared" si="30"/>
        <v>2.3068912904497019E-5</v>
      </c>
      <c r="K46" s="2"/>
      <c r="L46" s="6">
        <f t="shared" si="31"/>
        <v>-6.66</v>
      </c>
      <c r="M46" s="2"/>
      <c r="N46" s="7">
        <f t="shared" si="32"/>
        <v>-1</v>
      </c>
      <c r="O46" s="11"/>
      <c r="P46" s="6">
        <v>70.89</v>
      </c>
      <c r="Q46" s="2"/>
      <c r="R46" s="7">
        <f t="shared" si="33"/>
        <v>3.5509265734404094E-5</v>
      </c>
      <c r="S46" s="2"/>
      <c r="T46" s="6">
        <v>144.16</v>
      </c>
      <c r="U46" s="2"/>
      <c r="V46" s="7">
        <f t="shared" si="34"/>
        <v>6.4185239313035205E-5</v>
      </c>
      <c r="W46" s="2"/>
      <c r="X46" s="6">
        <f t="shared" si="35"/>
        <v>-73.27</v>
      </c>
      <c r="Y46" s="2"/>
      <c r="Z46" s="7">
        <f t="shared" si="36"/>
        <v>-0.50825471698113212</v>
      </c>
    </row>
    <row r="47" spans="1:26" s="25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213.02</v>
      </c>
      <c r="E47" s="1"/>
      <c r="F47" s="5">
        <f t="shared" si="29"/>
        <v>0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213.02</v>
      </c>
      <c r="M47" s="1"/>
      <c r="N47" s="5">
        <f t="shared" si="32"/>
        <v>0</v>
      </c>
      <c r="O47" s="13"/>
      <c r="P47" s="1">
        <f>SUM(OSRRefP22_5x_0)</f>
        <v>426.04</v>
      </c>
      <c r="Q47" s="1"/>
      <c r="R47" s="5">
        <f t="shared" si="33"/>
        <v>2.134062289954228E-4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426.04</v>
      </c>
      <c r="Y47" s="1"/>
      <c r="Z47" s="5">
        <f t="shared" si="36"/>
        <v>0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213.02</v>
      </c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213.02</v>
      </c>
      <c r="M48" s="2"/>
      <c r="N48" s="7">
        <f t="shared" si="32"/>
        <v>0</v>
      </c>
      <c r="O48" s="11"/>
      <c r="P48" s="6">
        <v>426.04</v>
      </c>
      <c r="Q48" s="2"/>
      <c r="R48" s="7">
        <f t="shared" si="33"/>
        <v>2.134062289954228E-4</v>
      </c>
      <c r="S48" s="2"/>
      <c r="T48" s="6"/>
      <c r="U48" s="2"/>
      <c r="V48" s="7">
        <f t="shared" si="34"/>
        <v>0</v>
      </c>
      <c r="W48" s="2"/>
      <c r="X48" s="6">
        <f t="shared" si="35"/>
        <v>426.04</v>
      </c>
      <c r="Y48" s="2"/>
      <c r="Z48" s="7">
        <f t="shared" si="36"/>
        <v>0</v>
      </c>
    </row>
    <row r="49" spans="1:26" s="25" customFormat="1" outlineLevel="1" collapsed="1" x14ac:dyDescent="0.25">
      <c r="A49" s="26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3492.33</v>
      </c>
      <c r="I49" s="1"/>
      <c r="J49" s="5">
        <f t="shared" si="30"/>
        <v>1.2096735225790101E-2</v>
      </c>
      <c r="K49" s="1"/>
      <c r="L49" s="1">
        <f t="shared" si="31"/>
        <v>-3492.33</v>
      </c>
      <c r="M49" s="1"/>
      <c r="N49" s="5">
        <f t="shared" si="32"/>
        <v>-1</v>
      </c>
      <c r="O49" s="13"/>
      <c r="P49" s="1">
        <f>SUM(OSRRefP22_6x_0)</f>
        <v>21140.82</v>
      </c>
      <c r="Q49" s="1"/>
      <c r="R49" s="5">
        <f t="shared" si="33"/>
        <v>1.0589575331121523E-2</v>
      </c>
      <c r="S49" s="1"/>
      <c r="T49" s="1">
        <f>SUM(OSRRefT22_6x_0)</f>
        <v>21445.7</v>
      </c>
      <c r="U49" s="1"/>
      <c r="V49" s="5">
        <f t="shared" si="34"/>
        <v>9.5484002964453321E-3</v>
      </c>
      <c r="W49" s="1"/>
      <c r="X49" s="1">
        <f t="shared" si="35"/>
        <v>-304.88000000000102</v>
      </c>
      <c r="Y49" s="1"/>
      <c r="Z49" s="5">
        <f t="shared" si="36"/>
        <v>-1.4216369715141078E-2</v>
      </c>
    </row>
    <row r="50" spans="1:26" s="24" customFormat="1" hidden="1" outlineLevel="2" x14ac:dyDescent="0.25">
      <c r="A50" s="27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29"/>
        <v>0</v>
      </c>
      <c r="G50" s="2"/>
      <c r="H50" s="6">
        <v>3492.33</v>
      </c>
      <c r="I50" s="2"/>
      <c r="J50" s="7">
        <f t="shared" si="30"/>
        <v>1.2096735225790101E-2</v>
      </c>
      <c r="K50" s="2"/>
      <c r="L50" s="6">
        <f t="shared" si="31"/>
        <v>-3492.33</v>
      </c>
      <c r="M50" s="2"/>
      <c r="N50" s="7">
        <f t="shared" si="32"/>
        <v>-1</v>
      </c>
      <c r="O50" s="11"/>
      <c r="P50" s="6">
        <v>21140.82</v>
      </c>
      <c r="Q50" s="2"/>
      <c r="R50" s="7">
        <f t="shared" si="33"/>
        <v>1.0589575331121523E-2</v>
      </c>
      <c r="S50" s="2"/>
      <c r="T50" s="6">
        <v>21445.7</v>
      </c>
      <c r="U50" s="2"/>
      <c r="V50" s="7">
        <f t="shared" si="34"/>
        <v>9.5484002964453321E-3</v>
      </c>
      <c r="W50" s="2"/>
      <c r="X50" s="6">
        <f t="shared" si="35"/>
        <v>-304.88000000000102</v>
      </c>
      <c r="Y50" s="2"/>
      <c r="Z50" s="7">
        <f t="shared" si="36"/>
        <v>-1.4216369715141078E-2</v>
      </c>
    </row>
    <row r="51" spans="1:26" s="25" customFormat="1" outlineLevel="1" collapsed="1" x14ac:dyDescent="0.25">
      <c r="A51" s="26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SUM(OSRRefP22_7x_0)</f>
        <v>21.34</v>
      </c>
      <c r="Q51" s="1"/>
      <c r="R51" s="5">
        <f t="shared" si="33"/>
        <v>1.0689345898888185E-5</v>
      </c>
      <c r="S51" s="1"/>
      <c r="T51" s="1">
        <f>SUM(OSRRefT22_7x_0)</f>
        <v>157.18</v>
      </c>
      <c r="U51" s="1"/>
      <c r="V51" s="5">
        <f t="shared" si="34"/>
        <v>6.9982213618360666E-5</v>
      </c>
      <c r="W51" s="1"/>
      <c r="X51" s="1">
        <f t="shared" si="35"/>
        <v>-135.84</v>
      </c>
      <c r="Y51" s="1"/>
      <c r="Z51" s="5">
        <f t="shared" si="36"/>
        <v>-0.86423209059676798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21.34</v>
      </c>
      <c r="Q52" s="2"/>
      <c r="R52" s="7">
        <f t="shared" si="33"/>
        <v>1.0689345898888185E-5</v>
      </c>
      <c r="S52" s="2"/>
      <c r="T52" s="6">
        <v>157.18</v>
      </c>
      <c r="U52" s="2"/>
      <c r="V52" s="7">
        <f t="shared" si="34"/>
        <v>6.9982213618360666E-5</v>
      </c>
      <c r="W52" s="2"/>
      <c r="X52" s="6">
        <f t="shared" si="35"/>
        <v>-135.84</v>
      </c>
      <c r="Y52" s="2"/>
      <c r="Z52" s="7">
        <f t="shared" si="36"/>
        <v>-0.86423209059676798</v>
      </c>
    </row>
    <row r="53" spans="1:26" s="25" customFormat="1" outlineLevel="1" collapsed="1" x14ac:dyDescent="0.25">
      <c r="A53" s="26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0</v>
      </c>
      <c r="E53" s="1"/>
      <c r="F53" s="5">
        <f t="shared" si="29"/>
        <v>0</v>
      </c>
      <c r="G53" s="1"/>
      <c r="H53" s="1">
        <f>SUM(OSRRefH22_8x_0)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SUM(OSRRefP22_8x_0)</f>
        <v>0.01</v>
      </c>
      <c r="Q53" s="1"/>
      <c r="R53" s="5">
        <f t="shared" si="33"/>
        <v>5.0090655571172371E-9</v>
      </c>
      <c r="S53" s="1"/>
      <c r="T53" s="1">
        <f>SUM(OSRRefT22_8x_0)</f>
        <v>74.849999999999994</v>
      </c>
      <c r="U53" s="1"/>
      <c r="V53" s="5">
        <f t="shared" si="34"/>
        <v>3.3325923713794985E-5</v>
      </c>
      <c r="W53" s="1"/>
      <c r="X53" s="1">
        <f t="shared" si="35"/>
        <v>-74.839999999999989</v>
      </c>
      <c r="Y53" s="1"/>
      <c r="Z53" s="5">
        <f t="shared" si="36"/>
        <v>-0.99986639946559774</v>
      </c>
    </row>
    <row r="54" spans="1:26" s="24" customFormat="1" hidden="1" outlineLevel="2" x14ac:dyDescent="0.25">
      <c r="A54" s="27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0.01</v>
      </c>
      <c r="Q54" s="2"/>
      <c r="R54" s="7">
        <f t="shared" si="33"/>
        <v>5.0090655571172371E-9</v>
      </c>
      <c r="S54" s="2"/>
      <c r="T54" s="6">
        <v>74.849999999999994</v>
      </c>
      <c r="U54" s="2"/>
      <c r="V54" s="7">
        <f t="shared" si="34"/>
        <v>3.3325923713794985E-5</v>
      </c>
      <c r="W54" s="2"/>
      <c r="X54" s="6">
        <f t="shared" si="35"/>
        <v>-74.839999999999989</v>
      </c>
      <c r="Y54" s="2"/>
      <c r="Z54" s="7">
        <f t="shared" si="36"/>
        <v>-0.99986639946559774</v>
      </c>
    </row>
    <row r="55" spans="1:26" s="25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9"/>
        <v>0</v>
      </c>
      <c r="G55" s="1"/>
      <c r="H55" s="1">
        <f>SUM(OSRRefH22_9x_0)</f>
        <v>238.98</v>
      </c>
      <c r="I55" s="1"/>
      <c r="J55" s="5">
        <f t="shared" si="30"/>
        <v>8.2777909998749209E-4</v>
      </c>
      <c r="K55" s="1"/>
      <c r="L55" s="1">
        <f t="shared" si="31"/>
        <v>-238.98</v>
      </c>
      <c r="M55" s="1"/>
      <c r="N55" s="5">
        <f t="shared" si="32"/>
        <v>-1</v>
      </c>
      <c r="O55" s="13"/>
      <c r="P55" s="1">
        <f>SUM(OSRRefP22_9x_0)</f>
        <v>1950.43</v>
      </c>
      <c r="Q55" s="1"/>
      <c r="R55" s="5">
        <f t="shared" si="33"/>
        <v>9.7698317345681733E-4</v>
      </c>
      <c r="S55" s="1"/>
      <c r="T55" s="1">
        <f>SUM(OSRRefT22_9x_0)</f>
        <v>1968.51</v>
      </c>
      <c r="U55" s="1"/>
      <c r="V55" s="5">
        <f t="shared" si="34"/>
        <v>8.7645175804732889E-4</v>
      </c>
      <c r="W55" s="1"/>
      <c r="X55" s="1">
        <f t="shared" si="35"/>
        <v>-18.079999999999927</v>
      </c>
      <c r="Y55" s="1"/>
      <c r="Z55" s="5">
        <f t="shared" si="36"/>
        <v>-9.1846117113958924E-3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>
        <v>238.98</v>
      </c>
      <c r="I56" s="2"/>
      <c r="J56" s="7">
        <f t="shared" si="30"/>
        <v>8.2777909998749209E-4</v>
      </c>
      <c r="K56" s="2"/>
      <c r="L56" s="6">
        <f t="shared" si="31"/>
        <v>-238.98</v>
      </c>
      <c r="M56" s="2"/>
      <c r="N56" s="7">
        <f t="shared" si="32"/>
        <v>-1</v>
      </c>
      <c r="O56" s="11"/>
      <c r="P56" s="6">
        <v>1950.43</v>
      </c>
      <c r="Q56" s="2"/>
      <c r="R56" s="7">
        <f t="shared" si="33"/>
        <v>9.7698317345681733E-4</v>
      </c>
      <c r="S56" s="2"/>
      <c r="T56" s="6">
        <v>1968.51</v>
      </c>
      <c r="U56" s="2"/>
      <c r="V56" s="7">
        <f t="shared" si="34"/>
        <v>8.7645175804732889E-4</v>
      </c>
      <c r="W56" s="2"/>
      <c r="X56" s="6">
        <f t="shared" si="35"/>
        <v>-18.079999999999927</v>
      </c>
      <c r="Y56" s="2"/>
      <c r="Z56" s="7">
        <f t="shared" si="36"/>
        <v>-9.1846117113958924E-3</v>
      </c>
    </row>
    <row r="57" spans="1:26" s="25" customFormat="1" outlineLevel="1" collapsed="1" x14ac:dyDescent="0.25">
      <c r="A57" s="26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SUM(OSRRefD22_10x_0)</f>
        <v>5.9</v>
      </c>
      <c r="E57" s="1"/>
      <c r="F57" s="5">
        <f t="shared" si="29"/>
        <v>0</v>
      </c>
      <c r="G57" s="1"/>
      <c r="H57" s="1">
        <f>SUM(OSRRefH22_10x_0)</f>
        <v>4.93</v>
      </c>
      <c r="I57" s="1"/>
      <c r="J57" s="5">
        <f t="shared" si="30"/>
        <v>1.707653763050605E-5</v>
      </c>
      <c r="K57" s="1"/>
      <c r="L57" s="1">
        <f t="shared" si="31"/>
        <v>0.97000000000000064</v>
      </c>
      <c r="M57" s="1"/>
      <c r="N57" s="5">
        <f t="shared" si="32"/>
        <v>0.19675456389452348</v>
      </c>
      <c r="O57" s="13"/>
      <c r="P57" s="1">
        <f>SUM(OSRRefP22_10x_0)</f>
        <v>59</v>
      </c>
      <c r="Q57" s="1"/>
      <c r="R57" s="5">
        <f t="shared" si="33"/>
        <v>2.95534867869917E-5</v>
      </c>
      <c r="S57" s="1"/>
      <c r="T57" s="1">
        <f>SUM(OSRRefT22_10x_0)</f>
        <v>49.3</v>
      </c>
      <c r="U57" s="1"/>
      <c r="V57" s="5">
        <f t="shared" si="34"/>
        <v>2.1950140802806851E-5</v>
      </c>
      <c r="W57" s="1"/>
      <c r="X57" s="1">
        <f t="shared" si="35"/>
        <v>9.7000000000000028</v>
      </c>
      <c r="Y57" s="1"/>
      <c r="Z57" s="5">
        <f t="shared" si="36"/>
        <v>0.19675456389452339</v>
      </c>
    </row>
    <row r="58" spans="1:26" s="24" customFormat="1" hidden="1" outlineLevel="2" x14ac:dyDescent="0.25">
      <c r="A58" s="27"/>
      <c r="B58" s="11" t="str">
        <f>CONCATENATE("          ", "6314", " - ", "LIABILITY INSURANCE")</f>
        <v xml:space="preserve">          6314 - LIABILITY INSURANCE</v>
      </c>
      <c r="C58" s="11"/>
      <c r="D58" s="6">
        <v>5.9</v>
      </c>
      <c r="E58" s="2"/>
      <c r="F58" s="7">
        <f t="shared" si="29"/>
        <v>0</v>
      </c>
      <c r="G58" s="2"/>
      <c r="H58" s="6">
        <v>4.93</v>
      </c>
      <c r="I58" s="2"/>
      <c r="J58" s="7">
        <f t="shared" si="30"/>
        <v>1.707653763050605E-5</v>
      </c>
      <c r="K58" s="2"/>
      <c r="L58" s="6">
        <f t="shared" si="31"/>
        <v>0.97000000000000064</v>
      </c>
      <c r="M58" s="2"/>
      <c r="N58" s="7">
        <f t="shared" si="32"/>
        <v>0.19675456389452348</v>
      </c>
      <c r="O58" s="11"/>
      <c r="P58" s="6">
        <v>59</v>
      </c>
      <c r="Q58" s="2"/>
      <c r="R58" s="7">
        <f t="shared" si="33"/>
        <v>2.95534867869917E-5</v>
      </c>
      <c r="S58" s="2"/>
      <c r="T58" s="6">
        <v>49.3</v>
      </c>
      <c r="U58" s="2"/>
      <c r="V58" s="7">
        <f t="shared" si="34"/>
        <v>2.1950140802806851E-5</v>
      </c>
      <c r="W58" s="2"/>
      <c r="X58" s="6">
        <f t="shared" si="35"/>
        <v>9.7000000000000028</v>
      </c>
      <c r="Y58" s="2"/>
      <c r="Z58" s="7">
        <f t="shared" si="36"/>
        <v>0.19675456389452339</v>
      </c>
    </row>
    <row r="59" spans="1:26" s="25" customFormat="1" outlineLevel="1" collapsed="1" x14ac:dyDescent="0.25">
      <c r="A59" s="26"/>
      <c r="B59" s="13" t="str">
        <f>CONCATENATE("     ","R/H Commissions                                   ")</f>
        <v xml:space="preserve">     R/H Commissions                                   </v>
      </c>
      <c r="C59" s="13"/>
      <c r="D59" s="1">
        <f>SUM(OSRRefD22_11x_0)</f>
        <v>256</v>
      </c>
      <c r="E59" s="1"/>
      <c r="F59" s="5">
        <f t="shared" si="29"/>
        <v>0</v>
      </c>
      <c r="G59" s="1"/>
      <c r="H59" s="1">
        <f>SUM(OSRRefH22_11x_0)</f>
        <v>22816.63</v>
      </c>
      <c r="I59" s="1"/>
      <c r="J59" s="5">
        <f t="shared" si="30"/>
        <v>7.9032259796416496E-2</v>
      </c>
      <c r="K59" s="1"/>
      <c r="L59" s="1">
        <f t="shared" si="31"/>
        <v>-22560.63</v>
      </c>
      <c r="M59" s="1"/>
      <c r="N59" s="5">
        <f t="shared" si="32"/>
        <v>-0.98878011345233718</v>
      </c>
      <c r="O59" s="13"/>
      <c r="P59" s="1">
        <f>SUM(OSRRefP22_11x_0)</f>
        <v>156427.13</v>
      </c>
      <c r="Q59" s="1"/>
      <c r="R59" s="5">
        <f t="shared" si="33"/>
        <v>7.8355374908170058E-2</v>
      </c>
      <c r="S59" s="1"/>
      <c r="T59" s="1">
        <f>SUM(OSRRefT22_11x_0)</f>
        <v>177235.59</v>
      </c>
      <c r="U59" s="1"/>
      <c r="V59" s="5">
        <f t="shared" si="34"/>
        <v>7.8911686729585109E-2</v>
      </c>
      <c r="W59" s="1"/>
      <c r="X59" s="1">
        <f t="shared" si="35"/>
        <v>-20808.459999999992</v>
      </c>
      <c r="Y59" s="1"/>
      <c r="Z59" s="5">
        <f t="shared" si="36"/>
        <v>-0.11740565199122813</v>
      </c>
    </row>
    <row r="60" spans="1:26" s="24" customFormat="1" hidden="1" outlineLevel="2" x14ac:dyDescent="0.25">
      <c r="A60" s="27"/>
      <c r="B60" s="11" t="str">
        <f>CONCATENATE("          ", "6387", " - ", "COMMISSION DUE HOUSING")</f>
        <v xml:space="preserve">          6387 - COMMISSION DUE HOUSING</v>
      </c>
      <c r="C60" s="11"/>
      <c r="D60" s="6">
        <v>256</v>
      </c>
      <c r="E60" s="2"/>
      <c r="F60" s="7">
        <f t="shared" si="29"/>
        <v>0</v>
      </c>
      <c r="G60" s="2"/>
      <c r="H60" s="6">
        <v>22816.63</v>
      </c>
      <c r="I60" s="2"/>
      <c r="J60" s="7">
        <f t="shared" si="30"/>
        <v>7.9032259796416496E-2</v>
      </c>
      <c r="K60" s="2"/>
      <c r="L60" s="6">
        <f t="shared" si="31"/>
        <v>-22560.63</v>
      </c>
      <c r="M60" s="2"/>
      <c r="N60" s="7">
        <f t="shared" si="32"/>
        <v>-0.98878011345233718</v>
      </c>
      <c r="O60" s="11"/>
      <c r="P60" s="6">
        <v>156427.13</v>
      </c>
      <c r="Q60" s="2"/>
      <c r="R60" s="7">
        <f t="shared" si="33"/>
        <v>7.8355374908170058E-2</v>
      </c>
      <c r="S60" s="2"/>
      <c r="T60" s="6">
        <v>177235.59</v>
      </c>
      <c r="U60" s="2"/>
      <c r="V60" s="7">
        <f t="shared" si="34"/>
        <v>7.8911686729585109E-2</v>
      </c>
      <c r="W60" s="2"/>
      <c r="X60" s="6">
        <f t="shared" si="35"/>
        <v>-20808.459999999992</v>
      </c>
      <c r="Y60" s="2"/>
      <c r="Z60" s="7">
        <f t="shared" si="36"/>
        <v>-0.11740565199122813</v>
      </c>
    </row>
    <row r="61" spans="1:26" s="25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SUM(OSRRefD22_12x_0)</f>
        <v>0</v>
      </c>
      <c r="E61" s="1"/>
      <c r="F61" s="5">
        <f t="shared" si="29"/>
        <v>0</v>
      </c>
      <c r="G61" s="1"/>
      <c r="H61" s="1">
        <f>SUM(OSRRefH22_12x_0)</f>
        <v>0</v>
      </c>
      <c r="I61" s="1"/>
      <c r="J61" s="5">
        <f t="shared" si="30"/>
        <v>0</v>
      </c>
      <c r="K61" s="1"/>
      <c r="L61" s="1">
        <f t="shared" si="31"/>
        <v>0</v>
      </c>
      <c r="M61" s="1"/>
      <c r="N61" s="5">
        <f t="shared" si="32"/>
        <v>0</v>
      </c>
      <c r="O61" s="13"/>
      <c r="P61" s="1">
        <f>SUM(OSRRefP22_12x_0)</f>
        <v>212.16</v>
      </c>
      <c r="Q61" s="1"/>
      <c r="R61" s="5">
        <f t="shared" si="33"/>
        <v>1.062723348597993E-4</v>
      </c>
      <c r="S61" s="1"/>
      <c r="T61" s="1">
        <f>SUM(OSRRefT22_12x_0)</f>
        <v>-7079.29</v>
      </c>
      <c r="U61" s="1"/>
      <c r="V61" s="5">
        <f t="shared" si="34"/>
        <v>-3.1519556244199295E-3</v>
      </c>
      <c r="W61" s="1"/>
      <c r="X61" s="1">
        <f t="shared" si="35"/>
        <v>7291.45</v>
      </c>
      <c r="Y61" s="1"/>
      <c r="Z61" s="5">
        <f t="shared" si="36"/>
        <v>-1.0299691070714718</v>
      </c>
    </row>
    <row r="62" spans="1:26" s="24" customFormat="1" hidden="1" outlineLevel="2" x14ac:dyDescent="0.2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/>
      <c r="Q62" s="2"/>
      <c r="R62" s="7">
        <f t="shared" si="33"/>
        <v>0</v>
      </c>
      <c r="S62" s="2"/>
      <c r="T62" s="6">
        <v>-7371.28</v>
      </c>
      <c r="U62" s="2"/>
      <c r="V62" s="7">
        <f t="shared" si="34"/>
        <v>-3.2819601196128617E-3</v>
      </c>
      <c r="W62" s="2"/>
      <c r="X62" s="6">
        <f t="shared" si="35"/>
        <v>7371.28</v>
      </c>
      <c r="Y62" s="2"/>
      <c r="Z62" s="7">
        <f t="shared" si="36"/>
        <v>-1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29"/>
        <v>0</v>
      </c>
      <c r="G63" s="2"/>
      <c r="H63" s="6"/>
      <c r="I63" s="2"/>
      <c r="J63" s="7">
        <f t="shared" si="30"/>
        <v>0</v>
      </c>
      <c r="K63" s="2"/>
      <c r="L63" s="6">
        <f t="shared" si="31"/>
        <v>0</v>
      </c>
      <c r="M63" s="2"/>
      <c r="N63" s="7">
        <f t="shared" si="32"/>
        <v>0</v>
      </c>
      <c r="O63" s="11"/>
      <c r="P63" s="6">
        <v>212.16</v>
      </c>
      <c r="Q63" s="2"/>
      <c r="R63" s="7">
        <f t="shared" si="33"/>
        <v>1.062723348597993E-4</v>
      </c>
      <c r="S63" s="2"/>
      <c r="T63" s="6">
        <v>202.38</v>
      </c>
      <c r="U63" s="2"/>
      <c r="V63" s="7">
        <f t="shared" si="34"/>
        <v>9.0106886321948283E-5</v>
      </c>
      <c r="W63" s="2"/>
      <c r="X63" s="6">
        <f t="shared" si="35"/>
        <v>9.7800000000000011</v>
      </c>
      <c r="Y63" s="2"/>
      <c r="Z63" s="7">
        <f t="shared" si="36"/>
        <v>4.8324933293803746E-2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29"/>
        <v>0</v>
      </c>
      <c r="G64" s="2"/>
      <c r="H64" s="6"/>
      <c r="I64" s="2"/>
      <c r="J64" s="7">
        <f t="shared" si="30"/>
        <v>0</v>
      </c>
      <c r="K64" s="2"/>
      <c r="L64" s="6">
        <f t="shared" si="31"/>
        <v>0</v>
      </c>
      <c r="M64" s="2"/>
      <c r="N64" s="7">
        <f t="shared" si="32"/>
        <v>0</v>
      </c>
      <c r="O64" s="11"/>
      <c r="P64" s="6">
        <v>0</v>
      </c>
      <c r="Q64" s="2"/>
      <c r="R64" s="7">
        <f t="shared" si="33"/>
        <v>0</v>
      </c>
      <c r="S64" s="2"/>
      <c r="T64" s="6">
        <v>89.61</v>
      </c>
      <c r="U64" s="2"/>
      <c r="V64" s="7">
        <f t="shared" si="34"/>
        <v>3.9897608870984218E-5</v>
      </c>
      <c r="W64" s="2"/>
      <c r="X64" s="6">
        <f t="shared" si="35"/>
        <v>-89.61</v>
      </c>
      <c r="Y64" s="2"/>
      <c r="Z64" s="7">
        <f t="shared" si="36"/>
        <v>-1</v>
      </c>
    </row>
    <row r="65" spans="1:26" s="25" customFormat="1" outlineLevel="1" collapsed="1" x14ac:dyDescent="0.25">
      <c r="A65" s="26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SUM(OSRRefD22_13x_0)</f>
        <v>238.55999999999995</v>
      </c>
      <c r="E65" s="1"/>
      <c r="F65" s="5">
        <f t="shared" ref="F65:F68" si="37">IF(D$12=0,0,D65/D$12)</f>
        <v>0</v>
      </c>
      <c r="G65" s="1"/>
      <c r="H65" s="1">
        <f>SUM(OSRRefH22_13x_0)</f>
        <v>6281.05</v>
      </c>
      <c r="I65" s="1"/>
      <c r="J65" s="5">
        <f t="shared" ref="J65:J68" si="38">IF(H$12=0,0,H65/H$12)</f>
        <v>2.1756305615434086E-2</v>
      </c>
      <c r="K65" s="1"/>
      <c r="L65" s="1">
        <f t="shared" ref="L65:L68" si="39">+D65-H65</f>
        <v>-6042.49</v>
      </c>
      <c r="M65" s="1"/>
      <c r="N65" s="5">
        <f t="shared" ref="N65:N68" si="40">IF(H65=0,0,L65/H65)</f>
        <v>-0.9620190891650281</v>
      </c>
      <c r="O65" s="13"/>
      <c r="P65" s="1">
        <f>SUM(OSRRefP22_13x_0)</f>
        <v>56447.61</v>
      </c>
      <c r="Q65" s="1"/>
      <c r="R65" s="5">
        <f t="shared" ref="R65:R68" si="41">IF(P$12=0,0,P65/P$12)</f>
        <v>2.8274977903258655E-2</v>
      </c>
      <c r="S65" s="1"/>
      <c r="T65" s="1">
        <f>SUM(OSRRefT22_13x_0)</f>
        <v>45867.95</v>
      </c>
      <c r="U65" s="1"/>
      <c r="V65" s="5">
        <f t="shared" ref="V65:V68" si="42">IF(T$12=0,0,T65/T$12)</f>
        <v>2.0422068171117736E-2</v>
      </c>
      <c r="W65" s="1"/>
      <c r="X65" s="1">
        <f t="shared" ref="X65:X68" si="43">+P65-T65</f>
        <v>10579.660000000003</v>
      </c>
      <c r="Y65" s="1"/>
      <c r="Z65" s="5">
        <f t="shared" ref="Z65:Z68" si="44">IF(T65=0,0,X65/T65)</f>
        <v>0.23065473822135074</v>
      </c>
    </row>
    <row r="66" spans="1:26" s="24" customFormat="1" hidden="1" outlineLevel="2" x14ac:dyDescent="0.25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741.41</v>
      </c>
      <c r="E66" s="2"/>
      <c r="F66" s="7">
        <f t="shared" si="37"/>
        <v>0</v>
      </c>
      <c r="G66" s="2"/>
      <c r="H66" s="6">
        <v>669.64</v>
      </c>
      <c r="I66" s="2"/>
      <c r="J66" s="7">
        <f t="shared" si="38"/>
        <v>2.3194995251302379E-3</v>
      </c>
      <c r="K66" s="2"/>
      <c r="L66" s="6">
        <f t="shared" si="39"/>
        <v>71.769999999999982</v>
      </c>
      <c r="M66" s="2"/>
      <c r="N66" s="7">
        <f t="shared" si="40"/>
        <v>0.10717699062182663</v>
      </c>
      <c r="O66" s="11"/>
      <c r="P66" s="6">
        <v>7516.04</v>
      </c>
      <c r="Q66" s="2"/>
      <c r="R66" s="7">
        <f t="shared" si="41"/>
        <v>3.7648337089915438E-3</v>
      </c>
      <c r="S66" s="2"/>
      <c r="T66" s="6">
        <v>6176.76</v>
      </c>
      <c r="U66" s="2"/>
      <c r="V66" s="7">
        <f t="shared" si="42"/>
        <v>2.7501166674471652E-3</v>
      </c>
      <c r="W66" s="2"/>
      <c r="X66" s="6">
        <f t="shared" si="43"/>
        <v>1339.2799999999997</v>
      </c>
      <c r="Y66" s="2"/>
      <c r="Z66" s="7">
        <f t="shared" si="44"/>
        <v>0.21682564969336671</v>
      </c>
    </row>
    <row r="67" spans="1:26" s="24" customFormat="1" hidden="1" outlineLevel="2" x14ac:dyDescent="0.25">
      <c r="A67" s="27"/>
      <c r="B67" s="11" t="str">
        <f>CONCATENATE("          ", "6285", " - ", "JANITORIAL SERVICES")</f>
        <v xml:space="preserve">          6285 - JANITORIAL SERVICES</v>
      </c>
      <c r="C67" s="11"/>
      <c r="D67" s="6">
        <v>-502.85</v>
      </c>
      <c r="E67" s="2"/>
      <c r="F67" s="7">
        <f t="shared" si="37"/>
        <v>0</v>
      </c>
      <c r="G67" s="2"/>
      <c r="H67" s="6">
        <v>3639.27</v>
      </c>
      <c r="I67" s="2"/>
      <c r="J67" s="7">
        <f t="shared" si="38"/>
        <v>1.2605706105998329E-2</v>
      </c>
      <c r="K67" s="2"/>
      <c r="L67" s="6">
        <f t="shared" si="39"/>
        <v>-4142.12</v>
      </c>
      <c r="M67" s="2"/>
      <c r="N67" s="7">
        <f t="shared" si="40"/>
        <v>-1.1381733149780038</v>
      </c>
      <c r="O67" s="11"/>
      <c r="P67" s="6">
        <v>35826.720000000001</v>
      </c>
      <c r="Q67" s="2"/>
      <c r="R67" s="7">
        <f t="shared" si="41"/>
        <v>1.7945838917648328E-2</v>
      </c>
      <c r="S67" s="2"/>
      <c r="T67" s="6">
        <v>27633.37</v>
      </c>
      <c r="U67" s="2"/>
      <c r="V67" s="7">
        <f t="shared" si="42"/>
        <v>1.2303374489980907E-2</v>
      </c>
      <c r="W67" s="2"/>
      <c r="X67" s="6">
        <f t="shared" si="43"/>
        <v>8193.3500000000022</v>
      </c>
      <c r="Y67" s="2"/>
      <c r="Z67" s="7">
        <f t="shared" si="44"/>
        <v>0.2965020191167419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37"/>
        <v>0</v>
      </c>
      <c r="G68" s="2"/>
      <c r="H68" s="6">
        <v>1972.14</v>
      </c>
      <c r="I68" s="2"/>
      <c r="J68" s="7">
        <f t="shared" si="38"/>
        <v>6.8310999843055184E-3</v>
      </c>
      <c r="K68" s="2"/>
      <c r="L68" s="6">
        <f t="shared" si="39"/>
        <v>-1972.14</v>
      </c>
      <c r="M68" s="2"/>
      <c r="N68" s="7">
        <f t="shared" si="40"/>
        <v>-1</v>
      </c>
      <c r="O68" s="11"/>
      <c r="P68" s="6">
        <v>13104.85</v>
      </c>
      <c r="Q68" s="2"/>
      <c r="R68" s="7">
        <f t="shared" si="41"/>
        <v>6.5643052766187829E-3</v>
      </c>
      <c r="S68" s="2"/>
      <c r="T68" s="6">
        <v>12057.82</v>
      </c>
      <c r="U68" s="2"/>
      <c r="V68" s="7">
        <f t="shared" si="42"/>
        <v>5.3685770136896651E-3</v>
      </c>
      <c r="W68" s="2"/>
      <c r="X68" s="6">
        <f t="shared" si="43"/>
        <v>1047.0300000000007</v>
      </c>
      <c r="Y68" s="2"/>
      <c r="Z68" s="7">
        <f t="shared" si="44"/>
        <v>8.6834104340585666E-2</v>
      </c>
    </row>
    <row r="69" spans="1:26" s="25" customFormat="1" outlineLevel="1" collapsed="1" x14ac:dyDescent="0.25">
      <c r="A69" s="26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SUM(OSRRefD22_14x_0)</f>
        <v>356.37</v>
      </c>
      <c r="E69" s="1"/>
      <c r="F69" s="5">
        <f t="shared" ref="F69:F76" si="45">IF(D$12=0,0,D69/D$12)</f>
        <v>0</v>
      </c>
      <c r="G69" s="1"/>
      <c r="H69" s="1">
        <f>SUM(OSRRefH22_14x_0)</f>
        <v>5979.0599999999995</v>
      </c>
      <c r="I69" s="1"/>
      <c r="J69" s="5">
        <f t="shared" ref="J69:J76" si="46">IF(H$12=0,0,H69/H$12)</f>
        <v>2.0710272431045337E-2</v>
      </c>
      <c r="K69" s="1"/>
      <c r="L69" s="1">
        <f t="shared" ref="L69:L76" si="47">+D69-H69</f>
        <v>-5622.69</v>
      </c>
      <c r="M69" s="1"/>
      <c r="N69" s="5">
        <f t="shared" ref="N69:N76" si="48">IF(H69=0,0,L69/H69)</f>
        <v>-0.94039698547932282</v>
      </c>
      <c r="O69" s="13"/>
      <c r="P69" s="1">
        <f>SUM(OSRRefP22_14x_0)</f>
        <v>43096.97</v>
      </c>
      <c r="Q69" s="1"/>
      <c r="R69" s="5">
        <f t="shared" ref="R69:R76" si="49">IF(P$12=0,0,P69/P$12)</f>
        <v>2.1587554804311487E-2</v>
      </c>
      <c r="S69" s="1"/>
      <c r="T69" s="1">
        <f>SUM(OSRRefT22_14x_0)</f>
        <v>47669.369999999995</v>
      </c>
      <c r="U69" s="1"/>
      <c r="V69" s="5">
        <f t="shared" ref="V69:V76" si="50">IF(T$12=0,0,T69/T$12)</f>
        <v>2.1224125425580057E-2</v>
      </c>
      <c r="W69" s="1"/>
      <c r="X69" s="1">
        <f t="shared" ref="X69:X76" si="51">+P69-T69</f>
        <v>-4572.3999999999942</v>
      </c>
      <c r="Y69" s="1"/>
      <c r="Z69" s="5">
        <f t="shared" ref="Z69:Z76" si="52">IF(T69=0,0,X69/T69)</f>
        <v>-9.5919035640705863E-2</v>
      </c>
    </row>
    <row r="70" spans="1:26" s="24" customFormat="1" hidden="1" outlineLevel="2" x14ac:dyDescent="0.25">
      <c r="A70" s="27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/>
      <c r="Q70" s="2"/>
      <c r="R70" s="7">
        <f t="shared" si="49"/>
        <v>0</v>
      </c>
      <c r="S70" s="2"/>
      <c r="T70" s="6">
        <v>30.98</v>
      </c>
      <c r="U70" s="2"/>
      <c r="V70" s="7">
        <f t="shared" si="50"/>
        <v>1.3793415052149215E-5</v>
      </c>
      <c r="W70" s="2"/>
      <c r="X70" s="6">
        <f t="shared" si="51"/>
        <v>-30.98</v>
      </c>
      <c r="Y70" s="2"/>
      <c r="Z70" s="7">
        <f t="shared" si="52"/>
        <v>-1</v>
      </c>
    </row>
    <row r="71" spans="1:26" s="24" customFormat="1" hidden="1" outlineLevel="2" x14ac:dyDescent="0.25">
      <c r="A71" s="27"/>
      <c r="B71" s="11" t="str">
        <f>CONCATENATE("          ", "6237", " - ", "JANITORIAL SUPPLIES")</f>
        <v xml:space="preserve">          6237 - JANITORIAL SUPPLIES</v>
      </c>
      <c r="C71" s="11"/>
      <c r="D71" s="6">
        <v>356.37</v>
      </c>
      <c r="E71" s="2"/>
      <c r="F71" s="7">
        <f t="shared" si="45"/>
        <v>0</v>
      </c>
      <c r="G71" s="2"/>
      <c r="H71" s="6">
        <v>1745.41</v>
      </c>
      <c r="I71" s="2"/>
      <c r="J71" s="7">
        <f t="shared" si="46"/>
        <v>6.0457524433390605E-3</v>
      </c>
      <c r="K71" s="2"/>
      <c r="L71" s="6">
        <f t="shared" si="47"/>
        <v>-1389.04</v>
      </c>
      <c r="M71" s="2"/>
      <c r="N71" s="7">
        <f t="shared" si="48"/>
        <v>-0.79582447677050083</v>
      </c>
      <c r="O71" s="11"/>
      <c r="P71" s="6">
        <v>12287.44</v>
      </c>
      <c r="Q71" s="2"/>
      <c r="R71" s="7">
        <f t="shared" si="49"/>
        <v>6.1548592489144632E-3</v>
      </c>
      <c r="S71" s="2"/>
      <c r="T71" s="6">
        <v>19770.809999999998</v>
      </c>
      <c r="U71" s="2"/>
      <c r="V71" s="7">
        <f t="shared" si="50"/>
        <v>8.8026787684694057E-3</v>
      </c>
      <c r="W71" s="2"/>
      <c r="X71" s="6">
        <f t="shared" si="51"/>
        <v>-7483.3699999999972</v>
      </c>
      <c r="Y71" s="2"/>
      <c r="Z71" s="7">
        <f t="shared" si="52"/>
        <v>-0.37850598938536145</v>
      </c>
    </row>
    <row r="72" spans="1:26" s="24" customFormat="1" hidden="1" outlineLevel="2" x14ac:dyDescent="0.25">
      <c r="A72" s="27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45"/>
        <v>0</v>
      </c>
      <c r="G72" s="2"/>
      <c r="H72" s="6">
        <v>103.62</v>
      </c>
      <c r="I72" s="2"/>
      <c r="J72" s="7">
        <f t="shared" si="46"/>
        <v>3.5891903230690408E-4</v>
      </c>
      <c r="K72" s="2"/>
      <c r="L72" s="6">
        <f t="shared" si="47"/>
        <v>-103.62</v>
      </c>
      <c r="M72" s="2"/>
      <c r="N72" s="7">
        <f t="shared" si="48"/>
        <v>-1</v>
      </c>
      <c r="O72" s="11"/>
      <c r="P72" s="6">
        <v>4550.0600000000004</v>
      </c>
      <c r="Q72" s="2"/>
      <c r="R72" s="7">
        <f t="shared" si="49"/>
        <v>2.279154882881686E-3</v>
      </c>
      <c r="S72" s="2"/>
      <c r="T72" s="6">
        <v>4047.58</v>
      </c>
      <c r="U72" s="2"/>
      <c r="V72" s="7">
        <f t="shared" si="50"/>
        <v>1.8021288217165306E-3</v>
      </c>
      <c r="W72" s="2"/>
      <c r="X72" s="6">
        <f t="shared" si="51"/>
        <v>502.48000000000047</v>
      </c>
      <c r="Y72" s="2"/>
      <c r="Z72" s="7">
        <f t="shared" si="52"/>
        <v>0.12414331526492385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45"/>
        <v>0</v>
      </c>
      <c r="G73" s="2"/>
      <c r="H73" s="6">
        <v>1060.1199999999999</v>
      </c>
      <c r="I73" s="2"/>
      <c r="J73" s="7">
        <f t="shared" si="46"/>
        <v>3.6720444366839908E-3</v>
      </c>
      <c r="K73" s="2"/>
      <c r="L73" s="6">
        <f t="shared" si="47"/>
        <v>-1060.1199999999999</v>
      </c>
      <c r="M73" s="2"/>
      <c r="N73" s="7">
        <f t="shared" si="48"/>
        <v>-1</v>
      </c>
      <c r="O73" s="11"/>
      <c r="P73" s="6">
        <v>18733.82</v>
      </c>
      <c r="Q73" s="2"/>
      <c r="R73" s="7">
        <f t="shared" si="49"/>
        <v>9.3838932515234036E-3</v>
      </c>
      <c r="S73" s="2"/>
      <c r="T73" s="6">
        <v>4269.21</v>
      </c>
      <c r="U73" s="2"/>
      <c r="V73" s="7">
        <f t="shared" si="50"/>
        <v>1.9008065033823741E-3</v>
      </c>
      <c r="W73" s="2"/>
      <c r="X73" s="6">
        <f t="shared" si="51"/>
        <v>14464.61</v>
      </c>
      <c r="Y73" s="2"/>
      <c r="Z73" s="7">
        <f t="shared" si="52"/>
        <v>3.388123329608991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45"/>
        <v>0</v>
      </c>
      <c r="G74" s="2"/>
      <c r="H74" s="6">
        <v>3069.91</v>
      </c>
      <c r="I74" s="2"/>
      <c r="J74" s="7">
        <f t="shared" si="46"/>
        <v>1.0633556518715382E-2</v>
      </c>
      <c r="K74" s="2"/>
      <c r="L74" s="6">
        <f t="shared" si="47"/>
        <v>-3069.91</v>
      </c>
      <c r="M74" s="2"/>
      <c r="N74" s="7">
        <f t="shared" si="48"/>
        <v>-1</v>
      </c>
      <c r="O74" s="11"/>
      <c r="P74" s="6">
        <v>14386.16</v>
      </c>
      <c r="Q74" s="2"/>
      <c r="R74" s="7">
        <f t="shared" si="49"/>
        <v>7.2061218555177714E-3</v>
      </c>
      <c r="S74" s="2"/>
      <c r="T74" s="6">
        <v>15650.82</v>
      </c>
      <c r="U74" s="2"/>
      <c r="V74" s="7">
        <f t="shared" si="50"/>
        <v>6.9683103991761766E-3</v>
      </c>
      <c r="W74" s="2"/>
      <c r="X74" s="6">
        <f t="shared" si="51"/>
        <v>-1264.6599999999999</v>
      </c>
      <c r="Y74" s="2"/>
      <c r="Z74" s="7">
        <f t="shared" si="52"/>
        <v>-8.0804711829795497E-2</v>
      </c>
    </row>
    <row r="75" spans="1:26" s="24" customFormat="1" hidden="1" outlineLevel="2" x14ac:dyDescent="0.25">
      <c r="A75" s="27"/>
      <c r="B75" s="11" t="str">
        <f>CONCATENATE("          ", "6245", " - ", "PRINTING")</f>
        <v xml:space="preserve">          6245 - PRINTING</v>
      </c>
      <c r="C75" s="11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>
        <v>469.44</v>
      </c>
      <c r="Q75" s="2"/>
      <c r="R75" s="7">
        <f t="shared" si="49"/>
        <v>2.3514557351331157E-4</v>
      </c>
      <c r="S75" s="2"/>
      <c r="T75" s="6"/>
      <c r="U75" s="2"/>
      <c r="V75" s="7">
        <f t="shared" si="50"/>
        <v>0</v>
      </c>
      <c r="W75" s="2"/>
      <c r="X75" s="6">
        <f t="shared" si="51"/>
        <v>469.44</v>
      </c>
      <c r="Y75" s="2"/>
      <c r="Z75" s="7">
        <f t="shared" si="52"/>
        <v>0</v>
      </c>
    </row>
    <row r="76" spans="1:26" s="24" customFormat="1" hidden="1" outlineLevel="2" x14ac:dyDescent="0.25">
      <c r="A76" s="27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>
        <v>-7329.95</v>
      </c>
      <c r="Q76" s="2"/>
      <c r="R76" s="7">
        <f t="shared" si="49"/>
        <v>-3.6716200080391492E-3</v>
      </c>
      <c r="S76" s="2"/>
      <c r="T76" s="6">
        <v>3899.97</v>
      </c>
      <c r="U76" s="2"/>
      <c r="V76" s="7">
        <f t="shared" si="50"/>
        <v>1.7364075177834204E-3</v>
      </c>
      <c r="W76" s="2"/>
      <c r="X76" s="6">
        <f t="shared" si="51"/>
        <v>-11229.92</v>
      </c>
      <c r="Y76" s="2"/>
      <c r="Z76" s="7">
        <f t="shared" si="52"/>
        <v>-2.8794888165806407</v>
      </c>
    </row>
    <row r="77" spans="1:26" s="25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SUM(OSRRefD22_15x_0)</f>
        <v>110.9</v>
      </c>
      <c r="E77" s="1"/>
      <c r="F77" s="5">
        <f t="shared" ref="F77:F83" si="53">IF(D$12=0,0,D77/D$12)</f>
        <v>0</v>
      </c>
      <c r="G77" s="1"/>
      <c r="H77" s="1">
        <f>SUM(OSRRefH22_15x_0)</f>
        <v>178.75</v>
      </c>
      <c r="I77" s="1"/>
      <c r="J77" s="5">
        <f t="shared" ref="J77:J83" si="54">IF(H$12=0,0,H77/H$12)</f>
        <v>6.1915438163345977E-4</v>
      </c>
      <c r="K77" s="1"/>
      <c r="L77" s="1">
        <f t="shared" ref="L77:L83" si="55">+D77-H77</f>
        <v>-67.849999999999994</v>
      </c>
      <c r="M77" s="1"/>
      <c r="N77" s="5">
        <f t="shared" ref="N77:N83" si="56">IF(H77=0,0,L77/H77)</f>
        <v>-0.37958041958041955</v>
      </c>
      <c r="O77" s="13"/>
      <c r="P77" s="1">
        <f>SUM(OSRRefP22_15x_0)</f>
        <v>1382.3</v>
      </c>
      <c r="Q77" s="1"/>
      <c r="R77" s="5">
        <f t="shared" ref="R77:R83" si="57">IF(P$12=0,0,P77/P$12)</f>
        <v>6.9240313196031569E-4</v>
      </c>
      <c r="S77" s="1"/>
      <c r="T77" s="1">
        <f>SUM(OSRRefT22_15x_0)</f>
        <v>1971.75</v>
      </c>
      <c r="U77" s="1"/>
      <c r="V77" s="5">
        <f t="shared" ref="V77:V83" si="58">IF(T$12=0,0,T77/T$12)</f>
        <v>8.778943230818339E-4</v>
      </c>
      <c r="W77" s="1"/>
      <c r="X77" s="1">
        <f t="shared" ref="X77:X83" si="59">+P77-T77</f>
        <v>-589.45000000000005</v>
      </c>
      <c r="Y77" s="1"/>
      <c r="Z77" s="5">
        <f t="shared" ref="Z77:Z83" si="60">IF(T77=0,0,X77/T77)</f>
        <v>-0.29894763534930902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6">
        <v>110.9</v>
      </c>
      <c r="E78" s="2"/>
      <c r="F78" s="7">
        <f t="shared" si="53"/>
        <v>0</v>
      </c>
      <c r="G78" s="2"/>
      <c r="H78" s="6">
        <v>178.75</v>
      </c>
      <c r="I78" s="2"/>
      <c r="J78" s="7">
        <f t="shared" si="54"/>
        <v>6.1915438163345977E-4</v>
      </c>
      <c r="K78" s="2"/>
      <c r="L78" s="6">
        <f t="shared" si="55"/>
        <v>-67.849999999999994</v>
      </c>
      <c r="M78" s="2"/>
      <c r="N78" s="7">
        <f t="shared" si="56"/>
        <v>-0.37958041958041955</v>
      </c>
      <c r="O78" s="11"/>
      <c r="P78" s="6">
        <v>1382.3</v>
      </c>
      <c r="Q78" s="2"/>
      <c r="R78" s="7">
        <f t="shared" si="57"/>
        <v>6.9240313196031569E-4</v>
      </c>
      <c r="S78" s="2"/>
      <c r="T78" s="6">
        <v>1971.75</v>
      </c>
      <c r="U78" s="2"/>
      <c r="V78" s="7">
        <f t="shared" si="58"/>
        <v>8.778943230818339E-4</v>
      </c>
      <c r="W78" s="2"/>
      <c r="X78" s="6">
        <f t="shared" si="59"/>
        <v>-589.45000000000005</v>
      </c>
      <c r="Y78" s="2"/>
      <c r="Z78" s="7">
        <f t="shared" si="60"/>
        <v>-0.29894763534930902</v>
      </c>
    </row>
    <row r="79" spans="1:26" s="25" customFormat="1" outlineLevel="1" collapsed="1" x14ac:dyDescent="0.25">
      <c r="A79" s="26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SUM(OSRRefD22_16x_0)</f>
        <v>0</v>
      </c>
      <c r="E79" s="1"/>
      <c r="F79" s="5">
        <f t="shared" si="53"/>
        <v>0</v>
      </c>
      <c r="G79" s="1"/>
      <c r="H79" s="1">
        <f>SUM(OSRRefH22_16x_0)</f>
        <v>0</v>
      </c>
      <c r="I79" s="1"/>
      <c r="J79" s="5">
        <f t="shared" si="54"/>
        <v>0</v>
      </c>
      <c r="K79" s="1"/>
      <c r="L79" s="1">
        <f t="shared" si="55"/>
        <v>0</v>
      </c>
      <c r="M79" s="1"/>
      <c r="N79" s="5">
        <f t="shared" si="56"/>
        <v>0</v>
      </c>
      <c r="O79" s="13"/>
      <c r="P79" s="1">
        <f>SUM(OSRRefP22_16x_0)</f>
        <v>1657.1</v>
      </c>
      <c r="Q79" s="1"/>
      <c r="R79" s="5">
        <f t="shared" si="57"/>
        <v>8.3005225346989737E-4</v>
      </c>
      <c r="S79" s="1"/>
      <c r="T79" s="1">
        <f>SUM(OSRRefT22_16x_0)</f>
        <v>1849.02</v>
      </c>
      <c r="U79" s="1"/>
      <c r="V79" s="5">
        <f t="shared" si="58"/>
        <v>8.2325049385813232E-4</v>
      </c>
      <c r="W79" s="1"/>
      <c r="X79" s="1">
        <f t="shared" si="59"/>
        <v>-191.92000000000007</v>
      </c>
      <c r="Y79" s="1"/>
      <c r="Z79" s="5">
        <f t="shared" si="60"/>
        <v>-0.10379552411547743</v>
      </c>
    </row>
    <row r="80" spans="1:26" s="24" customFormat="1" hidden="1" outlineLevel="2" x14ac:dyDescent="0.25">
      <c r="A80" s="27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53"/>
        <v>0</v>
      </c>
      <c r="G80" s="2"/>
      <c r="H80" s="6"/>
      <c r="I80" s="2"/>
      <c r="J80" s="7">
        <f t="shared" si="54"/>
        <v>0</v>
      </c>
      <c r="K80" s="2"/>
      <c r="L80" s="6">
        <f t="shared" si="55"/>
        <v>0</v>
      </c>
      <c r="M80" s="2"/>
      <c r="N80" s="7">
        <f t="shared" si="56"/>
        <v>0</v>
      </c>
      <c r="O80" s="11"/>
      <c r="P80" s="6">
        <v>1657.1</v>
      </c>
      <c r="Q80" s="2"/>
      <c r="R80" s="7">
        <f t="shared" si="57"/>
        <v>8.3005225346989737E-4</v>
      </c>
      <c r="S80" s="2"/>
      <c r="T80" s="6">
        <v>1849.02</v>
      </c>
      <c r="U80" s="2"/>
      <c r="V80" s="7">
        <f t="shared" si="58"/>
        <v>8.2325049385813232E-4</v>
      </c>
      <c r="W80" s="2"/>
      <c r="X80" s="6">
        <f t="shared" si="59"/>
        <v>-191.92000000000007</v>
      </c>
      <c r="Y80" s="2"/>
      <c r="Z80" s="7">
        <f t="shared" si="60"/>
        <v>-0.10379552411547743</v>
      </c>
    </row>
    <row r="81" spans="1:26" s="25" customFormat="1" outlineLevel="1" collapsed="1" x14ac:dyDescent="0.25">
      <c r="A81" s="26"/>
      <c r="B81" s="13" t="str">
        <f>CONCATENATE("     ","Travel                                            ")</f>
        <v xml:space="preserve">     Travel                                            </v>
      </c>
      <c r="C81" s="13"/>
      <c r="D81" s="1">
        <f>SUM(OSRRefD22_17x_0)</f>
        <v>0</v>
      </c>
      <c r="E81" s="1"/>
      <c r="F81" s="5">
        <f t="shared" si="53"/>
        <v>0</v>
      </c>
      <c r="G81" s="1"/>
      <c r="H81" s="1">
        <f>SUM(OSRRefH22_17x_0)</f>
        <v>31</v>
      </c>
      <c r="I81" s="1"/>
      <c r="J81" s="5">
        <f t="shared" si="54"/>
        <v>1.0737782282873988E-4</v>
      </c>
      <c r="K81" s="1"/>
      <c r="L81" s="1">
        <f t="shared" si="55"/>
        <v>-31</v>
      </c>
      <c r="M81" s="1"/>
      <c r="N81" s="5">
        <f t="shared" si="56"/>
        <v>-1</v>
      </c>
      <c r="O81" s="13"/>
      <c r="P81" s="1">
        <f>SUM(OSRRefP22_17x_0)</f>
        <v>79.510000000000005</v>
      </c>
      <c r="Q81" s="1"/>
      <c r="R81" s="5">
        <f t="shared" si="57"/>
        <v>3.9827080244639157E-5</v>
      </c>
      <c r="S81" s="1"/>
      <c r="T81" s="1">
        <f>SUM(OSRRefT22_17x_0)</f>
        <v>250.88</v>
      </c>
      <c r="U81" s="1"/>
      <c r="V81" s="5">
        <f t="shared" si="58"/>
        <v>1.1170083822734651E-4</v>
      </c>
      <c r="W81" s="1"/>
      <c r="X81" s="1">
        <f t="shared" si="59"/>
        <v>-171.37</v>
      </c>
      <c r="Y81" s="1"/>
      <c r="Z81" s="5">
        <f t="shared" si="60"/>
        <v>-0.68307557397959184</v>
      </c>
    </row>
    <row r="82" spans="1:26" s="24" customFormat="1" hidden="1" outlineLevel="2" x14ac:dyDescent="0.25">
      <c r="A82" s="27"/>
      <c r="B82" s="11" t="str">
        <f>CONCATENATE("          ", "6292", " - ", "TRAVEL/CONFERENCE")</f>
        <v xml:space="preserve">          6292 - TRAVEL/CONFERENCE</v>
      </c>
      <c r="C82" s="11"/>
      <c r="D82" s="6"/>
      <c r="E82" s="2"/>
      <c r="F82" s="7">
        <f t="shared" si="53"/>
        <v>0</v>
      </c>
      <c r="G82" s="2"/>
      <c r="H82" s="6">
        <v>31</v>
      </c>
      <c r="I82" s="2"/>
      <c r="J82" s="7">
        <f t="shared" si="54"/>
        <v>1.0737782282873988E-4</v>
      </c>
      <c r="K82" s="2"/>
      <c r="L82" s="6">
        <f t="shared" si="55"/>
        <v>-31</v>
      </c>
      <c r="M82" s="2"/>
      <c r="N82" s="7">
        <f t="shared" si="56"/>
        <v>-1</v>
      </c>
      <c r="O82" s="11"/>
      <c r="P82" s="6">
        <v>79.510000000000005</v>
      </c>
      <c r="Q82" s="2"/>
      <c r="R82" s="7">
        <f t="shared" si="57"/>
        <v>3.9827080244639157E-5</v>
      </c>
      <c r="S82" s="2"/>
      <c r="T82" s="6">
        <v>31</v>
      </c>
      <c r="U82" s="2"/>
      <c r="V82" s="7">
        <f t="shared" si="58"/>
        <v>1.3802319774584431E-5</v>
      </c>
      <c r="W82" s="2"/>
      <c r="X82" s="6">
        <f t="shared" si="59"/>
        <v>48.510000000000005</v>
      </c>
      <c r="Y82" s="2"/>
      <c r="Z82" s="7">
        <f t="shared" si="60"/>
        <v>1.5648387096774194</v>
      </c>
    </row>
    <row r="83" spans="1:26" s="24" customFormat="1" hidden="1" outlineLevel="2" x14ac:dyDescent="0.25">
      <c r="A83" s="27"/>
      <c r="B83" s="11" t="str">
        <f>CONCATENATE("          ", "6294", " - ", "TRAVEL OPERATIONAL")</f>
        <v xml:space="preserve">          6294 - TRAVEL OPERATIONAL</v>
      </c>
      <c r="C83" s="11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1"/>
      <c r="P83" s="6"/>
      <c r="Q83" s="2"/>
      <c r="R83" s="7">
        <f t="shared" si="57"/>
        <v>0</v>
      </c>
      <c r="S83" s="2"/>
      <c r="T83" s="6">
        <v>219.88</v>
      </c>
      <c r="U83" s="2"/>
      <c r="V83" s="7">
        <f t="shared" si="58"/>
        <v>9.7898518452762076E-5</v>
      </c>
      <c r="W83" s="2"/>
      <c r="X83" s="6">
        <f t="shared" si="59"/>
        <v>-219.88</v>
      </c>
      <c r="Y83" s="2"/>
      <c r="Z83" s="7">
        <f t="shared" si="60"/>
        <v>-1</v>
      </c>
    </row>
    <row r="84" spans="1:26" s="53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9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3</v>
      </c>
      <c r="C87" s="28"/>
      <c r="D87" s="21">
        <f>+D21-D23+D85</f>
        <v>16853.679999999997</v>
      </c>
      <c r="E87" s="14"/>
      <c r="F87" s="20">
        <f>IF(D$12=0,0,D87/D$12)</f>
        <v>0</v>
      </c>
      <c r="G87" s="14"/>
      <c r="H87" s="21">
        <f>+H21-H23+H85</f>
        <v>106170.92000000003</v>
      </c>
      <c r="I87" s="14"/>
      <c r="J87" s="20">
        <f>IF(H$12=0,0,H87/H$12)</f>
        <v>0.36775491088142964</v>
      </c>
      <c r="K87" s="15"/>
      <c r="L87" s="21">
        <f>+D87-H87</f>
        <v>-89317.240000000034</v>
      </c>
      <c r="M87" s="15"/>
      <c r="N87" s="20">
        <f>IF(H87=0,0,L87/H87)</f>
        <v>-0.84125898127283827</v>
      </c>
      <c r="O87" s="29"/>
      <c r="P87" s="21">
        <f>+P21-P23+P85</f>
        <v>394624.19999999972</v>
      </c>
      <c r="Q87" s="14"/>
      <c r="R87" s="20">
        <f>IF(P$12=0,0,P87/P$12)</f>
        <v>0.19766984882249428</v>
      </c>
      <c r="S87" s="14"/>
      <c r="T87" s="21">
        <f>+T21-T23+T85</f>
        <v>662491.40000000014</v>
      </c>
      <c r="U87" s="14"/>
      <c r="V87" s="20">
        <f>IF(T$12=0,0,T87/T$12)</f>
        <v>0.29496510163587503</v>
      </c>
      <c r="W87" s="15"/>
      <c r="X87" s="21">
        <f>+P87-T87</f>
        <v>-267867.20000000042</v>
      </c>
      <c r="Y87" s="15"/>
      <c r="Z87" s="20">
        <f>IF(T87=0,0,X87/T87)</f>
        <v>-0.40433309775794879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12757.72</v>
      </c>
      <c r="E89" s="4"/>
      <c r="F89" s="12">
        <f>IF(D$12=0,0,D89/D$12)</f>
        <v>0</v>
      </c>
      <c r="G89" s="4"/>
      <c r="H89" s="4">
        <v>31942.979999999996</v>
      </c>
      <c r="I89" s="4"/>
      <c r="J89" s="12">
        <f>IF(H$12=0,0,H89/H$12)</f>
        <v>0.11064411764716067</v>
      </c>
      <c r="K89" s="4"/>
      <c r="L89" s="4">
        <f>+D89-H89</f>
        <v>-19185.259999999995</v>
      </c>
      <c r="M89" s="4"/>
      <c r="N89" s="12">
        <f>IF(H89=0,0,L89/H89)</f>
        <v>-0.60060958620642146</v>
      </c>
      <c r="O89" s="10"/>
      <c r="P89" s="4">
        <v>226674.7</v>
      </c>
      <c r="Q89" s="4"/>
      <c r="R89" s="12">
        <f>IF(P$12=0,0,P89/P$12)</f>
        <v>0.11354284324398826</v>
      </c>
      <c r="S89" s="4"/>
      <c r="T89" s="4">
        <v>233490.84</v>
      </c>
      <c r="U89" s="4"/>
      <c r="V89" s="12">
        <f>IF(T$12=0,0,T89/T$12)</f>
        <v>0.10395855606826868</v>
      </c>
      <c r="W89" s="4"/>
      <c r="X89" s="4">
        <f>+P89-T89</f>
        <v>-6816.1399999999849</v>
      </c>
      <c r="Y89" s="4"/>
      <c r="Z89" s="12">
        <f>IF(T89=0,0,X89/T89)</f>
        <v>-2.9192322919391549E-2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4</v>
      </c>
      <c r="C91" s="28"/>
      <c r="D91" s="30">
        <f>+D87-D89</f>
        <v>4095.9599999999973</v>
      </c>
      <c r="E91" s="14"/>
      <c r="F91" s="36">
        <f>IF(D$12=0,0,D91/D$12)</f>
        <v>0</v>
      </c>
      <c r="G91" s="14"/>
      <c r="H91" s="30">
        <f>+H87-H89</f>
        <v>74227.940000000031</v>
      </c>
      <c r="I91" s="14"/>
      <c r="J91" s="36">
        <f>IF(H$12=0,0,H91/H$12)</f>
        <v>0.25711079323426894</v>
      </c>
      <c r="K91" s="15"/>
      <c r="L91" s="30">
        <f>D91-H91</f>
        <v>-70131.98000000004</v>
      </c>
      <c r="M91" s="15"/>
      <c r="N91" s="36">
        <f>IF(H91=0,0,L91/H91)</f>
        <v>-0.94481916108678232</v>
      </c>
      <c r="O91" s="29"/>
      <c r="P91" s="30">
        <f>+P87-P89</f>
        <v>167949.49999999971</v>
      </c>
      <c r="Q91" s="14"/>
      <c r="R91" s="36">
        <f>IF(P$12=0,0,P91/P$12)</f>
        <v>8.4127005578505998E-2</v>
      </c>
      <c r="S91" s="14"/>
      <c r="T91" s="30">
        <f>+T87-T89</f>
        <v>429000.56000000017</v>
      </c>
      <c r="U91" s="14"/>
      <c r="V91" s="36">
        <f>IF(T$12=0,0,T91/T$12)</f>
        <v>0.19100654556760635</v>
      </c>
      <c r="W91" s="15"/>
      <c r="X91" s="30">
        <f>P91-T91</f>
        <v>-261051.06000000046</v>
      </c>
      <c r="Y91" s="15"/>
      <c r="Z91" s="36">
        <f>IF(T91=0,0,X91/T91)</f>
        <v>-0.60850983504543765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5</v>
      </c>
      <c r="C94" s="28"/>
      <c r="D94" s="31">
        <f>SUM(D91:D93)</f>
        <v>4095.9599999999973</v>
      </c>
      <c r="E94" s="14"/>
      <c r="F94" s="32">
        <f>IF(D$12=0,0,D94/D$12)</f>
        <v>0</v>
      </c>
      <c r="G94" s="14"/>
      <c r="H94" s="31">
        <f>SUM(H91:H93)</f>
        <v>74227.940000000031</v>
      </c>
      <c r="I94" s="14"/>
      <c r="J94" s="32">
        <f>IF(H$12=0,0,H94/H$12)</f>
        <v>0.25711079323426894</v>
      </c>
      <c r="K94" s="15"/>
      <c r="L94" s="31">
        <f>+D94-H94</f>
        <v>-70131.98000000004</v>
      </c>
      <c r="M94" s="15"/>
      <c r="N94" s="32">
        <f>IF(H94=0,0,L94/H94)</f>
        <v>-0.94481916108678232</v>
      </c>
      <c r="O94" s="29"/>
      <c r="P94" s="31">
        <f>SUM(P91:P93)</f>
        <v>167949.49999999971</v>
      </c>
      <c r="Q94" s="14"/>
      <c r="R94" s="32">
        <f>IF(P$12=0,0,P94/P$12)</f>
        <v>8.4127005578505998E-2</v>
      </c>
      <c r="S94" s="14"/>
      <c r="T94" s="31">
        <f>SUM(T91:T93)</f>
        <v>429000.56000000017</v>
      </c>
      <c r="U94" s="14"/>
      <c r="V94" s="32">
        <f>IF(T$12=0,0,T94/T$12)</f>
        <v>0.19100654556760635</v>
      </c>
      <c r="W94" s="15"/>
      <c r="X94" s="31">
        <f>+P94-T94</f>
        <v>-261051.06000000046</v>
      </c>
      <c r="Y94" s="15"/>
      <c r="Z94" s="32">
        <f>IF(T94=0,0,X94/T94)</f>
        <v>-0.60850983504543765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4">
        <v>43965.471539502316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9" t="s">
        <v>313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61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">
        <v>296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25388</v>
      </c>
      <c r="E12" s="4"/>
      <c r="F12" s="12"/>
      <c r="G12" s="4"/>
      <c r="H12" s="4">
        <f>SUM(OSRRefH13x_0)</f>
        <v>138857</v>
      </c>
      <c r="I12" s="4"/>
      <c r="J12" s="12"/>
      <c r="K12" s="4"/>
      <c r="L12" s="4">
        <f t="shared" ref="L12:L13" si="0">+D12-H12</f>
        <v>-113469</v>
      </c>
      <c r="M12" s="4"/>
      <c r="N12" s="12">
        <f t="shared" ref="N12:N13" si="1">IF(H12=0,0,L12/H12)</f>
        <v>-0.81716442095105035</v>
      </c>
      <c r="O12" s="10"/>
      <c r="P12" s="4">
        <f>SUM(OSRRefP13x_0)</f>
        <v>404888</v>
      </c>
      <c r="Q12" s="4"/>
      <c r="R12" s="12"/>
      <c r="S12" s="4"/>
      <c r="T12" s="4">
        <f>SUM(OSRRefT13x_0)</f>
        <v>418906</v>
      </c>
      <c r="U12" s="4"/>
      <c r="V12" s="12"/>
      <c r="W12" s="4"/>
      <c r="X12" s="4">
        <f t="shared" ref="X12:X13" si="2">+P12-T12</f>
        <v>-14018</v>
      </c>
      <c r="Y12" s="4"/>
      <c r="Z12" s="12">
        <f t="shared" ref="Z12:Z13" si="3">IF(T12=0,0,X12/T12)</f>
        <v>-3.3463354547320877E-2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--25388</f>
        <v>25388</v>
      </c>
      <c r="E13" s="2"/>
      <c r="F13" s="19"/>
      <c r="G13" s="2"/>
      <c r="H13" s="2">
        <f>--138857</f>
        <v>138857</v>
      </c>
      <c r="I13" s="2"/>
      <c r="J13" s="19"/>
      <c r="K13" s="2"/>
      <c r="L13" s="2">
        <f t="shared" si="0"/>
        <v>-113469</v>
      </c>
      <c r="M13" s="2"/>
      <c r="N13" s="19">
        <f t="shared" si="1"/>
        <v>-0.81716442095105035</v>
      </c>
      <c r="O13" s="11"/>
      <c r="P13" s="2">
        <f>--404888</f>
        <v>404888</v>
      </c>
      <c r="Q13" s="2"/>
      <c r="R13" s="19"/>
      <c r="S13" s="2"/>
      <c r="T13" s="2">
        <f>--418906</f>
        <v>418906</v>
      </c>
      <c r="U13" s="2"/>
      <c r="V13" s="19"/>
      <c r="W13" s="2"/>
      <c r="X13" s="2">
        <f t="shared" si="2"/>
        <v>-14018</v>
      </c>
      <c r="Y13" s="2"/>
      <c r="Z13" s="19">
        <f t="shared" si="3"/>
        <v>-3.3463354547320877E-2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25388</v>
      </c>
      <c r="E17" s="14"/>
      <c r="F17" s="20">
        <f>IF(D$12=0,0,D17/D$12)</f>
        <v>1</v>
      </c>
      <c r="G17" s="14"/>
      <c r="H17" s="21">
        <f>H12-H15</f>
        <v>138857</v>
      </c>
      <c r="I17" s="14"/>
      <c r="J17" s="20">
        <f>IF(H$12=0,0,H17/H$12)</f>
        <v>1</v>
      </c>
      <c r="K17" s="15"/>
      <c r="L17" s="21">
        <f>+D17-H17</f>
        <v>-113469</v>
      </c>
      <c r="M17" s="15"/>
      <c r="N17" s="20">
        <f>IF(H17=0,0,L17/H17)</f>
        <v>-0.81716442095105035</v>
      </c>
      <c r="O17" s="29"/>
      <c r="P17" s="21">
        <f>P12-P15</f>
        <v>404888</v>
      </c>
      <c r="Q17" s="14"/>
      <c r="R17" s="20">
        <f>IF(P$12=0,0,P17/P$12)</f>
        <v>1</v>
      </c>
      <c r="S17" s="14"/>
      <c r="T17" s="21">
        <f>T12-T15</f>
        <v>418906</v>
      </c>
      <c r="U17" s="14"/>
      <c r="V17" s="20">
        <f>IF(T$12=0,0,T17/T$12)</f>
        <v>1</v>
      </c>
      <c r="W17" s="15"/>
      <c r="X17" s="21">
        <f>+P17-T17</f>
        <v>-14018</v>
      </c>
      <c r="Y17" s="15"/>
      <c r="Z17" s="20">
        <f>IF(T17=0,0,X17/T17)</f>
        <v>-3.3463354547320877E-2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2">
        <f>SUM(OSRRefD22x_0)</f>
        <v>16558.04</v>
      </c>
      <c r="E19" s="22"/>
      <c r="F19" s="35">
        <f t="shared" ref="F19:F28" si="4">IF(D$12=0,0,D19/D$12)</f>
        <v>0.65219946431384912</v>
      </c>
      <c r="G19" s="22"/>
      <c r="H19" s="22">
        <f>SUM(OSRRefH22x_0)</f>
        <v>138580.41999999998</v>
      </c>
      <c r="I19" s="22"/>
      <c r="J19" s="35">
        <f t="shared" ref="J19:J28" si="5">IF(H$12=0,0,H19/H$12)</f>
        <v>0.99800816667506853</v>
      </c>
      <c r="K19" s="4"/>
      <c r="L19" s="22">
        <f t="shared" ref="L19:L28" si="6">+D19-H19</f>
        <v>-122022.37999999998</v>
      </c>
      <c r="M19" s="4"/>
      <c r="N19" s="35">
        <f t="shared" ref="N19:N28" si="7">IF(H19=0,0,L19/H19)</f>
        <v>-0.88051674255280787</v>
      </c>
      <c r="O19" s="10"/>
      <c r="P19" s="22">
        <f>SUM(OSRRefP22x_0)</f>
        <v>384741.12</v>
      </c>
      <c r="Q19" s="22"/>
      <c r="R19" s="35">
        <f t="shared" ref="R19:R28" si="8">IF(P$12=0,0,P19/P$12)</f>
        <v>0.95024085673075021</v>
      </c>
      <c r="S19" s="22"/>
      <c r="T19" s="22">
        <f>SUM(OSRRefT22x_0)</f>
        <v>417424.3000000001</v>
      </c>
      <c r="U19" s="22"/>
      <c r="V19" s="35">
        <f t="shared" ref="V19:V28" si="9">IF(T$12=0,0,T19/T$12)</f>
        <v>0.99646292963099148</v>
      </c>
      <c r="W19" s="4"/>
      <c r="X19" s="22">
        <f t="shared" ref="X19:X28" si="10">+P19-T19</f>
        <v>-32683.180000000109</v>
      </c>
      <c r="Y19" s="4"/>
      <c r="Z19" s="35">
        <f t="shared" ref="Z19:Z28" si="11">IF(T19=0,0,X19/T19)</f>
        <v>-7.8297262521611941E-2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4493.4399999999996</v>
      </c>
      <c r="E20" s="1"/>
      <c r="F20" s="5">
        <f t="shared" si="4"/>
        <v>0.17699070426973371</v>
      </c>
      <c r="G20" s="1"/>
      <c r="H20" s="1">
        <f>SUM(OSRRefH22_0x_0)</f>
        <v>3525.33</v>
      </c>
      <c r="I20" s="1"/>
      <c r="J20" s="5">
        <f t="shared" si="5"/>
        <v>2.5388205131898284E-2</v>
      </c>
      <c r="K20" s="1"/>
      <c r="L20" s="1">
        <f t="shared" si="6"/>
        <v>968.10999999999967</v>
      </c>
      <c r="M20" s="1"/>
      <c r="N20" s="5">
        <f t="shared" si="7"/>
        <v>0.27461542607358735</v>
      </c>
      <c r="O20" s="13"/>
      <c r="P20" s="1">
        <f>SUM(OSRRefP22_0x_0)</f>
        <v>45041.630000000005</v>
      </c>
      <c r="Q20" s="1"/>
      <c r="R20" s="5">
        <f t="shared" si="8"/>
        <v>0.11124466519136157</v>
      </c>
      <c r="S20" s="1"/>
      <c r="T20" s="1">
        <f>SUM(OSRRefT22_0x_0)</f>
        <v>40458.090000000004</v>
      </c>
      <c r="U20" s="1"/>
      <c r="V20" s="5">
        <f t="shared" si="9"/>
        <v>9.6580354542546543E-2</v>
      </c>
      <c r="W20" s="1"/>
      <c r="X20" s="1">
        <f t="shared" si="10"/>
        <v>4583.5400000000009</v>
      </c>
      <c r="Y20" s="1"/>
      <c r="Z20" s="5">
        <f t="shared" si="11"/>
        <v>0.11329106243028281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1387.22</v>
      </c>
      <c r="E21" s="2"/>
      <c r="F21" s="7">
        <f t="shared" si="4"/>
        <v>5.464077516937136E-2</v>
      </c>
      <c r="G21" s="2"/>
      <c r="H21" s="6">
        <v>712.57</v>
      </c>
      <c r="I21" s="2"/>
      <c r="J21" s="7">
        <f t="shared" si="5"/>
        <v>5.1316822342409819E-3</v>
      </c>
      <c r="K21" s="2"/>
      <c r="L21" s="6">
        <f t="shared" si="6"/>
        <v>674.65</v>
      </c>
      <c r="M21" s="2"/>
      <c r="N21" s="7">
        <f t="shared" si="7"/>
        <v>0.94678417558976657</v>
      </c>
      <c r="O21" s="11"/>
      <c r="P21" s="6">
        <v>11147.7</v>
      </c>
      <c r="Q21" s="2"/>
      <c r="R21" s="7">
        <f t="shared" si="8"/>
        <v>2.753279919385114E-2</v>
      </c>
      <c r="S21" s="2"/>
      <c r="T21" s="6">
        <v>9005.2800000000007</v>
      </c>
      <c r="U21" s="2"/>
      <c r="V21" s="7">
        <f t="shared" si="9"/>
        <v>2.1497137782700654E-2</v>
      </c>
      <c r="W21" s="2"/>
      <c r="X21" s="6">
        <f t="shared" si="10"/>
        <v>2142.42</v>
      </c>
      <c r="Y21" s="2"/>
      <c r="Z21" s="7">
        <f t="shared" si="11"/>
        <v>0.23790709450455733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77.69</v>
      </c>
      <c r="E22" s="2"/>
      <c r="F22" s="7">
        <f t="shared" si="4"/>
        <v>3.0601071372301876E-3</v>
      </c>
      <c r="G22" s="2"/>
      <c r="H22" s="6">
        <v>42.71</v>
      </c>
      <c r="I22" s="2"/>
      <c r="J22" s="7">
        <f t="shared" si="5"/>
        <v>3.0758262096977466E-4</v>
      </c>
      <c r="K22" s="2"/>
      <c r="L22" s="6">
        <f t="shared" si="6"/>
        <v>34.979999999999997</v>
      </c>
      <c r="M22" s="2"/>
      <c r="N22" s="7">
        <f t="shared" si="7"/>
        <v>0.81901194099742436</v>
      </c>
      <c r="O22" s="11"/>
      <c r="P22" s="6">
        <v>548.53</v>
      </c>
      <c r="Q22" s="2"/>
      <c r="R22" s="7">
        <f t="shared" si="8"/>
        <v>1.3547697140937739E-3</v>
      </c>
      <c r="S22" s="2"/>
      <c r="T22" s="6">
        <v>495.86</v>
      </c>
      <c r="U22" s="2"/>
      <c r="V22" s="7">
        <f t="shared" si="9"/>
        <v>1.1837023103035049E-3</v>
      </c>
      <c r="W22" s="2"/>
      <c r="X22" s="6">
        <f t="shared" si="10"/>
        <v>52.669999999999959</v>
      </c>
      <c r="Y22" s="2"/>
      <c r="Z22" s="7">
        <f t="shared" si="11"/>
        <v>0.10621949743879312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1285.8499999999999</v>
      </c>
      <c r="E23" s="2"/>
      <c r="F23" s="7">
        <f t="shared" si="4"/>
        <v>5.0647943910508898E-2</v>
      </c>
      <c r="G23" s="2"/>
      <c r="H23" s="6">
        <v>1243.31</v>
      </c>
      <c r="I23" s="2"/>
      <c r="J23" s="7">
        <f t="shared" si="5"/>
        <v>8.9538878126417826E-3</v>
      </c>
      <c r="K23" s="2"/>
      <c r="L23" s="6">
        <f t="shared" si="6"/>
        <v>42.539999999999964</v>
      </c>
      <c r="M23" s="2"/>
      <c r="N23" s="7">
        <f t="shared" si="7"/>
        <v>3.4215119318593085E-2</v>
      </c>
      <c r="O23" s="11"/>
      <c r="P23" s="6">
        <v>12641.87</v>
      </c>
      <c r="Q23" s="2"/>
      <c r="R23" s="7">
        <f t="shared" si="8"/>
        <v>3.1223128371302682E-2</v>
      </c>
      <c r="S23" s="2"/>
      <c r="T23" s="6">
        <v>12299.22</v>
      </c>
      <c r="U23" s="2"/>
      <c r="V23" s="7">
        <f t="shared" si="9"/>
        <v>2.9360333821907537E-2</v>
      </c>
      <c r="W23" s="2"/>
      <c r="X23" s="6">
        <f t="shared" si="10"/>
        <v>342.65000000000146</v>
      </c>
      <c r="Y23" s="2"/>
      <c r="Z23" s="7">
        <f t="shared" si="11"/>
        <v>2.7859490276619287E-2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32.200000000000003</v>
      </c>
      <c r="E24" s="2"/>
      <c r="F24" s="7">
        <f t="shared" si="4"/>
        <v>1.2683157397195526E-3</v>
      </c>
      <c r="G24" s="2"/>
      <c r="H24" s="6">
        <v>35.81</v>
      </c>
      <c r="I24" s="2"/>
      <c r="J24" s="7">
        <f t="shared" si="5"/>
        <v>2.578912118222344E-4</v>
      </c>
      <c r="K24" s="2"/>
      <c r="L24" s="6">
        <f t="shared" si="6"/>
        <v>-3.6099999999999994</v>
      </c>
      <c r="M24" s="2"/>
      <c r="N24" s="7">
        <f t="shared" si="7"/>
        <v>-0.10080982965652051</v>
      </c>
      <c r="O24" s="11"/>
      <c r="P24" s="6">
        <v>448.95</v>
      </c>
      <c r="Q24" s="2"/>
      <c r="R24" s="7">
        <f t="shared" si="8"/>
        <v>1.1088251565865128E-3</v>
      </c>
      <c r="S24" s="2"/>
      <c r="T24" s="6">
        <v>455.38</v>
      </c>
      <c r="U24" s="2"/>
      <c r="V24" s="7">
        <f t="shared" si="9"/>
        <v>1.0870696528576817E-3</v>
      </c>
      <c r="W24" s="2"/>
      <c r="X24" s="6">
        <f t="shared" si="10"/>
        <v>-6.4300000000000068</v>
      </c>
      <c r="Y24" s="2"/>
      <c r="Z24" s="7">
        <f t="shared" si="11"/>
        <v>-1.4120075541306176E-2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550.21</v>
      </c>
      <c r="E25" s="2"/>
      <c r="F25" s="7">
        <f t="shared" si="4"/>
        <v>2.1672049787301088E-2</v>
      </c>
      <c r="G25" s="2"/>
      <c r="H25" s="6">
        <v>544.30999999999995</v>
      </c>
      <c r="I25" s="2"/>
      <c r="J25" s="7">
        <f t="shared" si="5"/>
        <v>3.9199320163909633E-3</v>
      </c>
      <c r="K25" s="2"/>
      <c r="L25" s="6">
        <f t="shared" si="6"/>
        <v>5.9000000000000909</v>
      </c>
      <c r="M25" s="2"/>
      <c r="N25" s="7">
        <f t="shared" si="7"/>
        <v>1.0839411364847406E-2</v>
      </c>
      <c r="O25" s="11"/>
      <c r="P25" s="6">
        <v>7208.87</v>
      </c>
      <c r="Q25" s="2"/>
      <c r="R25" s="7">
        <f t="shared" si="8"/>
        <v>1.7804602754341942E-2</v>
      </c>
      <c r="S25" s="2"/>
      <c r="T25" s="6">
        <v>6580.92</v>
      </c>
      <c r="U25" s="2"/>
      <c r="V25" s="7">
        <f t="shared" si="9"/>
        <v>1.5709777372489294E-2</v>
      </c>
      <c r="W25" s="2"/>
      <c r="X25" s="6">
        <f t="shared" si="10"/>
        <v>627.94999999999982</v>
      </c>
      <c r="Y25" s="2"/>
      <c r="Z25" s="7">
        <f t="shared" si="11"/>
        <v>9.5419789330367155E-2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727.06</v>
      </c>
      <c r="E26" s="2"/>
      <c r="F26" s="7">
        <f t="shared" si="4"/>
        <v>2.8637939183866392E-2</v>
      </c>
      <c r="G26" s="2"/>
      <c r="H26" s="6">
        <v>534.38</v>
      </c>
      <c r="I26" s="2"/>
      <c r="J26" s="7">
        <f t="shared" si="5"/>
        <v>3.8484195971395033E-3</v>
      </c>
      <c r="K26" s="2"/>
      <c r="L26" s="6">
        <f t="shared" si="6"/>
        <v>192.67999999999995</v>
      </c>
      <c r="M26" s="2"/>
      <c r="N26" s="7">
        <f t="shared" si="7"/>
        <v>0.36056738650398584</v>
      </c>
      <c r="O26" s="11"/>
      <c r="P26" s="6">
        <v>7463.8</v>
      </c>
      <c r="Q26" s="2"/>
      <c r="R26" s="7">
        <f t="shared" si="8"/>
        <v>1.8434233664618365E-2</v>
      </c>
      <c r="S26" s="2"/>
      <c r="T26" s="6">
        <v>6207.79</v>
      </c>
      <c r="U26" s="2"/>
      <c r="V26" s="7">
        <f t="shared" si="9"/>
        <v>1.4819052484328226E-2</v>
      </c>
      <c r="W26" s="2"/>
      <c r="X26" s="6">
        <f t="shared" si="10"/>
        <v>1256.0100000000002</v>
      </c>
      <c r="Y26" s="2"/>
      <c r="Z26" s="7">
        <f t="shared" si="11"/>
        <v>0.2023280426689692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422.43</v>
      </c>
      <c r="E27" s="2"/>
      <c r="F27" s="7">
        <f t="shared" si="4"/>
        <v>1.6638963289743187E-2</v>
      </c>
      <c r="G27" s="2"/>
      <c r="H27" s="6">
        <v>266.83</v>
      </c>
      <c r="I27" s="2"/>
      <c r="J27" s="7">
        <f t="shared" si="5"/>
        <v>1.9216172033098798E-3</v>
      </c>
      <c r="K27" s="2"/>
      <c r="L27" s="6">
        <f t="shared" si="6"/>
        <v>155.60000000000002</v>
      </c>
      <c r="M27" s="2"/>
      <c r="N27" s="7">
        <f t="shared" si="7"/>
        <v>0.58314282501967551</v>
      </c>
      <c r="O27" s="11"/>
      <c r="P27" s="6">
        <v>4261.22</v>
      </c>
      <c r="Q27" s="2"/>
      <c r="R27" s="7">
        <f t="shared" si="8"/>
        <v>1.0524441326984253E-2</v>
      </c>
      <c r="S27" s="2"/>
      <c r="T27" s="6">
        <v>3409.67</v>
      </c>
      <c r="U27" s="2"/>
      <c r="V27" s="7">
        <f t="shared" si="9"/>
        <v>8.1394632686091865E-3</v>
      </c>
      <c r="W27" s="2"/>
      <c r="X27" s="6">
        <f t="shared" si="10"/>
        <v>851.55000000000018</v>
      </c>
      <c r="Y27" s="2"/>
      <c r="Z27" s="7">
        <f t="shared" si="11"/>
        <v>0.24974557655139651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10.78</v>
      </c>
      <c r="E28" s="2"/>
      <c r="F28" s="7">
        <f t="shared" si="4"/>
        <v>4.2461005199306758E-4</v>
      </c>
      <c r="G28" s="2"/>
      <c r="H28" s="6">
        <v>145.41</v>
      </c>
      <c r="I28" s="2"/>
      <c r="J28" s="7">
        <f t="shared" si="5"/>
        <v>1.0471924353831639E-3</v>
      </c>
      <c r="K28" s="2"/>
      <c r="L28" s="6">
        <f t="shared" si="6"/>
        <v>-134.63</v>
      </c>
      <c r="M28" s="2"/>
      <c r="N28" s="7">
        <f t="shared" si="7"/>
        <v>-0.92586479609380368</v>
      </c>
      <c r="O28" s="11"/>
      <c r="P28" s="6">
        <v>1320.69</v>
      </c>
      <c r="Q28" s="2"/>
      <c r="R28" s="7">
        <f t="shared" si="8"/>
        <v>3.2618650095828971E-3</v>
      </c>
      <c r="S28" s="2"/>
      <c r="T28" s="6">
        <v>2003.97</v>
      </c>
      <c r="U28" s="2"/>
      <c r="V28" s="7">
        <f t="shared" si="9"/>
        <v>4.7838178493504512E-3</v>
      </c>
      <c r="W28" s="2"/>
      <c r="X28" s="6">
        <f t="shared" si="10"/>
        <v>-683.28</v>
      </c>
      <c r="Y28" s="2"/>
      <c r="Z28" s="7">
        <f t="shared" si="11"/>
        <v>-0.34096318807167769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9735.4200000000019</v>
      </c>
      <c r="E29" s="1"/>
      <c r="F29" s="5">
        <f t="shared" ref="F29:F35" si="12">IF(D$12=0,0,D29/D$12)</f>
        <v>0.38346541673231455</v>
      </c>
      <c r="G29" s="1"/>
      <c r="H29" s="1">
        <f>SUM(OSRRefH22_1x_0)</f>
        <v>14471.769999999999</v>
      </c>
      <c r="I29" s="1"/>
      <c r="J29" s="5">
        <f t="shared" ref="J29:J35" si="13">IF(H$12=0,0,H29/H$12)</f>
        <v>0.10422067306653607</v>
      </c>
      <c r="K29" s="1"/>
      <c r="L29" s="1">
        <f t="shared" ref="L29:L35" si="14">+D29-H29</f>
        <v>-4736.3499999999967</v>
      </c>
      <c r="M29" s="1"/>
      <c r="N29" s="5">
        <f t="shared" ref="N29:N35" si="15">IF(H29=0,0,L29/H29)</f>
        <v>-0.32728201180643401</v>
      </c>
      <c r="O29" s="13"/>
      <c r="P29" s="1">
        <f>SUM(OSRRefP22_1x_0)</f>
        <v>165569.9</v>
      </c>
      <c r="Q29" s="1"/>
      <c r="R29" s="5">
        <f t="shared" ref="R29:R35" si="16">IF(P$12=0,0,P29/P$12)</f>
        <v>0.40892765406729759</v>
      </c>
      <c r="S29" s="1"/>
      <c r="T29" s="1">
        <f>SUM(OSRRefT22_1x_0)</f>
        <v>158819.21000000002</v>
      </c>
      <c r="U29" s="1"/>
      <c r="V29" s="5">
        <f t="shared" ref="V29:V35" si="17">IF(T$12=0,0,T29/T$12)</f>
        <v>0.37912851570519407</v>
      </c>
      <c r="W29" s="1"/>
      <c r="X29" s="1">
        <f t="shared" ref="X29:X35" si="18">+P29-T29</f>
        <v>6750.6899999999732</v>
      </c>
      <c r="Y29" s="1"/>
      <c r="Z29" s="5">
        <f t="shared" ref="Z29:Z35" si="19">IF(T29=0,0,X29/T29)</f>
        <v>4.2505500436628367E-2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>
        <v>5649.64</v>
      </c>
      <c r="E30" s="2"/>
      <c r="F30" s="7">
        <f t="shared" si="12"/>
        <v>0.22253190483693083</v>
      </c>
      <c r="G30" s="2"/>
      <c r="H30" s="6">
        <v>5784.94</v>
      </c>
      <c r="I30" s="2"/>
      <c r="J30" s="7">
        <f t="shared" si="13"/>
        <v>4.1661133396227769E-2</v>
      </c>
      <c r="K30" s="2"/>
      <c r="L30" s="6">
        <f t="shared" si="14"/>
        <v>-135.29999999999927</v>
      </c>
      <c r="M30" s="2"/>
      <c r="N30" s="7">
        <f t="shared" si="15"/>
        <v>-2.3388315176993933E-2</v>
      </c>
      <c r="O30" s="11"/>
      <c r="P30" s="6">
        <v>58631.590000000004</v>
      </c>
      <c r="Q30" s="2"/>
      <c r="R30" s="7">
        <f t="shared" si="16"/>
        <v>0.14480940408211654</v>
      </c>
      <c r="S30" s="2"/>
      <c r="T30" s="6">
        <v>57270.64</v>
      </c>
      <c r="U30" s="2"/>
      <c r="V30" s="7">
        <f t="shared" si="17"/>
        <v>0.13671477610728899</v>
      </c>
      <c r="W30" s="2"/>
      <c r="X30" s="6">
        <f t="shared" si="18"/>
        <v>1360.9500000000044</v>
      </c>
      <c r="Y30" s="2"/>
      <c r="Z30" s="7">
        <f t="shared" si="19"/>
        <v>2.3763485094631463E-2</v>
      </c>
    </row>
    <row r="31" spans="1:26" s="24" customFormat="1" hidden="1" outlineLevel="2" x14ac:dyDescent="0.25">
      <c r="A31" s="27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2.640449169980855E-2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7"/>
      <c r="B32" s="11" t="str">
        <f>CONCATENATE("          ", "6005", " - ", "TEMPORARY WAGES-HOURLY")</f>
        <v xml:space="preserve">          6005 - TEMPORARY WAGES-HOURLY</v>
      </c>
      <c r="C32" s="11"/>
      <c r="D32" s="6">
        <v>9075.7800000000007</v>
      </c>
      <c r="E32" s="2"/>
      <c r="F32" s="7">
        <f t="shared" si="12"/>
        <v>0.35748306286434539</v>
      </c>
      <c r="G32" s="2"/>
      <c r="H32" s="6">
        <v>3082.54</v>
      </c>
      <c r="I32" s="2"/>
      <c r="J32" s="7">
        <f t="shared" si="13"/>
        <v>2.2199384978791131E-2</v>
      </c>
      <c r="K32" s="2"/>
      <c r="L32" s="6">
        <f t="shared" si="14"/>
        <v>5993.2400000000007</v>
      </c>
      <c r="M32" s="2"/>
      <c r="N32" s="7">
        <f t="shared" si="15"/>
        <v>1.9442537647524447</v>
      </c>
      <c r="O32" s="11"/>
      <c r="P32" s="6">
        <v>75230.16</v>
      </c>
      <c r="Q32" s="2"/>
      <c r="R32" s="7">
        <f t="shared" si="16"/>
        <v>0.18580486455513626</v>
      </c>
      <c r="S32" s="2"/>
      <c r="T32" s="6">
        <v>33655.740000000005</v>
      </c>
      <c r="U32" s="2"/>
      <c r="V32" s="7">
        <f t="shared" si="17"/>
        <v>8.0341986030278881E-2</v>
      </c>
      <c r="W32" s="2"/>
      <c r="X32" s="6">
        <f t="shared" si="18"/>
        <v>41574.42</v>
      </c>
      <c r="Y32" s="2"/>
      <c r="Z32" s="7">
        <f t="shared" si="19"/>
        <v>1.2352846795227201</v>
      </c>
    </row>
    <row r="33" spans="1:26" s="24" customFormat="1" hidden="1" outlineLevel="2" x14ac:dyDescent="0.25">
      <c r="A33" s="27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911.63</v>
      </c>
      <c r="I33" s="2"/>
      <c r="J33" s="7">
        <f t="shared" si="13"/>
        <v>6.5652433798800208E-3</v>
      </c>
      <c r="K33" s="2"/>
      <c r="L33" s="6">
        <f t="shared" si="14"/>
        <v>-911.63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8448.66</v>
      </c>
      <c r="U33" s="2"/>
      <c r="V33" s="7">
        <f t="shared" si="17"/>
        <v>2.0168390999412755E-2</v>
      </c>
      <c r="W33" s="2"/>
      <c r="X33" s="6">
        <f t="shared" si="18"/>
        <v>-8448.66</v>
      </c>
      <c r="Y33" s="2"/>
      <c r="Z33" s="7">
        <f t="shared" si="19"/>
        <v>-1</v>
      </c>
    </row>
    <row r="34" spans="1:26" s="24" customFormat="1" hidden="1" outlineLevel="2" x14ac:dyDescent="0.25">
      <c r="A34" s="27"/>
      <c r="B34" s="11" t="str">
        <f>CONCATENATE("          ", "6007", " - ", "STUDENT HOURLY")</f>
        <v xml:space="preserve">          6007 - STUDENT HOURLY</v>
      </c>
      <c r="C34" s="11"/>
      <c r="D34" s="6">
        <v>-4990</v>
      </c>
      <c r="E34" s="2"/>
      <c r="F34" s="7">
        <f t="shared" si="12"/>
        <v>-0.19654955096896171</v>
      </c>
      <c r="G34" s="2"/>
      <c r="H34" s="6">
        <v>4080.66</v>
      </c>
      <c r="I34" s="2"/>
      <c r="J34" s="7">
        <f t="shared" si="13"/>
        <v>2.9387499369855317E-2</v>
      </c>
      <c r="K34" s="2"/>
      <c r="L34" s="6">
        <f t="shared" si="14"/>
        <v>-9070.66</v>
      </c>
      <c r="M34" s="2"/>
      <c r="N34" s="7">
        <f t="shared" si="15"/>
        <v>-2.2228414031063601</v>
      </c>
      <c r="O34" s="11"/>
      <c r="P34" s="6">
        <v>25787.41</v>
      </c>
      <c r="Q34" s="2"/>
      <c r="R34" s="7">
        <f t="shared" si="16"/>
        <v>6.3690230384698981E-2</v>
      </c>
      <c r="S34" s="2"/>
      <c r="T34" s="6">
        <v>45648.32</v>
      </c>
      <c r="U34" s="2"/>
      <c r="V34" s="7">
        <f t="shared" si="17"/>
        <v>0.10897031792335274</v>
      </c>
      <c r="W34" s="2"/>
      <c r="X34" s="6">
        <f t="shared" si="18"/>
        <v>-19860.91</v>
      </c>
      <c r="Y34" s="2"/>
      <c r="Z34" s="7">
        <f t="shared" si="19"/>
        <v>-0.43508523424301265</v>
      </c>
    </row>
    <row r="35" spans="1:26" s="24" customFormat="1" hidden="1" outlineLevel="2" x14ac:dyDescent="0.25">
      <c r="A35" s="27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12"/>
        <v>0</v>
      </c>
      <c r="G35" s="2"/>
      <c r="H35" s="6">
        <v>612</v>
      </c>
      <c r="I35" s="2"/>
      <c r="J35" s="7">
        <f t="shared" si="13"/>
        <v>4.407411941781833E-3</v>
      </c>
      <c r="K35" s="2"/>
      <c r="L35" s="6">
        <f t="shared" si="14"/>
        <v>-612</v>
      </c>
      <c r="M35" s="2"/>
      <c r="N35" s="7">
        <f t="shared" si="15"/>
        <v>-1</v>
      </c>
      <c r="O35" s="11"/>
      <c r="P35" s="6">
        <v>5920.74</v>
      </c>
      <c r="Q35" s="2"/>
      <c r="R35" s="7">
        <f t="shared" si="16"/>
        <v>1.4623155045345873E-2</v>
      </c>
      <c r="S35" s="2"/>
      <c r="T35" s="6">
        <v>2734.85</v>
      </c>
      <c r="U35" s="2"/>
      <c r="V35" s="7">
        <f t="shared" si="17"/>
        <v>6.5285529450521121E-3</v>
      </c>
      <c r="W35" s="2"/>
      <c r="X35" s="6">
        <f t="shared" si="18"/>
        <v>3185.89</v>
      </c>
      <c r="Y35" s="2"/>
      <c r="Z35" s="7">
        <f t="shared" si="19"/>
        <v>1.1649231219262481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154.5</v>
      </c>
      <c r="I36" s="1"/>
      <c r="J36" s="5">
        <f t="shared" ref="J36:J44" si="21">IF(H$12=0,0,H36/H$12)</f>
        <v>1.1126554656949235E-3</v>
      </c>
      <c r="K36" s="1"/>
      <c r="L36" s="1">
        <f t="shared" ref="L36:L44" si="22">+D36-H36</f>
        <v>-154.5</v>
      </c>
      <c r="M36" s="1"/>
      <c r="N36" s="5">
        <f t="shared" ref="N36:N44" si="23">IF(H36=0,0,L36/H36)</f>
        <v>-1</v>
      </c>
      <c r="O36" s="13"/>
      <c r="P36" s="1">
        <f>SUM(OSRRefP22_2x_0)</f>
        <v>155.11000000000001</v>
      </c>
      <c r="Q36" s="1"/>
      <c r="R36" s="5">
        <f t="shared" ref="R36:R44" si="24">IF(P$12=0,0,P36/P$12)</f>
        <v>3.8309359625377887E-4</v>
      </c>
      <c r="S36" s="1"/>
      <c r="T36" s="1">
        <f>SUM(OSRRefT22_2x_0)</f>
        <v>3088.59</v>
      </c>
      <c r="U36" s="1"/>
      <c r="V36" s="5">
        <f t="shared" ref="V36:V44" si="25">IF(T$12=0,0,T36/T$12)</f>
        <v>7.3729905993229986E-3</v>
      </c>
      <c r="W36" s="1"/>
      <c r="X36" s="1">
        <f t="shared" ref="X36:X44" si="26">+P36-T36</f>
        <v>-2933.48</v>
      </c>
      <c r="Y36" s="1"/>
      <c r="Z36" s="5">
        <f t="shared" ref="Z36:Z44" si="27">IF(T36=0,0,X36/T36)</f>
        <v>-0.94977967292518584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154.5</v>
      </c>
      <c r="I37" s="2"/>
      <c r="J37" s="7">
        <f t="shared" si="21"/>
        <v>1.1126554656949235E-3</v>
      </c>
      <c r="K37" s="2"/>
      <c r="L37" s="6">
        <f t="shared" si="22"/>
        <v>-154.5</v>
      </c>
      <c r="M37" s="2"/>
      <c r="N37" s="7">
        <f t="shared" si="23"/>
        <v>-1</v>
      </c>
      <c r="O37" s="11"/>
      <c r="P37" s="6">
        <v>155.11000000000001</v>
      </c>
      <c r="Q37" s="2"/>
      <c r="R37" s="7">
        <f t="shared" si="24"/>
        <v>3.8309359625377887E-4</v>
      </c>
      <c r="S37" s="2"/>
      <c r="T37" s="6">
        <v>3088.59</v>
      </c>
      <c r="U37" s="2"/>
      <c r="V37" s="7">
        <f t="shared" si="25"/>
        <v>7.3729905993229986E-3</v>
      </c>
      <c r="W37" s="2"/>
      <c r="X37" s="6">
        <f t="shared" si="26"/>
        <v>-2933.48</v>
      </c>
      <c r="Y37" s="2"/>
      <c r="Z37" s="7">
        <f t="shared" si="27"/>
        <v>-0.94977967292518584</v>
      </c>
    </row>
    <row r="38" spans="1:26" s="25" customFormat="1" outlineLevel="1" collapsed="1" x14ac:dyDescent="0.25">
      <c r="A38" s="26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53.34</v>
      </c>
      <c r="E38" s="1"/>
      <c r="F38" s="5">
        <f t="shared" si="20"/>
        <v>2.1009925949267371E-3</v>
      </c>
      <c r="G38" s="1"/>
      <c r="H38" s="1">
        <f>SUM(OSRRefH22_3x_0)</f>
        <v>2016.78</v>
      </c>
      <c r="I38" s="1"/>
      <c r="J38" s="5">
        <f t="shared" si="21"/>
        <v>1.4524150745011054E-2</v>
      </c>
      <c r="K38" s="1"/>
      <c r="L38" s="1">
        <f t="shared" si="22"/>
        <v>-1963.44</v>
      </c>
      <c r="M38" s="1"/>
      <c r="N38" s="5">
        <f t="shared" si="23"/>
        <v>-0.9735518995626693</v>
      </c>
      <c r="O38" s="13"/>
      <c r="P38" s="1">
        <f>SUM(OSRRefP22_3x_0)</f>
        <v>17790.62</v>
      </c>
      <c r="Q38" s="1"/>
      <c r="R38" s="5">
        <f t="shared" si="24"/>
        <v>4.3939607990357822E-2</v>
      </c>
      <c r="S38" s="1"/>
      <c r="T38" s="1">
        <f>SUM(OSRRefT22_3x_0)</f>
        <v>20511.98</v>
      </c>
      <c r="U38" s="1"/>
      <c r="V38" s="5">
        <f t="shared" si="25"/>
        <v>4.8965591325977664E-2</v>
      </c>
      <c r="W38" s="1"/>
      <c r="X38" s="1">
        <f t="shared" si="26"/>
        <v>-2721.3600000000006</v>
      </c>
      <c r="Y38" s="1"/>
      <c r="Z38" s="5">
        <f t="shared" si="27"/>
        <v>-0.13267173622439182</v>
      </c>
    </row>
    <row r="39" spans="1:26" s="24" customFormat="1" hidden="1" outlineLevel="2" x14ac:dyDescent="0.25">
      <c r="A39" s="27"/>
      <c r="B39" s="11" t="str">
        <f>CONCATENATE("          ", "6381", " - ", "BANK/CREDIT CARD FEES")</f>
        <v xml:space="preserve">          6381 - BANK/CREDIT CARD FEES</v>
      </c>
      <c r="C39" s="11"/>
      <c r="D39" s="6">
        <v>53.34</v>
      </c>
      <c r="E39" s="2"/>
      <c r="F39" s="7">
        <f t="shared" si="20"/>
        <v>2.1009925949267371E-3</v>
      </c>
      <c r="G39" s="2"/>
      <c r="H39" s="6">
        <v>2016.78</v>
      </c>
      <c r="I39" s="2"/>
      <c r="J39" s="7">
        <f t="shared" si="21"/>
        <v>1.4524150745011054E-2</v>
      </c>
      <c r="K39" s="2"/>
      <c r="L39" s="6">
        <f t="shared" si="22"/>
        <v>-1963.44</v>
      </c>
      <c r="M39" s="2"/>
      <c r="N39" s="7">
        <f t="shared" si="23"/>
        <v>-0.9735518995626693</v>
      </c>
      <c r="O39" s="11"/>
      <c r="P39" s="6">
        <v>17790.62</v>
      </c>
      <c r="Q39" s="2"/>
      <c r="R39" s="7">
        <f t="shared" si="24"/>
        <v>4.3939607990357822E-2</v>
      </c>
      <c r="S39" s="2"/>
      <c r="T39" s="6">
        <v>20511.98</v>
      </c>
      <c r="U39" s="2"/>
      <c r="V39" s="7">
        <f t="shared" si="25"/>
        <v>4.8965591325977664E-2</v>
      </c>
      <c r="W39" s="2"/>
      <c r="X39" s="6">
        <f t="shared" si="26"/>
        <v>-2721.3600000000006</v>
      </c>
      <c r="Y39" s="2"/>
      <c r="Z39" s="7">
        <f t="shared" si="27"/>
        <v>-0.13267173622439182</v>
      </c>
    </row>
    <row r="40" spans="1:26" s="25" customFormat="1" outlineLevel="1" collapsed="1" x14ac:dyDescent="0.25">
      <c r="A40" s="26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1.5866116061725712E-4</v>
      </c>
      <c r="S40" s="1"/>
      <c r="T40" s="1">
        <f>SUM(OSRRefT22_4x_0)</f>
        <v>92.16</v>
      </c>
      <c r="U40" s="1"/>
      <c r="V40" s="5">
        <f t="shared" si="25"/>
        <v>2.2000162327586616E-4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7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1.5866116061725712E-4</v>
      </c>
      <c r="S41" s="2"/>
      <c r="T41" s="6">
        <v>92.16</v>
      </c>
      <c r="U41" s="2"/>
      <c r="V41" s="7">
        <f t="shared" si="25"/>
        <v>2.2000162327586616E-4</v>
      </c>
      <c r="W41" s="2"/>
      <c r="X41" s="6">
        <f t="shared" si="26"/>
        <v>-27.92</v>
      </c>
      <c r="Y41" s="2"/>
      <c r="Z41" s="7">
        <f t="shared" si="27"/>
        <v>-0.3029513888888889</v>
      </c>
    </row>
    <row r="42" spans="1:26" s="25" customFormat="1" outlineLevel="1" collapsed="1" x14ac:dyDescent="0.25">
      <c r="A42" s="26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102.21000000000001</v>
      </c>
      <c r="U42" s="1"/>
      <c r="V42" s="5">
        <f t="shared" si="25"/>
        <v>2.4399268570992063E-4</v>
      </c>
      <c r="W42" s="1"/>
      <c r="X42" s="1">
        <f t="shared" si="26"/>
        <v>-102.21000000000001</v>
      </c>
      <c r="Y42" s="1"/>
      <c r="Z42" s="5">
        <f t="shared" si="27"/>
        <v>-1</v>
      </c>
    </row>
    <row r="43" spans="1:26" s="24" customFormat="1" hidden="1" outlineLevel="2" x14ac:dyDescent="0.25">
      <c r="A43" s="27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54.57</v>
      </c>
      <c r="U43" s="2"/>
      <c r="V43" s="7">
        <f t="shared" si="25"/>
        <v>1.3026788826132831E-4</v>
      </c>
      <c r="W43" s="2"/>
      <c r="X43" s="6">
        <f t="shared" si="26"/>
        <v>-54.57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47.64</v>
      </c>
      <c r="U44" s="2"/>
      <c r="V44" s="7">
        <f t="shared" si="25"/>
        <v>1.1372479744859229E-4</v>
      </c>
      <c r="W44" s="2"/>
      <c r="X44" s="6">
        <f t="shared" si="26"/>
        <v>-47.64</v>
      </c>
      <c r="Y44" s="2"/>
      <c r="Z44" s="7">
        <f t="shared" si="27"/>
        <v>-1</v>
      </c>
    </row>
    <row r="45" spans="1:26" s="25" customFormat="1" outlineLevel="1" collapsed="1" x14ac:dyDescent="0.25">
      <c r="A45" s="26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3"/>
      <c r="P45" s="1">
        <f>SUM(OSRRefP22_6x_0)</f>
        <v>47.34</v>
      </c>
      <c r="Q45" s="1"/>
      <c r="R45" s="5">
        <f t="shared" ref="R45:R56" si="32">IF(P$12=0,0,P45/P$12)</f>
        <v>1.1692122265910574E-4</v>
      </c>
      <c r="S45" s="1"/>
      <c r="T45" s="1">
        <f>SUM(OSRRefT22_6x_0)</f>
        <v>661</v>
      </c>
      <c r="U45" s="1"/>
      <c r="V45" s="5">
        <f t="shared" ref="V45:V56" si="33">IF(T$12=0,0,T45/T$12)</f>
        <v>1.5779196287472607E-3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25">
      <c r="A46" s="27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47.34</v>
      </c>
      <c r="Q46" s="2"/>
      <c r="R46" s="7">
        <f t="shared" si="32"/>
        <v>1.1692122265910574E-4</v>
      </c>
      <c r="S46" s="2"/>
      <c r="T46" s="6">
        <v>661</v>
      </c>
      <c r="U46" s="2"/>
      <c r="V46" s="7">
        <f t="shared" si="33"/>
        <v>1.5779196287472607E-3</v>
      </c>
      <c r="W46" s="2"/>
      <c r="X46" s="6">
        <f t="shared" si="34"/>
        <v>-613.66</v>
      </c>
      <c r="Y46" s="2"/>
      <c r="Z46" s="7">
        <f t="shared" si="35"/>
        <v>-0.92838124054462934</v>
      </c>
    </row>
    <row r="47" spans="1:26" s="25" customFormat="1" outlineLevel="1" collapsed="1" x14ac:dyDescent="0.25">
      <c r="A47" s="26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1.1426658263746653E-3</v>
      </c>
      <c r="G47" s="1"/>
      <c r="H47" s="1">
        <f>SUM(OSRRefH22_7x_0)</f>
        <v>27.33</v>
      </c>
      <c r="I47" s="1"/>
      <c r="J47" s="5">
        <f t="shared" si="29"/>
        <v>1.9682119014525733E-4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290.10000000000002</v>
      </c>
      <c r="Q47" s="1"/>
      <c r="R47" s="5">
        <f t="shared" si="32"/>
        <v>7.1649443796803069E-4</v>
      </c>
      <c r="S47" s="1"/>
      <c r="T47" s="1">
        <f>SUM(OSRRefT22_7x_0)</f>
        <v>224.53</v>
      </c>
      <c r="U47" s="1"/>
      <c r="V47" s="5">
        <f t="shared" si="33"/>
        <v>5.359913679918645E-4</v>
      </c>
      <c r="W47" s="1"/>
      <c r="X47" s="1">
        <f t="shared" si="34"/>
        <v>65.570000000000022</v>
      </c>
      <c r="Y47" s="1"/>
      <c r="Z47" s="5">
        <f t="shared" si="35"/>
        <v>0.29203224513428061</v>
      </c>
    </row>
    <row r="48" spans="1:26" s="24" customFormat="1" hidden="1" outlineLevel="2" x14ac:dyDescent="0.25">
      <c r="A48" s="27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1.1426658263746653E-3</v>
      </c>
      <c r="G48" s="2"/>
      <c r="H48" s="6">
        <v>27.33</v>
      </c>
      <c r="I48" s="2"/>
      <c r="J48" s="7">
        <f t="shared" si="29"/>
        <v>1.9682119014525733E-4</v>
      </c>
      <c r="K48" s="2"/>
      <c r="L48" s="6">
        <f t="shared" si="30"/>
        <v>1.6800000000000033</v>
      </c>
      <c r="M48" s="2"/>
      <c r="N48" s="7">
        <f t="shared" si="31"/>
        <v>6.1470911086718018E-2</v>
      </c>
      <c r="O48" s="11"/>
      <c r="P48" s="6">
        <v>290.10000000000002</v>
      </c>
      <c r="Q48" s="2"/>
      <c r="R48" s="7">
        <f t="shared" si="32"/>
        <v>7.1649443796803069E-4</v>
      </c>
      <c r="S48" s="2"/>
      <c r="T48" s="6">
        <v>224.53</v>
      </c>
      <c r="U48" s="2"/>
      <c r="V48" s="7">
        <f t="shared" si="33"/>
        <v>5.359913679918645E-4</v>
      </c>
      <c r="W48" s="2"/>
      <c r="X48" s="6">
        <f t="shared" si="34"/>
        <v>65.570000000000022</v>
      </c>
      <c r="Y48" s="2"/>
      <c r="Z48" s="7">
        <f t="shared" si="35"/>
        <v>0.29203224513428061</v>
      </c>
    </row>
    <row r="49" spans="1:26" s="25" customFormat="1" outlineLevel="1" collapsed="1" x14ac:dyDescent="0.25">
      <c r="A49" s="26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4.0104462576329774E-3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7"/>
      <c r="B50" s="11" t="str">
        <f>CONCATENATE("          ", "6336", " - ", "PROFESSIONAL SERVICES")</f>
        <v xml:space="preserve">          6336 - PROFESSIONAL SERVICES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1680</v>
      </c>
      <c r="U50" s="2"/>
      <c r="V50" s="7">
        <f t="shared" si="33"/>
        <v>4.0104462576329774E-3</v>
      </c>
      <c r="W50" s="2"/>
      <c r="X50" s="6">
        <f t="shared" si="34"/>
        <v>-1680</v>
      </c>
      <c r="Y50" s="2"/>
      <c r="Z50" s="7">
        <f t="shared" si="35"/>
        <v>-1</v>
      </c>
    </row>
    <row r="51" spans="1:26" s="25" customFormat="1" outlineLevel="1" collapsed="1" x14ac:dyDescent="0.25">
      <c r="A51" s="26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3.1510950055144163E-2</v>
      </c>
      <c r="G51" s="1"/>
      <c r="H51" s="1">
        <f>SUM(OSRRefH22_9x_0)</f>
        <v>800</v>
      </c>
      <c r="I51" s="1"/>
      <c r="J51" s="5">
        <f t="shared" si="29"/>
        <v>5.7613227997148145E-3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6400</v>
      </c>
      <c r="Q51" s="1"/>
      <c r="R51" s="5">
        <f t="shared" si="32"/>
        <v>1.5806840410187508E-2</v>
      </c>
      <c r="S51" s="1"/>
      <c r="T51" s="1">
        <f>SUM(OSRRefT22_9x_0)</f>
        <v>7200</v>
      </c>
      <c r="U51" s="1"/>
      <c r="V51" s="5">
        <f t="shared" si="33"/>
        <v>1.7187626818427046E-2</v>
      </c>
      <c r="W51" s="1"/>
      <c r="X51" s="1">
        <f t="shared" si="34"/>
        <v>-800</v>
      </c>
      <c r="Y51" s="1"/>
      <c r="Z51" s="5">
        <f t="shared" si="35"/>
        <v>-0.1111111111111111</v>
      </c>
    </row>
    <row r="52" spans="1:26" s="24" customFormat="1" hidden="1" outlineLevel="2" x14ac:dyDescent="0.25">
      <c r="A52" s="27"/>
      <c r="B52" s="11" t="str">
        <f>CONCATENATE("          ", "6273", " - ", "RENT")</f>
        <v xml:space="preserve">          6273 - RENT</v>
      </c>
      <c r="C52" s="11"/>
      <c r="D52" s="6">
        <v>800</v>
      </c>
      <c r="E52" s="2"/>
      <c r="F52" s="7">
        <f t="shared" si="28"/>
        <v>3.1510950055144163E-2</v>
      </c>
      <c r="G52" s="2"/>
      <c r="H52" s="6">
        <v>800</v>
      </c>
      <c r="I52" s="2"/>
      <c r="J52" s="7">
        <f t="shared" si="29"/>
        <v>5.7613227997148145E-3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6400</v>
      </c>
      <c r="Q52" s="2"/>
      <c r="R52" s="7">
        <f t="shared" si="32"/>
        <v>1.5806840410187508E-2</v>
      </c>
      <c r="S52" s="2"/>
      <c r="T52" s="6">
        <v>7200</v>
      </c>
      <c r="U52" s="2"/>
      <c r="V52" s="7">
        <f t="shared" si="33"/>
        <v>1.7187626818427046E-2</v>
      </c>
      <c r="W52" s="2"/>
      <c r="X52" s="6">
        <f t="shared" si="34"/>
        <v>-800</v>
      </c>
      <c r="Y52" s="2"/>
      <c r="Z52" s="7">
        <f t="shared" si="35"/>
        <v>-0.1111111111111111</v>
      </c>
    </row>
    <row r="53" spans="1:26" s="25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0</v>
      </c>
      <c r="E53" s="1"/>
      <c r="F53" s="5">
        <f t="shared" si="28"/>
        <v>0</v>
      </c>
      <c r="G53" s="1"/>
      <c r="H53" s="1">
        <f>SUM(OSRRefH22_10x_0)</f>
        <v>115431.56</v>
      </c>
      <c r="I53" s="1"/>
      <c r="J53" s="5">
        <f t="shared" si="29"/>
        <v>0.83129809804331067</v>
      </c>
      <c r="K53" s="1"/>
      <c r="L53" s="1">
        <f t="shared" si="30"/>
        <v>-115431.56</v>
      </c>
      <c r="M53" s="1"/>
      <c r="N53" s="5">
        <f t="shared" si="31"/>
        <v>-1</v>
      </c>
      <c r="O53" s="13"/>
      <c r="P53" s="1">
        <f>SUM(OSRRefP22_10x_0)</f>
        <v>118520.76</v>
      </c>
      <c r="Q53" s="1"/>
      <c r="R53" s="5">
        <f t="shared" si="32"/>
        <v>0.29272480290845865</v>
      </c>
      <c r="S53" s="1"/>
      <c r="T53" s="1">
        <f>SUM(OSRRefT22_10x_0)</f>
        <v>116031.56</v>
      </c>
      <c r="U53" s="1"/>
      <c r="V53" s="5">
        <f t="shared" si="33"/>
        <v>0.27698710450554537</v>
      </c>
      <c r="W53" s="1"/>
      <c r="X53" s="1">
        <f t="shared" si="34"/>
        <v>2489.1999999999971</v>
      </c>
      <c r="Y53" s="1"/>
      <c r="Z53" s="5">
        <f t="shared" si="35"/>
        <v>2.1452784052890413E-2</v>
      </c>
    </row>
    <row r="54" spans="1:26" s="24" customFormat="1" hidden="1" outlineLevel="2" x14ac:dyDescent="0.2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437.31</v>
      </c>
      <c r="Q54" s="2"/>
      <c r="R54" s="7">
        <f t="shared" si="32"/>
        <v>1.0800764655904843E-3</v>
      </c>
      <c r="S54" s="2"/>
      <c r="T54" s="6"/>
      <c r="U54" s="2"/>
      <c r="V54" s="7">
        <f t="shared" si="33"/>
        <v>0</v>
      </c>
      <c r="W54" s="2"/>
      <c r="X54" s="6">
        <f t="shared" si="34"/>
        <v>437.31</v>
      </c>
      <c r="Y54" s="2"/>
      <c r="Z54" s="7">
        <f t="shared" si="35"/>
        <v>0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8"/>
        <v>0</v>
      </c>
      <c r="G55" s="2"/>
      <c r="H55" s="6">
        <v>115431.56</v>
      </c>
      <c r="I55" s="2"/>
      <c r="J55" s="7">
        <f t="shared" si="29"/>
        <v>0.83129809804331067</v>
      </c>
      <c r="K55" s="2"/>
      <c r="L55" s="6">
        <f t="shared" si="30"/>
        <v>-115431.56</v>
      </c>
      <c r="M55" s="2"/>
      <c r="N55" s="7">
        <f t="shared" si="31"/>
        <v>-1</v>
      </c>
      <c r="O55" s="11"/>
      <c r="P55" s="6">
        <v>117094</v>
      </c>
      <c r="Q55" s="2"/>
      <c r="R55" s="7">
        <f t="shared" si="32"/>
        <v>0.28920096421726504</v>
      </c>
      <c r="S55" s="2"/>
      <c r="T55" s="6">
        <v>115431.56</v>
      </c>
      <c r="U55" s="2"/>
      <c r="V55" s="7">
        <f t="shared" si="33"/>
        <v>0.27555480227067647</v>
      </c>
      <c r="W55" s="2"/>
      <c r="X55" s="6">
        <f t="shared" si="34"/>
        <v>1662.4400000000023</v>
      </c>
      <c r="Y55" s="2"/>
      <c r="Z55" s="7">
        <f t="shared" si="35"/>
        <v>1.4401953850402804E-2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989.45</v>
      </c>
      <c r="Q56" s="2"/>
      <c r="R56" s="7">
        <f t="shared" si="32"/>
        <v>2.4437622256031299E-3</v>
      </c>
      <c r="S56" s="2"/>
      <c r="T56" s="6">
        <v>600</v>
      </c>
      <c r="U56" s="2"/>
      <c r="V56" s="7">
        <f t="shared" si="33"/>
        <v>1.4323022348689204E-3</v>
      </c>
      <c r="W56" s="2"/>
      <c r="X56" s="6">
        <f t="shared" si="34"/>
        <v>389.45000000000005</v>
      </c>
      <c r="Y56" s="2"/>
      <c r="Z56" s="7">
        <f t="shared" si="35"/>
        <v>0.64908333333333346</v>
      </c>
    </row>
    <row r="57" spans="1:26" s="25" customFormat="1" outlineLevel="1" collapsed="1" x14ac:dyDescent="0.25">
      <c r="A57" s="26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63" si="36">IF(D$12=0,0,D57/D$12)</f>
        <v>0</v>
      </c>
      <c r="G57" s="1"/>
      <c r="H57" s="1">
        <f>SUM(OSRRefH22_11x_0)</f>
        <v>0</v>
      </c>
      <c r="I57" s="1"/>
      <c r="J57" s="5">
        <f t="shared" ref="J57:J63" si="37">IF(H$12=0,0,H57/H$12)</f>
        <v>0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3"/>
      <c r="P57" s="1">
        <f>SUM(OSRRefP22_11x_0)</f>
        <v>825</v>
      </c>
      <c r="Q57" s="1"/>
      <c r="R57" s="5">
        <f t="shared" ref="R57:R63" si="40">IF(P$12=0,0,P57/P$12)</f>
        <v>2.0376005216257336E-3</v>
      </c>
      <c r="S57" s="1"/>
      <c r="T57" s="1">
        <f>SUM(OSRRefT22_11x_0)</f>
        <v>0</v>
      </c>
      <c r="U57" s="1"/>
      <c r="V57" s="5">
        <f t="shared" ref="V57:V63" si="41">IF(T$12=0,0,T57/T$12)</f>
        <v>0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</v>
      </c>
    </row>
    <row r="58" spans="1:26" s="24" customFormat="1" hidden="1" outlineLevel="2" x14ac:dyDescent="0.25">
      <c r="A58" s="27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825</v>
      </c>
      <c r="Q58" s="2"/>
      <c r="R58" s="7">
        <f t="shared" si="40"/>
        <v>2.0376005216257336E-3</v>
      </c>
      <c r="S58" s="2"/>
      <c r="T58" s="6"/>
      <c r="U58" s="2"/>
      <c r="V58" s="7">
        <f t="shared" si="41"/>
        <v>0</v>
      </c>
      <c r="W58" s="2"/>
      <c r="X58" s="6">
        <f t="shared" si="42"/>
        <v>825</v>
      </c>
      <c r="Y58" s="2"/>
      <c r="Z58" s="7">
        <f t="shared" si="43"/>
        <v>0</v>
      </c>
    </row>
    <row r="59" spans="1:26" s="25" customFormat="1" outlineLevel="1" collapsed="1" x14ac:dyDescent="0.25">
      <c r="A59" s="26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SUM(OSRRefD22_12x_0)</f>
        <v>77.78</v>
      </c>
      <c r="E59" s="1"/>
      <c r="F59" s="5">
        <f t="shared" si="36"/>
        <v>3.0636521191113914E-3</v>
      </c>
      <c r="G59" s="1"/>
      <c r="H59" s="1">
        <f>SUM(OSRRefH22_12x_0)</f>
        <v>643.06000000000006</v>
      </c>
      <c r="I59" s="1"/>
      <c r="J59" s="5">
        <f t="shared" si="37"/>
        <v>4.6310952994807614E-3</v>
      </c>
      <c r="K59" s="1"/>
      <c r="L59" s="1">
        <f t="shared" si="38"/>
        <v>-565.28000000000009</v>
      </c>
      <c r="M59" s="1"/>
      <c r="N59" s="5">
        <f t="shared" si="39"/>
        <v>-0.87904705626224622</v>
      </c>
      <c r="O59" s="13"/>
      <c r="P59" s="1">
        <f>SUM(OSRRefP22_12x_0)</f>
        <v>24956.58</v>
      </c>
      <c r="Q59" s="1"/>
      <c r="R59" s="5">
        <f t="shared" si="40"/>
        <v>6.1638230819387095E-2</v>
      </c>
      <c r="S59" s="1"/>
      <c r="T59" s="1">
        <f>SUM(OSRRefT22_12x_0)</f>
        <v>60369.200000000004</v>
      </c>
      <c r="U59" s="1"/>
      <c r="V59" s="5">
        <f t="shared" si="41"/>
        <v>0.14411156679541473</v>
      </c>
      <c r="W59" s="1"/>
      <c r="X59" s="1">
        <f t="shared" si="42"/>
        <v>-35412.620000000003</v>
      </c>
      <c r="Y59" s="1"/>
      <c r="Z59" s="5">
        <f t="shared" si="43"/>
        <v>-0.58660078318082731</v>
      </c>
    </row>
    <row r="60" spans="1:26" s="24" customFormat="1" hidden="1" outlineLevel="2" x14ac:dyDescent="0.2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413.27</v>
      </c>
      <c r="Q60" s="2"/>
      <c r="R60" s="7">
        <f t="shared" si="40"/>
        <v>1.0207020212997175E-3</v>
      </c>
      <c r="S60" s="2"/>
      <c r="T60" s="6"/>
      <c r="U60" s="2"/>
      <c r="V60" s="7">
        <f t="shared" si="41"/>
        <v>0</v>
      </c>
      <c r="W60" s="2"/>
      <c r="X60" s="6">
        <f t="shared" si="42"/>
        <v>413.27</v>
      </c>
      <c r="Y60" s="2"/>
      <c r="Z60" s="7">
        <f t="shared" si="43"/>
        <v>0</v>
      </c>
    </row>
    <row r="61" spans="1:26" s="24" customFormat="1" hidden="1" outlineLevel="2" x14ac:dyDescent="0.25">
      <c r="A61" s="27"/>
      <c r="B61" s="11" t="str">
        <f>CONCATENATE("          ", "6241", " - ", "OFFICE EXPENSE")</f>
        <v xml:space="preserve">          6241 - OFFICE EXPENSE</v>
      </c>
      <c r="C61" s="11"/>
      <c r="D61" s="6">
        <v>77.78</v>
      </c>
      <c r="E61" s="2"/>
      <c r="F61" s="7">
        <f t="shared" si="36"/>
        <v>3.0636521191113914E-3</v>
      </c>
      <c r="G61" s="2"/>
      <c r="H61" s="6">
        <v>587.94000000000005</v>
      </c>
      <c r="I61" s="2"/>
      <c r="J61" s="7">
        <f t="shared" si="37"/>
        <v>4.23414015858041E-3</v>
      </c>
      <c r="K61" s="2"/>
      <c r="L61" s="6">
        <f t="shared" si="38"/>
        <v>-510.16000000000008</v>
      </c>
      <c r="M61" s="2"/>
      <c r="N61" s="7">
        <f t="shared" si="39"/>
        <v>-0.86770758920978341</v>
      </c>
      <c r="O61" s="11"/>
      <c r="P61" s="6">
        <v>24339.79</v>
      </c>
      <c r="Q61" s="2"/>
      <c r="R61" s="7">
        <f t="shared" si="40"/>
        <v>6.0114871273043415E-2</v>
      </c>
      <c r="S61" s="2"/>
      <c r="T61" s="6">
        <v>59213.78</v>
      </c>
      <c r="U61" s="2"/>
      <c r="V61" s="7">
        <f t="shared" si="41"/>
        <v>0.14135338238172765</v>
      </c>
      <c r="W61" s="2"/>
      <c r="X61" s="6">
        <f t="shared" si="42"/>
        <v>-34873.99</v>
      </c>
      <c r="Y61" s="2"/>
      <c r="Z61" s="7">
        <f t="shared" si="43"/>
        <v>-0.58895057873353129</v>
      </c>
    </row>
    <row r="62" spans="1:26" s="24" customFormat="1" hidden="1" outlineLevel="2" x14ac:dyDescent="0.25">
      <c r="A62" s="27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203.52</v>
      </c>
      <c r="Q62" s="2"/>
      <c r="R62" s="7">
        <f t="shared" si="40"/>
        <v>5.0265752504396284E-4</v>
      </c>
      <c r="S62" s="2"/>
      <c r="T62" s="6">
        <v>1100.3</v>
      </c>
      <c r="U62" s="2"/>
      <c r="V62" s="7">
        <f t="shared" si="41"/>
        <v>2.6266035817104553E-3</v>
      </c>
      <c r="W62" s="2"/>
      <c r="X62" s="6">
        <f t="shared" si="42"/>
        <v>-896.78</v>
      </c>
      <c r="Y62" s="2"/>
      <c r="Z62" s="7">
        <f t="shared" si="43"/>
        <v>-0.81503226392801964</v>
      </c>
    </row>
    <row r="63" spans="1:26" s="24" customFormat="1" hidden="1" outlineLevel="2" x14ac:dyDescent="0.25">
      <c r="A63" s="27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36"/>
        <v>0</v>
      </c>
      <c r="G63" s="2"/>
      <c r="H63" s="6">
        <v>55.12</v>
      </c>
      <c r="I63" s="2"/>
      <c r="J63" s="7">
        <f t="shared" si="37"/>
        <v>3.9695514090035068E-4</v>
      </c>
      <c r="K63" s="2"/>
      <c r="L63" s="6">
        <f t="shared" si="38"/>
        <v>-55.12</v>
      </c>
      <c r="M63" s="2"/>
      <c r="N63" s="7">
        <f t="shared" si="39"/>
        <v>-1</v>
      </c>
      <c r="O63" s="11"/>
      <c r="P63" s="6"/>
      <c r="Q63" s="2"/>
      <c r="R63" s="7">
        <f t="shared" si="40"/>
        <v>0</v>
      </c>
      <c r="S63" s="2"/>
      <c r="T63" s="6">
        <v>55.12</v>
      </c>
      <c r="U63" s="2"/>
      <c r="V63" s="7">
        <f t="shared" si="41"/>
        <v>1.3158083197662481E-4</v>
      </c>
      <c r="W63" s="2"/>
      <c r="X63" s="6">
        <f t="shared" si="42"/>
        <v>-55.12</v>
      </c>
      <c r="Y63" s="2"/>
      <c r="Z63" s="7">
        <f t="shared" si="43"/>
        <v>-1</v>
      </c>
    </row>
    <row r="64" spans="1:26" s="25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194.05</v>
      </c>
      <c r="E64" s="1"/>
      <c r="F64" s="5">
        <f t="shared" ref="F64:F67" si="44">IF(D$12=0,0,D64/D$12)</f>
        <v>7.6433748227509061E-3</v>
      </c>
      <c r="G64" s="1"/>
      <c r="H64" s="1">
        <f>SUM(OSRRefH22_13x_0)</f>
        <v>343.82</v>
      </c>
      <c r="I64" s="1"/>
      <c r="J64" s="5">
        <f t="shared" ref="J64:J67" si="45">IF(H$12=0,0,H64/H$12)</f>
        <v>2.4760725062474343E-3</v>
      </c>
      <c r="K64" s="1"/>
      <c r="L64" s="1">
        <f t="shared" ref="L64:L67" si="46">+D64-H64</f>
        <v>-149.76999999999998</v>
      </c>
      <c r="M64" s="1"/>
      <c r="N64" s="5">
        <f t="shared" ref="N64:N67" si="47">IF(H64=0,0,L64/H64)</f>
        <v>-0.43560584026525501</v>
      </c>
      <c r="O64" s="13"/>
      <c r="P64" s="1">
        <f>SUM(OSRRefP22_13x_0)</f>
        <v>1893.6</v>
      </c>
      <c r="Q64" s="1"/>
      <c r="R64" s="5">
        <f t="shared" ref="R64:R67" si="48">IF(P$12=0,0,P64/P$12)</f>
        <v>4.6768489063642293E-3</v>
      </c>
      <c r="S64" s="1"/>
      <c r="T64" s="1">
        <f>SUM(OSRRefT22_13x_0)</f>
        <v>3594.57</v>
      </c>
      <c r="U64" s="1"/>
      <c r="V64" s="5">
        <f t="shared" ref="V64:V67" si="49">IF(T$12=0,0,T64/T$12)</f>
        <v>8.5808510739879603E-3</v>
      </c>
      <c r="W64" s="1"/>
      <c r="X64" s="1">
        <f t="shared" ref="X64:X67" si="50">+P64-T64</f>
        <v>-1700.9700000000003</v>
      </c>
      <c r="Y64" s="1"/>
      <c r="Z64" s="5">
        <f t="shared" ref="Z64:Z67" si="51">IF(T64=0,0,X64/T64)</f>
        <v>-0.47320541817241007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194.05</v>
      </c>
      <c r="E65" s="2"/>
      <c r="F65" s="7">
        <f t="shared" si="44"/>
        <v>7.6433748227509061E-3</v>
      </c>
      <c r="G65" s="2"/>
      <c r="H65" s="6">
        <v>343.82</v>
      </c>
      <c r="I65" s="2"/>
      <c r="J65" s="7">
        <f t="shared" si="45"/>
        <v>2.4760725062474343E-3</v>
      </c>
      <c r="K65" s="2"/>
      <c r="L65" s="6">
        <f t="shared" si="46"/>
        <v>-149.76999999999998</v>
      </c>
      <c r="M65" s="2"/>
      <c r="N65" s="7">
        <f t="shared" si="47"/>
        <v>-0.43560584026525501</v>
      </c>
      <c r="O65" s="11"/>
      <c r="P65" s="6">
        <v>1893.6</v>
      </c>
      <c r="Q65" s="2"/>
      <c r="R65" s="7">
        <f t="shared" si="48"/>
        <v>4.6768489063642293E-3</v>
      </c>
      <c r="S65" s="2"/>
      <c r="T65" s="6">
        <v>3594.57</v>
      </c>
      <c r="U65" s="2"/>
      <c r="V65" s="7">
        <f t="shared" si="49"/>
        <v>8.5808510739879603E-3</v>
      </c>
      <c r="W65" s="2"/>
      <c r="X65" s="6">
        <f t="shared" si="50"/>
        <v>-1700.9700000000003</v>
      </c>
      <c r="Y65" s="2"/>
      <c r="Z65" s="7">
        <f t="shared" si="51"/>
        <v>-0.47320541817241007</v>
      </c>
    </row>
    <row r="66" spans="1:26" s="25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1175</v>
      </c>
      <c r="E66" s="1"/>
      <c r="F66" s="5">
        <f t="shared" si="44"/>
        <v>4.6281707893492986E-2</v>
      </c>
      <c r="G66" s="1"/>
      <c r="H66" s="1">
        <f>SUM(OSRRefH22_14x_0)</f>
        <v>1166.27</v>
      </c>
      <c r="I66" s="1"/>
      <c r="J66" s="5">
        <f t="shared" si="45"/>
        <v>8.3990724270292458E-3</v>
      </c>
      <c r="K66" s="1"/>
      <c r="L66" s="1">
        <f t="shared" si="46"/>
        <v>8.7300000000000182</v>
      </c>
      <c r="M66" s="1"/>
      <c r="N66" s="5">
        <f t="shared" si="47"/>
        <v>7.4854021795982221E-3</v>
      </c>
      <c r="O66" s="13"/>
      <c r="P66" s="1">
        <f>SUM(OSRRefP22_14x_0)</f>
        <v>3186.24</v>
      </c>
      <c r="Q66" s="1"/>
      <c r="R66" s="5">
        <f t="shared" si="48"/>
        <v>7.8694354982118513E-3</v>
      </c>
      <c r="S66" s="1"/>
      <c r="T66" s="1">
        <f>SUM(OSRRefT22_14x_0)</f>
        <v>4591.2</v>
      </c>
      <c r="U66" s="1"/>
      <c r="V66" s="5">
        <f t="shared" si="49"/>
        <v>1.0959976701216978E-2</v>
      </c>
      <c r="W66" s="1"/>
      <c r="X66" s="1">
        <f t="shared" si="50"/>
        <v>-1404.96</v>
      </c>
      <c r="Y66" s="1"/>
      <c r="Z66" s="5">
        <f t="shared" si="51"/>
        <v>-0.30601150026136958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6">
        <v>1175</v>
      </c>
      <c r="E67" s="2"/>
      <c r="F67" s="7">
        <f t="shared" si="44"/>
        <v>4.6281707893492986E-2</v>
      </c>
      <c r="G67" s="2"/>
      <c r="H67" s="6">
        <v>1166.27</v>
      </c>
      <c r="I67" s="2"/>
      <c r="J67" s="7">
        <f t="shared" si="45"/>
        <v>8.3990724270292458E-3</v>
      </c>
      <c r="K67" s="2"/>
      <c r="L67" s="6">
        <f t="shared" si="46"/>
        <v>8.7300000000000182</v>
      </c>
      <c r="M67" s="2"/>
      <c r="N67" s="7">
        <f t="shared" si="47"/>
        <v>7.4854021795982221E-3</v>
      </c>
      <c r="O67" s="11"/>
      <c r="P67" s="6">
        <v>3186.24</v>
      </c>
      <c r="Q67" s="2"/>
      <c r="R67" s="7">
        <f t="shared" si="48"/>
        <v>7.8694354982118513E-3</v>
      </c>
      <c r="S67" s="2"/>
      <c r="T67" s="6">
        <v>4591.2</v>
      </c>
      <c r="U67" s="2"/>
      <c r="V67" s="7">
        <f t="shared" si="49"/>
        <v>1.0959976701216978E-2</v>
      </c>
      <c r="W67" s="2"/>
      <c r="X67" s="6">
        <f t="shared" si="50"/>
        <v>-1404.96</v>
      </c>
      <c r="Y67" s="2"/>
      <c r="Z67" s="7">
        <f t="shared" si="51"/>
        <v>-0.30601150026136958</v>
      </c>
    </row>
    <row r="68" spans="1:26" s="53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9" t="s">
        <v>0</v>
      </c>
      <c r="C69" s="10"/>
      <c r="D69" s="4">
        <f>SUM(OSRRefD25x_0)</f>
        <v>181.5</v>
      </c>
      <c r="E69" s="4"/>
      <c r="F69" s="12">
        <f t="shared" ref="F69:F71" si="52">IF(D$12=0,0,D69/D$12)</f>
        <v>7.1490467937608323E-3</v>
      </c>
      <c r="G69" s="4"/>
      <c r="H69" s="4">
        <f>SUM(OSRRefH25x_0)</f>
        <v>2258.2600000000002</v>
      </c>
      <c r="I69" s="4"/>
      <c r="J69" s="12">
        <f t="shared" ref="J69:J71" si="53">IF(H$12=0,0,H69/H$12)</f>
        <v>1.6263206032104974E-2</v>
      </c>
      <c r="K69" s="4"/>
      <c r="L69" s="4">
        <f t="shared" ref="L69:L71" si="54">+D69-H69</f>
        <v>-2076.7600000000002</v>
      </c>
      <c r="M69" s="4"/>
      <c r="N69" s="12">
        <f t="shared" ref="N69:N71" si="55">IF(H69=0,0,L69/H69)</f>
        <v>-0.91962838645682965</v>
      </c>
      <c r="O69" s="10"/>
      <c r="P69" s="4">
        <f>SUM(OSRRefP25x_0)</f>
        <v>20517.75</v>
      </c>
      <c r="Q69" s="4"/>
      <c r="R69" s="12">
        <f t="shared" ref="R69:R71" si="56">IF(P$12=0,0,P69/P$12)</f>
        <v>5.0675124972831991E-2</v>
      </c>
      <c r="S69" s="4"/>
      <c r="T69" s="4">
        <f>SUM(OSRRefT25x_0)</f>
        <v>27201.09</v>
      </c>
      <c r="U69" s="4"/>
      <c r="V69" s="12">
        <f t="shared" ref="V69:V71" si="57">IF(T$12=0,0,T69/T$12)</f>
        <v>6.4933636663117744E-2</v>
      </c>
      <c r="W69" s="4"/>
      <c r="X69" s="4">
        <f t="shared" ref="X69:X71" si="58">+P69-T69</f>
        <v>-6683.34</v>
      </c>
      <c r="Y69" s="4"/>
      <c r="Z69" s="12">
        <f t="shared" ref="Z69:Z71" si="59">IF(T69=0,0,X69/T69)</f>
        <v>-0.24570118329816931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>--181.5</f>
        <v>181.5</v>
      </c>
      <c r="E70" s="2"/>
      <c r="F70" s="19">
        <f t="shared" si="52"/>
        <v>7.1490467937608323E-3</v>
      </c>
      <c r="G70" s="2"/>
      <c r="H70" s="2">
        <f>--2258.26</f>
        <v>2258.2600000000002</v>
      </c>
      <c r="I70" s="2"/>
      <c r="J70" s="19">
        <f t="shared" si="53"/>
        <v>1.6263206032104974E-2</v>
      </c>
      <c r="K70" s="2"/>
      <c r="L70" s="2">
        <f t="shared" si="54"/>
        <v>-2076.7600000000002</v>
      </c>
      <c r="M70" s="2"/>
      <c r="N70" s="19">
        <f t="shared" si="55"/>
        <v>-0.91962838645682965</v>
      </c>
      <c r="O70" s="11"/>
      <c r="P70" s="2">
        <f>--20517.75</f>
        <v>20517.75</v>
      </c>
      <c r="Q70" s="2"/>
      <c r="R70" s="19">
        <f t="shared" si="56"/>
        <v>5.0675124972831991E-2</v>
      </c>
      <c r="S70" s="2"/>
      <c r="T70" s="2">
        <f>--27030.74</f>
        <v>27030.74</v>
      </c>
      <c r="U70" s="2"/>
      <c r="V70" s="19">
        <f t="shared" si="57"/>
        <v>6.4526982186934548E-2</v>
      </c>
      <c r="W70" s="2"/>
      <c r="X70" s="2">
        <f t="shared" si="58"/>
        <v>-6512.9900000000016</v>
      </c>
      <c r="Y70" s="2"/>
      <c r="Z70" s="19">
        <f t="shared" si="59"/>
        <v>-0.24094752862851707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4.06654476183201E-4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+D17-D19+D69</f>
        <v>9011.4599999999991</v>
      </c>
      <c r="E73" s="14"/>
      <c r="F73" s="20">
        <f>IF(D$12=0,0,D73/D$12)</f>
        <v>0.35494958247991176</v>
      </c>
      <c r="G73" s="14"/>
      <c r="H73" s="21">
        <f>+H17-H19+H69</f>
        <v>2534.8400000000165</v>
      </c>
      <c r="I73" s="14"/>
      <c r="J73" s="20">
        <f>IF(H$12=0,0,H73/H$12)</f>
        <v>1.8255039357036495E-2</v>
      </c>
      <c r="K73" s="15"/>
      <c r="L73" s="21">
        <f>+D73-H73</f>
        <v>6476.6199999999826</v>
      </c>
      <c r="M73" s="15"/>
      <c r="N73" s="20">
        <f>IF(H73=0,0,L73/H73)</f>
        <v>2.5550409493301118</v>
      </c>
      <c r="O73" s="29"/>
      <c r="P73" s="21">
        <f>+P17-P19+P69</f>
        <v>40664.630000000005</v>
      </c>
      <c r="Q73" s="14"/>
      <c r="R73" s="20">
        <f>IF(P$12=0,0,P73/P$12)</f>
        <v>0.10043426824208178</v>
      </c>
      <c r="S73" s="14"/>
      <c r="T73" s="21">
        <f>+T17-T19+T69</f>
        <v>28682.789999999895</v>
      </c>
      <c r="U73" s="14"/>
      <c r="V73" s="20">
        <f>IF(T$12=0,0,T73/T$12)</f>
        <v>6.8470707032126293E-2</v>
      </c>
      <c r="W73" s="15"/>
      <c r="X73" s="21">
        <f>+P73-T73</f>
        <v>11981.840000000109</v>
      </c>
      <c r="Y73" s="15"/>
      <c r="Z73" s="20">
        <f>IF(T73=0,0,X73/T73)</f>
        <v>0.41773621045930864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5307.79</v>
      </c>
      <c r="E75" s="4"/>
      <c r="F75" s="12">
        <f>IF(D$12=0,0,D75/D$12)</f>
        <v>0.20906688199149204</v>
      </c>
      <c r="G75" s="4"/>
      <c r="H75" s="4">
        <v>14711.53</v>
      </c>
      <c r="I75" s="4"/>
      <c r="J75" s="12">
        <f>IF(H$12=0,0,H75/H$12)</f>
        <v>0.10594734150961062</v>
      </c>
      <c r="K75" s="4"/>
      <c r="L75" s="4">
        <f>+D75-H75</f>
        <v>-9403.7400000000016</v>
      </c>
      <c r="M75" s="4"/>
      <c r="N75" s="12">
        <f>IF(H75=0,0,L75/H75)</f>
        <v>-0.6392088382377632</v>
      </c>
      <c r="O75" s="10"/>
      <c r="P75" s="4">
        <v>45972.13</v>
      </c>
      <c r="Q75" s="4"/>
      <c r="R75" s="12">
        <f>IF(P$12=0,0,P75/P$12)</f>
        <v>0.11354283159787397</v>
      </c>
      <c r="S75" s="4"/>
      <c r="T75" s="4">
        <v>43548.86</v>
      </c>
      <c r="U75" s="4"/>
      <c r="V75" s="12">
        <f>IF(T$12=0,0,T75/T$12)</f>
        <v>0.1039585491733229</v>
      </c>
      <c r="W75" s="4"/>
      <c r="X75" s="4">
        <f>+P75-T75</f>
        <v>2423.2699999999968</v>
      </c>
      <c r="Y75" s="4"/>
      <c r="Z75" s="12">
        <f>IF(T75=0,0,X75/T75)</f>
        <v>5.5644854997352326E-2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0">
        <f>+D73-D75</f>
        <v>3703.6699999999992</v>
      </c>
      <c r="E77" s="14"/>
      <c r="F77" s="36">
        <f>IF(D$12=0,0,D77/D$12)</f>
        <v>0.1458827004884197</v>
      </c>
      <c r="G77" s="14"/>
      <c r="H77" s="30">
        <f>+H73-H75</f>
        <v>-12176.689999999984</v>
      </c>
      <c r="I77" s="14"/>
      <c r="J77" s="36">
        <f>IF(H$12=0,0,H77/H$12)</f>
        <v>-8.769230215257412E-2</v>
      </c>
      <c r="K77" s="15"/>
      <c r="L77" s="30">
        <f>D77-H77</f>
        <v>15880.359999999982</v>
      </c>
      <c r="M77" s="15"/>
      <c r="N77" s="36">
        <f>IF(H77=0,0,L77/H77)</f>
        <v>-1.3041606544964193</v>
      </c>
      <c r="O77" s="29"/>
      <c r="P77" s="30">
        <f>+P73-P75</f>
        <v>-5307.4999999999927</v>
      </c>
      <c r="Q77" s="14"/>
      <c r="R77" s="36">
        <f>IF(P$12=0,0,P77/P$12)</f>
        <v>-1.3108563355792201E-2</v>
      </c>
      <c r="S77" s="14"/>
      <c r="T77" s="30">
        <f>+T73-T75</f>
        <v>-14866.070000000105</v>
      </c>
      <c r="U77" s="14"/>
      <c r="V77" s="36">
        <f>IF(T$12=0,0,T77/T$12)</f>
        <v>-3.5487842141196609E-2</v>
      </c>
      <c r="W77" s="15"/>
      <c r="X77" s="30">
        <f>P77-T77</f>
        <v>9558.5700000001125</v>
      </c>
      <c r="Y77" s="15"/>
      <c r="Z77" s="36">
        <f>IF(T77=0,0,X77/T77)</f>
        <v>-0.64297894467065231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3703.6699999999992</v>
      </c>
      <c r="E80" s="14"/>
      <c r="F80" s="32">
        <f>IF(D$12=0,0,D80/D$12)</f>
        <v>0.1458827004884197</v>
      </c>
      <c r="G80" s="14"/>
      <c r="H80" s="31">
        <f>SUM(H77:H79)</f>
        <v>-12176.689999999984</v>
      </c>
      <c r="I80" s="14"/>
      <c r="J80" s="32">
        <f>IF(H$12=0,0,H80/H$12)</f>
        <v>-8.769230215257412E-2</v>
      </c>
      <c r="K80" s="15"/>
      <c r="L80" s="31">
        <f>+D80-H80</f>
        <v>15880.359999999982</v>
      </c>
      <c r="M80" s="15"/>
      <c r="N80" s="32">
        <f>IF(H80=0,0,L80/H80)</f>
        <v>-1.3041606544964193</v>
      </c>
      <c r="O80" s="29"/>
      <c r="P80" s="31">
        <f>SUM(P77:P79)</f>
        <v>-5307.4999999999927</v>
      </c>
      <c r="Q80" s="14"/>
      <c r="R80" s="32">
        <f>IF(P$12=0,0,P80/P$12)</f>
        <v>-1.3108563355792201E-2</v>
      </c>
      <c r="S80" s="14"/>
      <c r="T80" s="31">
        <f>SUM(T77:T79)</f>
        <v>-14866.070000000105</v>
      </c>
      <c r="U80" s="14"/>
      <c r="V80" s="32">
        <f>IF(T$12=0,0,T80/T$12)</f>
        <v>-3.5487842141196609E-2</v>
      </c>
      <c r="W80" s="15"/>
      <c r="X80" s="31">
        <f>+P80-T80</f>
        <v>9558.5700000001125</v>
      </c>
      <c r="Y80" s="15"/>
      <c r="Z80" s="32">
        <f>IF(T80=0,0,X80/T80)</f>
        <v>-0.64297894467065231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4">
        <v>43965.470657604164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59" t="s">
        <v>313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61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str">
        <f>CONCATENATE("Department ","501", " - ", "ID Card Services")</f>
        <v>Department 501 - ID Card Services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25388</v>
      </c>
      <c r="E12" s="4"/>
      <c r="F12" s="12"/>
      <c r="G12" s="4"/>
      <c r="H12" s="4">
        <f>SUM(OSRRefH13x_0)</f>
        <v>138857</v>
      </c>
      <c r="I12" s="4"/>
      <c r="J12" s="12"/>
      <c r="K12" s="4"/>
      <c r="L12" s="4">
        <f t="shared" ref="L12:L13" si="0">+D12-H12</f>
        <v>-113469</v>
      </c>
      <c r="M12" s="4"/>
      <c r="N12" s="12">
        <f t="shared" ref="N12:N13" si="1">IF(H12=0,0,L12/H12)</f>
        <v>-0.81716442095105035</v>
      </c>
      <c r="O12" s="10"/>
      <c r="P12" s="4">
        <f>SUM(OSRRefP13x_0)</f>
        <v>404888</v>
      </c>
      <c r="Q12" s="4"/>
      <c r="R12" s="12"/>
      <c r="S12" s="4"/>
      <c r="T12" s="4">
        <f>SUM(OSRRefT13x_0)</f>
        <v>418906</v>
      </c>
      <c r="U12" s="4"/>
      <c r="V12" s="12"/>
      <c r="W12" s="4"/>
      <c r="X12" s="4">
        <f t="shared" ref="X12:X13" si="2">+P12-T12</f>
        <v>-14018</v>
      </c>
      <c r="Y12" s="4"/>
      <c r="Z12" s="12">
        <f t="shared" ref="Z12:Z13" si="3">IF(T12=0,0,X12/T12)</f>
        <v>-3.3463354547320877E-2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--25388</f>
        <v>25388</v>
      </c>
      <c r="E13" s="2"/>
      <c r="F13" s="19"/>
      <c r="G13" s="2"/>
      <c r="H13" s="2">
        <f>--138857</f>
        <v>138857</v>
      </c>
      <c r="I13" s="2"/>
      <c r="J13" s="19"/>
      <c r="K13" s="2"/>
      <c r="L13" s="2">
        <f t="shared" si="0"/>
        <v>-113469</v>
      </c>
      <c r="M13" s="2"/>
      <c r="N13" s="19">
        <f t="shared" si="1"/>
        <v>-0.81716442095105035</v>
      </c>
      <c r="O13" s="11"/>
      <c r="P13" s="2">
        <f>--404888</f>
        <v>404888</v>
      </c>
      <c r="Q13" s="2"/>
      <c r="R13" s="19"/>
      <c r="S13" s="2"/>
      <c r="T13" s="2">
        <f>--418906</f>
        <v>418906</v>
      </c>
      <c r="U13" s="2"/>
      <c r="V13" s="19"/>
      <c r="W13" s="2"/>
      <c r="X13" s="2">
        <f t="shared" si="2"/>
        <v>-14018</v>
      </c>
      <c r="Y13" s="2"/>
      <c r="Z13" s="19">
        <f t="shared" si="3"/>
        <v>-3.3463354547320877E-2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25388</v>
      </c>
      <c r="E17" s="14"/>
      <c r="F17" s="20">
        <f>IF(D$12=0,0,D17/D$12)</f>
        <v>1</v>
      </c>
      <c r="G17" s="14"/>
      <c r="H17" s="21">
        <f>H12-H15</f>
        <v>138857</v>
      </c>
      <c r="I17" s="14"/>
      <c r="J17" s="20">
        <f>IF(H$12=0,0,H17/H$12)</f>
        <v>1</v>
      </c>
      <c r="K17" s="15"/>
      <c r="L17" s="21">
        <f>+D17-H17</f>
        <v>-113469</v>
      </c>
      <c r="M17" s="15"/>
      <c r="N17" s="20">
        <f>IF(H17=0,0,L17/H17)</f>
        <v>-0.81716442095105035</v>
      </c>
      <c r="O17" s="29"/>
      <c r="P17" s="21">
        <f>P12-P15</f>
        <v>404888</v>
      </c>
      <c r="Q17" s="14"/>
      <c r="R17" s="20">
        <f>IF(P$12=0,0,P17/P$12)</f>
        <v>1</v>
      </c>
      <c r="S17" s="14"/>
      <c r="T17" s="21">
        <f>T12-T15</f>
        <v>418906</v>
      </c>
      <c r="U17" s="14"/>
      <c r="V17" s="20">
        <f>IF(T$12=0,0,T17/T$12)</f>
        <v>1</v>
      </c>
      <c r="W17" s="15"/>
      <c r="X17" s="21">
        <f>+P17-T17</f>
        <v>-14018</v>
      </c>
      <c r="Y17" s="15"/>
      <c r="Z17" s="20">
        <f>IF(T17=0,0,X17/T17)</f>
        <v>-3.3463354547320877E-2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2">
        <f>SUM(OSRRefD22x_0)</f>
        <v>16558.04</v>
      </c>
      <c r="E19" s="22"/>
      <c r="F19" s="35">
        <f t="shared" ref="F19:F28" si="4">IF(D$12=0,0,D19/D$12)</f>
        <v>0.65219946431384912</v>
      </c>
      <c r="G19" s="22"/>
      <c r="H19" s="22">
        <f>SUM(OSRRefH22x_0)</f>
        <v>138580.41999999998</v>
      </c>
      <c r="I19" s="22"/>
      <c r="J19" s="35">
        <f t="shared" ref="J19:J28" si="5">IF(H$12=0,0,H19/H$12)</f>
        <v>0.99800816667506853</v>
      </c>
      <c r="K19" s="4"/>
      <c r="L19" s="22">
        <f t="shared" ref="L19:L28" si="6">+D19-H19</f>
        <v>-122022.37999999998</v>
      </c>
      <c r="M19" s="4"/>
      <c r="N19" s="35">
        <f t="shared" ref="N19:N28" si="7">IF(H19=0,0,L19/H19)</f>
        <v>-0.88051674255280787</v>
      </c>
      <c r="O19" s="10"/>
      <c r="P19" s="22">
        <f>SUM(OSRRefP22x_0)</f>
        <v>384741.12</v>
      </c>
      <c r="Q19" s="22"/>
      <c r="R19" s="35">
        <f t="shared" ref="R19:R28" si="8">IF(P$12=0,0,P19/P$12)</f>
        <v>0.95024085673075021</v>
      </c>
      <c r="S19" s="22"/>
      <c r="T19" s="22">
        <f>SUM(OSRRefT22x_0)</f>
        <v>417424.3000000001</v>
      </c>
      <c r="U19" s="22"/>
      <c r="V19" s="35">
        <f t="shared" ref="V19:V28" si="9">IF(T$12=0,0,T19/T$12)</f>
        <v>0.99646292963099148</v>
      </c>
      <c r="W19" s="4"/>
      <c r="X19" s="22">
        <f t="shared" ref="X19:X28" si="10">+P19-T19</f>
        <v>-32683.180000000109</v>
      </c>
      <c r="Y19" s="4"/>
      <c r="Z19" s="35">
        <f t="shared" ref="Z19:Z28" si="11">IF(T19=0,0,X19/T19)</f>
        <v>-7.8297262521611941E-2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4493.4399999999996</v>
      </c>
      <c r="E20" s="1"/>
      <c r="F20" s="5">
        <f t="shared" si="4"/>
        <v>0.17699070426973371</v>
      </c>
      <c r="G20" s="1"/>
      <c r="H20" s="1">
        <f>SUM(OSRRefH22_0x_0)</f>
        <v>3525.33</v>
      </c>
      <c r="I20" s="1"/>
      <c r="J20" s="5">
        <f t="shared" si="5"/>
        <v>2.5388205131898284E-2</v>
      </c>
      <c r="K20" s="1"/>
      <c r="L20" s="1">
        <f t="shared" si="6"/>
        <v>968.10999999999967</v>
      </c>
      <c r="M20" s="1"/>
      <c r="N20" s="5">
        <f t="shared" si="7"/>
        <v>0.27461542607358735</v>
      </c>
      <c r="O20" s="13"/>
      <c r="P20" s="1">
        <f>SUM(OSRRefP22_0x_0)</f>
        <v>45041.630000000005</v>
      </c>
      <c r="Q20" s="1"/>
      <c r="R20" s="5">
        <f t="shared" si="8"/>
        <v>0.11124466519136157</v>
      </c>
      <c r="S20" s="1"/>
      <c r="T20" s="1">
        <f>SUM(OSRRefT22_0x_0)</f>
        <v>40458.090000000004</v>
      </c>
      <c r="U20" s="1"/>
      <c r="V20" s="5">
        <f t="shared" si="9"/>
        <v>9.6580354542546543E-2</v>
      </c>
      <c r="W20" s="1"/>
      <c r="X20" s="1">
        <f t="shared" si="10"/>
        <v>4583.5400000000009</v>
      </c>
      <c r="Y20" s="1"/>
      <c r="Z20" s="5">
        <f t="shared" si="11"/>
        <v>0.11329106243028281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1387.22</v>
      </c>
      <c r="E21" s="2"/>
      <c r="F21" s="7">
        <f t="shared" si="4"/>
        <v>5.464077516937136E-2</v>
      </c>
      <c r="G21" s="2"/>
      <c r="H21" s="6">
        <v>712.57</v>
      </c>
      <c r="I21" s="2"/>
      <c r="J21" s="7">
        <f t="shared" si="5"/>
        <v>5.1316822342409819E-3</v>
      </c>
      <c r="K21" s="2"/>
      <c r="L21" s="6">
        <f t="shared" si="6"/>
        <v>674.65</v>
      </c>
      <c r="M21" s="2"/>
      <c r="N21" s="7">
        <f t="shared" si="7"/>
        <v>0.94678417558976657</v>
      </c>
      <c r="O21" s="11"/>
      <c r="P21" s="6">
        <v>11147.7</v>
      </c>
      <c r="Q21" s="2"/>
      <c r="R21" s="7">
        <f t="shared" si="8"/>
        <v>2.753279919385114E-2</v>
      </c>
      <c r="S21" s="2"/>
      <c r="T21" s="6">
        <v>9005.2800000000007</v>
      </c>
      <c r="U21" s="2"/>
      <c r="V21" s="7">
        <f t="shared" si="9"/>
        <v>2.1497137782700654E-2</v>
      </c>
      <c r="W21" s="2"/>
      <c r="X21" s="6">
        <f t="shared" si="10"/>
        <v>2142.42</v>
      </c>
      <c r="Y21" s="2"/>
      <c r="Z21" s="7">
        <f t="shared" si="11"/>
        <v>0.23790709450455733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77.69</v>
      </c>
      <c r="E22" s="2"/>
      <c r="F22" s="7">
        <f t="shared" si="4"/>
        <v>3.0601071372301876E-3</v>
      </c>
      <c r="G22" s="2"/>
      <c r="H22" s="6">
        <v>42.71</v>
      </c>
      <c r="I22" s="2"/>
      <c r="J22" s="7">
        <f t="shared" si="5"/>
        <v>3.0758262096977466E-4</v>
      </c>
      <c r="K22" s="2"/>
      <c r="L22" s="6">
        <f t="shared" si="6"/>
        <v>34.979999999999997</v>
      </c>
      <c r="M22" s="2"/>
      <c r="N22" s="7">
        <f t="shared" si="7"/>
        <v>0.81901194099742436</v>
      </c>
      <c r="O22" s="11"/>
      <c r="P22" s="6">
        <v>548.53</v>
      </c>
      <c r="Q22" s="2"/>
      <c r="R22" s="7">
        <f t="shared" si="8"/>
        <v>1.3547697140937739E-3</v>
      </c>
      <c r="S22" s="2"/>
      <c r="T22" s="6">
        <v>495.86</v>
      </c>
      <c r="U22" s="2"/>
      <c r="V22" s="7">
        <f t="shared" si="9"/>
        <v>1.1837023103035049E-3</v>
      </c>
      <c r="W22" s="2"/>
      <c r="X22" s="6">
        <f t="shared" si="10"/>
        <v>52.669999999999959</v>
      </c>
      <c r="Y22" s="2"/>
      <c r="Z22" s="7">
        <f t="shared" si="11"/>
        <v>0.10621949743879312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1285.8499999999999</v>
      </c>
      <c r="E23" s="2"/>
      <c r="F23" s="7">
        <f t="shared" si="4"/>
        <v>5.0647943910508898E-2</v>
      </c>
      <c r="G23" s="2"/>
      <c r="H23" s="6">
        <v>1243.31</v>
      </c>
      <c r="I23" s="2"/>
      <c r="J23" s="7">
        <f t="shared" si="5"/>
        <v>8.9538878126417826E-3</v>
      </c>
      <c r="K23" s="2"/>
      <c r="L23" s="6">
        <f t="shared" si="6"/>
        <v>42.539999999999964</v>
      </c>
      <c r="M23" s="2"/>
      <c r="N23" s="7">
        <f t="shared" si="7"/>
        <v>3.4215119318593085E-2</v>
      </c>
      <c r="O23" s="11"/>
      <c r="P23" s="6">
        <v>12641.87</v>
      </c>
      <c r="Q23" s="2"/>
      <c r="R23" s="7">
        <f t="shared" si="8"/>
        <v>3.1223128371302682E-2</v>
      </c>
      <c r="S23" s="2"/>
      <c r="T23" s="6">
        <v>12299.22</v>
      </c>
      <c r="U23" s="2"/>
      <c r="V23" s="7">
        <f t="shared" si="9"/>
        <v>2.9360333821907537E-2</v>
      </c>
      <c r="W23" s="2"/>
      <c r="X23" s="6">
        <f t="shared" si="10"/>
        <v>342.65000000000146</v>
      </c>
      <c r="Y23" s="2"/>
      <c r="Z23" s="7">
        <f t="shared" si="11"/>
        <v>2.7859490276619287E-2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32.200000000000003</v>
      </c>
      <c r="E24" s="2"/>
      <c r="F24" s="7">
        <f t="shared" si="4"/>
        <v>1.2683157397195526E-3</v>
      </c>
      <c r="G24" s="2"/>
      <c r="H24" s="6">
        <v>35.81</v>
      </c>
      <c r="I24" s="2"/>
      <c r="J24" s="7">
        <f t="shared" si="5"/>
        <v>2.578912118222344E-4</v>
      </c>
      <c r="K24" s="2"/>
      <c r="L24" s="6">
        <f t="shared" si="6"/>
        <v>-3.6099999999999994</v>
      </c>
      <c r="M24" s="2"/>
      <c r="N24" s="7">
        <f t="shared" si="7"/>
        <v>-0.10080982965652051</v>
      </c>
      <c r="O24" s="11"/>
      <c r="P24" s="6">
        <v>448.95</v>
      </c>
      <c r="Q24" s="2"/>
      <c r="R24" s="7">
        <f t="shared" si="8"/>
        <v>1.1088251565865128E-3</v>
      </c>
      <c r="S24" s="2"/>
      <c r="T24" s="6">
        <v>455.38</v>
      </c>
      <c r="U24" s="2"/>
      <c r="V24" s="7">
        <f t="shared" si="9"/>
        <v>1.0870696528576817E-3</v>
      </c>
      <c r="W24" s="2"/>
      <c r="X24" s="6">
        <f t="shared" si="10"/>
        <v>-6.4300000000000068</v>
      </c>
      <c r="Y24" s="2"/>
      <c r="Z24" s="7">
        <f t="shared" si="11"/>
        <v>-1.4120075541306176E-2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550.21</v>
      </c>
      <c r="E25" s="2"/>
      <c r="F25" s="7">
        <f t="shared" si="4"/>
        <v>2.1672049787301088E-2</v>
      </c>
      <c r="G25" s="2"/>
      <c r="H25" s="6">
        <v>544.30999999999995</v>
      </c>
      <c r="I25" s="2"/>
      <c r="J25" s="7">
        <f t="shared" si="5"/>
        <v>3.9199320163909633E-3</v>
      </c>
      <c r="K25" s="2"/>
      <c r="L25" s="6">
        <f t="shared" si="6"/>
        <v>5.9000000000000909</v>
      </c>
      <c r="M25" s="2"/>
      <c r="N25" s="7">
        <f t="shared" si="7"/>
        <v>1.0839411364847406E-2</v>
      </c>
      <c r="O25" s="11"/>
      <c r="P25" s="6">
        <v>7208.87</v>
      </c>
      <c r="Q25" s="2"/>
      <c r="R25" s="7">
        <f t="shared" si="8"/>
        <v>1.7804602754341942E-2</v>
      </c>
      <c r="S25" s="2"/>
      <c r="T25" s="6">
        <v>6580.92</v>
      </c>
      <c r="U25" s="2"/>
      <c r="V25" s="7">
        <f t="shared" si="9"/>
        <v>1.5709777372489294E-2</v>
      </c>
      <c r="W25" s="2"/>
      <c r="X25" s="6">
        <f t="shared" si="10"/>
        <v>627.94999999999982</v>
      </c>
      <c r="Y25" s="2"/>
      <c r="Z25" s="7">
        <f t="shared" si="11"/>
        <v>9.5419789330367155E-2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727.06</v>
      </c>
      <c r="E26" s="2"/>
      <c r="F26" s="7">
        <f t="shared" si="4"/>
        <v>2.8637939183866392E-2</v>
      </c>
      <c r="G26" s="2"/>
      <c r="H26" s="6">
        <v>534.38</v>
      </c>
      <c r="I26" s="2"/>
      <c r="J26" s="7">
        <f t="shared" si="5"/>
        <v>3.8484195971395033E-3</v>
      </c>
      <c r="K26" s="2"/>
      <c r="L26" s="6">
        <f t="shared" si="6"/>
        <v>192.67999999999995</v>
      </c>
      <c r="M26" s="2"/>
      <c r="N26" s="7">
        <f t="shared" si="7"/>
        <v>0.36056738650398584</v>
      </c>
      <c r="O26" s="11"/>
      <c r="P26" s="6">
        <v>7463.8</v>
      </c>
      <c r="Q26" s="2"/>
      <c r="R26" s="7">
        <f t="shared" si="8"/>
        <v>1.8434233664618365E-2</v>
      </c>
      <c r="S26" s="2"/>
      <c r="T26" s="6">
        <v>6207.79</v>
      </c>
      <c r="U26" s="2"/>
      <c r="V26" s="7">
        <f t="shared" si="9"/>
        <v>1.4819052484328226E-2</v>
      </c>
      <c r="W26" s="2"/>
      <c r="X26" s="6">
        <f t="shared" si="10"/>
        <v>1256.0100000000002</v>
      </c>
      <c r="Y26" s="2"/>
      <c r="Z26" s="7">
        <f t="shared" si="11"/>
        <v>0.2023280426689692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422.43</v>
      </c>
      <c r="E27" s="2"/>
      <c r="F27" s="7">
        <f t="shared" si="4"/>
        <v>1.6638963289743187E-2</v>
      </c>
      <c r="G27" s="2"/>
      <c r="H27" s="6">
        <v>266.83</v>
      </c>
      <c r="I27" s="2"/>
      <c r="J27" s="7">
        <f t="shared" si="5"/>
        <v>1.9216172033098798E-3</v>
      </c>
      <c r="K27" s="2"/>
      <c r="L27" s="6">
        <f t="shared" si="6"/>
        <v>155.60000000000002</v>
      </c>
      <c r="M27" s="2"/>
      <c r="N27" s="7">
        <f t="shared" si="7"/>
        <v>0.58314282501967551</v>
      </c>
      <c r="O27" s="11"/>
      <c r="P27" s="6">
        <v>4261.22</v>
      </c>
      <c r="Q27" s="2"/>
      <c r="R27" s="7">
        <f t="shared" si="8"/>
        <v>1.0524441326984253E-2</v>
      </c>
      <c r="S27" s="2"/>
      <c r="T27" s="6">
        <v>3409.67</v>
      </c>
      <c r="U27" s="2"/>
      <c r="V27" s="7">
        <f t="shared" si="9"/>
        <v>8.1394632686091865E-3</v>
      </c>
      <c r="W27" s="2"/>
      <c r="X27" s="6">
        <f t="shared" si="10"/>
        <v>851.55000000000018</v>
      </c>
      <c r="Y27" s="2"/>
      <c r="Z27" s="7">
        <f t="shared" si="11"/>
        <v>0.24974557655139651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10.78</v>
      </c>
      <c r="E28" s="2"/>
      <c r="F28" s="7">
        <f t="shared" si="4"/>
        <v>4.2461005199306758E-4</v>
      </c>
      <c r="G28" s="2"/>
      <c r="H28" s="6">
        <v>145.41</v>
      </c>
      <c r="I28" s="2"/>
      <c r="J28" s="7">
        <f t="shared" si="5"/>
        <v>1.0471924353831639E-3</v>
      </c>
      <c r="K28" s="2"/>
      <c r="L28" s="6">
        <f t="shared" si="6"/>
        <v>-134.63</v>
      </c>
      <c r="M28" s="2"/>
      <c r="N28" s="7">
        <f t="shared" si="7"/>
        <v>-0.92586479609380368</v>
      </c>
      <c r="O28" s="11"/>
      <c r="P28" s="6">
        <v>1320.69</v>
      </c>
      <c r="Q28" s="2"/>
      <c r="R28" s="7">
        <f t="shared" si="8"/>
        <v>3.2618650095828971E-3</v>
      </c>
      <c r="S28" s="2"/>
      <c r="T28" s="6">
        <v>2003.97</v>
      </c>
      <c r="U28" s="2"/>
      <c r="V28" s="7">
        <f t="shared" si="9"/>
        <v>4.7838178493504512E-3</v>
      </c>
      <c r="W28" s="2"/>
      <c r="X28" s="6">
        <f t="shared" si="10"/>
        <v>-683.28</v>
      </c>
      <c r="Y28" s="2"/>
      <c r="Z28" s="7">
        <f t="shared" si="11"/>
        <v>-0.34096318807167769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9735.4200000000019</v>
      </c>
      <c r="E29" s="1"/>
      <c r="F29" s="5">
        <f t="shared" ref="F29:F35" si="12">IF(D$12=0,0,D29/D$12)</f>
        <v>0.38346541673231455</v>
      </c>
      <c r="G29" s="1"/>
      <c r="H29" s="1">
        <f>SUM(OSRRefH22_1x_0)</f>
        <v>14471.769999999999</v>
      </c>
      <c r="I29" s="1"/>
      <c r="J29" s="5">
        <f t="shared" ref="J29:J35" si="13">IF(H$12=0,0,H29/H$12)</f>
        <v>0.10422067306653607</v>
      </c>
      <c r="K29" s="1"/>
      <c r="L29" s="1">
        <f t="shared" ref="L29:L35" si="14">+D29-H29</f>
        <v>-4736.3499999999967</v>
      </c>
      <c r="M29" s="1"/>
      <c r="N29" s="5">
        <f t="shared" ref="N29:N35" si="15">IF(H29=0,0,L29/H29)</f>
        <v>-0.32728201180643401</v>
      </c>
      <c r="O29" s="13"/>
      <c r="P29" s="1">
        <f>SUM(OSRRefP22_1x_0)</f>
        <v>165569.9</v>
      </c>
      <c r="Q29" s="1"/>
      <c r="R29" s="5">
        <f t="shared" ref="R29:R35" si="16">IF(P$12=0,0,P29/P$12)</f>
        <v>0.40892765406729759</v>
      </c>
      <c r="S29" s="1"/>
      <c r="T29" s="1">
        <f>SUM(OSRRefT22_1x_0)</f>
        <v>158819.21000000002</v>
      </c>
      <c r="U29" s="1"/>
      <c r="V29" s="5">
        <f t="shared" ref="V29:V35" si="17">IF(T$12=0,0,T29/T$12)</f>
        <v>0.37912851570519407</v>
      </c>
      <c r="W29" s="1"/>
      <c r="X29" s="1">
        <f t="shared" ref="X29:X35" si="18">+P29-T29</f>
        <v>6750.6899999999732</v>
      </c>
      <c r="Y29" s="1"/>
      <c r="Z29" s="5">
        <f t="shared" ref="Z29:Z35" si="19">IF(T29=0,0,X29/T29)</f>
        <v>4.2505500436628367E-2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>
        <v>5649.64</v>
      </c>
      <c r="E30" s="2"/>
      <c r="F30" s="7">
        <f t="shared" si="12"/>
        <v>0.22253190483693083</v>
      </c>
      <c r="G30" s="2"/>
      <c r="H30" s="6">
        <v>5784.94</v>
      </c>
      <c r="I30" s="2"/>
      <c r="J30" s="7">
        <f t="shared" si="13"/>
        <v>4.1661133396227769E-2</v>
      </c>
      <c r="K30" s="2"/>
      <c r="L30" s="6">
        <f t="shared" si="14"/>
        <v>-135.29999999999927</v>
      </c>
      <c r="M30" s="2"/>
      <c r="N30" s="7">
        <f t="shared" si="15"/>
        <v>-2.3388315176993933E-2</v>
      </c>
      <c r="O30" s="11"/>
      <c r="P30" s="6">
        <v>58631.590000000004</v>
      </c>
      <c r="Q30" s="2"/>
      <c r="R30" s="7">
        <f t="shared" si="16"/>
        <v>0.14480940408211654</v>
      </c>
      <c r="S30" s="2"/>
      <c r="T30" s="6">
        <v>57270.64</v>
      </c>
      <c r="U30" s="2"/>
      <c r="V30" s="7">
        <f t="shared" si="17"/>
        <v>0.13671477610728899</v>
      </c>
      <c r="W30" s="2"/>
      <c r="X30" s="6">
        <f t="shared" si="18"/>
        <v>1360.9500000000044</v>
      </c>
      <c r="Y30" s="2"/>
      <c r="Z30" s="7">
        <f t="shared" si="19"/>
        <v>2.3763485094631463E-2</v>
      </c>
    </row>
    <row r="31" spans="1:26" s="24" customFormat="1" hidden="1" outlineLevel="2" x14ac:dyDescent="0.25">
      <c r="A31" s="27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2.640449169980855E-2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7"/>
      <c r="B32" s="11" t="str">
        <f>CONCATENATE("          ", "6005", " - ", "TEMPORARY WAGES-HOURLY")</f>
        <v xml:space="preserve">          6005 - TEMPORARY WAGES-HOURLY</v>
      </c>
      <c r="C32" s="11"/>
      <c r="D32" s="6">
        <v>9075.7800000000007</v>
      </c>
      <c r="E32" s="2"/>
      <c r="F32" s="7">
        <f t="shared" si="12"/>
        <v>0.35748306286434539</v>
      </c>
      <c r="G32" s="2"/>
      <c r="H32" s="6">
        <v>3082.54</v>
      </c>
      <c r="I32" s="2"/>
      <c r="J32" s="7">
        <f t="shared" si="13"/>
        <v>2.2199384978791131E-2</v>
      </c>
      <c r="K32" s="2"/>
      <c r="L32" s="6">
        <f t="shared" si="14"/>
        <v>5993.2400000000007</v>
      </c>
      <c r="M32" s="2"/>
      <c r="N32" s="7">
        <f t="shared" si="15"/>
        <v>1.9442537647524447</v>
      </c>
      <c r="O32" s="11"/>
      <c r="P32" s="6">
        <v>75230.16</v>
      </c>
      <c r="Q32" s="2"/>
      <c r="R32" s="7">
        <f t="shared" si="16"/>
        <v>0.18580486455513626</v>
      </c>
      <c r="S32" s="2"/>
      <c r="T32" s="6">
        <v>33655.740000000005</v>
      </c>
      <c r="U32" s="2"/>
      <c r="V32" s="7">
        <f t="shared" si="17"/>
        <v>8.0341986030278881E-2</v>
      </c>
      <c r="W32" s="2"/>
      <c r="X32" s="6">
        <f t="shared" si="18"/>
        <v>41574.42</v>
      </c>
      <c r="Y32" s="2"/>
      <c r="Z32" s="7">
        <f t="shared" si="19"/>
        <v>1.2352846795227201</v>
      </c>
    </row>
    <row r="33" spans="1:26" s="24" customFormat="1" hidden="1" outlineLevel="2" x14ac:dyDescent="0.25">
      <c r="A33" s="27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911.63</v>
      </c>
      <c r="I33" s="2"/>
      <c r="J33" s="7">
        <f t="shared" si="13"/>
        <v>6.5652433798800208E-3</v>
      </c>
      <c r="K33" s="2"/>
      <c r="L33" s="6">
        <f t="shared" si="14"/>
        <v>-911.63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8448.66</v>
      </c>
      <c r="U33" s="2"/>
      <c r="V33" s="7">
        <f t="shared" si="17"/>
        <v>2.0168390999412755E-2</v>
      </c>
      <c r="W33" s="2"/>
      <c r="X33" s="6">
        <f t="shared" si="18"/>
        <v>-8448.66</v>
      </c>
      <c r="Y33" s="2"/>
      <c r="Z33" s="7">
        <f t="shared" si="19"/>
        <v>-1</v>
      </c>
    </row>
    <row r="34" spans="1:26" s="24" customFormat="1" hidden="1" outlineLevel="2" x14ac:dyDescent="0.25">
      <c r="A34" s="27"/>
      <c r="B34" s="11" t="str">
        <f>CONCATENATE("          ", "6007", " - ", "STUDENT HOURLY")</f>
        <v xml:space="preserve">          6007 - STUDENT HOURLY</v>
      </c>
      <c r="C34" s="11"/>
      <c r="D34" s="6">
        <v>-4990</v>
      </c>
      <c r="E34" s="2"/>
      <c r="F34" s="7">
        <f t="shared" si="12"/>
        <v>-0.19654955096896171</v>
      </c>
      <c r="G34" s="2"/>
      <c r="H34" s="6">
        <v>4080.66</v>
      </c>
      <c r="I34" s="2"/>
      <c r="J34" s="7">
        <f t="shared" si="13"/>
        <v>2.9387499369855317E-2</v>
      </c>
      <c r="K34" s="2"/>
      <c r="L34" s="6">
        <f t="shared" si="14"/>
        <v>-9070.66</v>
      </c>
      <c r="M34" s="2"/>
      <c r="N34" s="7">
        <f t="shared" si="15"/>
        <v>-2.2228414031063601</v>
      </c>
      <c r="O34" s="11"/>
      <c r="P34" s="6">
        <v>25787.41</v>
      </c>
      <c r="Q34" s="2"/>
      <c r="R34" s="7">
        <f t="shared" si="16"/>
        <v>6.3690230384698981E-2</v>
      </c>
      <c r="S34" s="2"/>
      <c r="T34" s="6">
        <v>45648.32</v>
      </c>
      <c r="U34" s="2"/>
      <c r="V34" s="7">
        <f t="shared" si="17"/>
        <v>0.10897031792335274</v>
      </c>
      <c r="W34" s="2"/>
      <c r="X34" s="6">
        <f t="shared" si="18"/>
        <v>-19860.91</v>
      </c>
      <c r="Y34" s="2"/>
      <c r="Z34" s="7">
        <f t="shared" si="19"/>
        <v>-0.43508523424301265</v>
      </c>
    </row>
    <row r="35" spans="1:26" s="24" customFormat="1" hidden="1" outlineLevel="2" x14ac:dyDescent="0.25">
      <c r="A35" s="27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12"/>
        <v>0</v>
      </c>
      <c r="G35" s="2"/>
      <c r="H35" s="6">
        <v>612</v>
      </c>
      <c r="I35" s="2"/>
      <c r="J35" s="7">
        <f t="shared" si="13"/>
        <v>4.407411941781833E-3</v>
      </c>
      <c r="K35" s="2"/>
      <c r="L35" s="6">
        <f t="shared" si="14"/>
        <v>-612</v>
      </c>
      <c r="M35" s="2"/>
      <c r="N35" s="7">
        <f t="shared" si="15"/>
        <v>-1</v>
      </c>
      <c r="O35" s="11"/>
      <c r="P35" s="6">
        <v>5920.74</v>
      </c>
      <c r="Q35" s="2"/>
      <c r="R35" s="7">
        <f t="shared" si="16"/>
        <v>1.4623155045345873E-2</v>
      </c>
      <c r="S35" s="2"/>
      <c r="T35" s="6">
        <v>2734.85</v>
      </c>
      <c r="U35" s="2"/>
      <c r="V35" s="7">
        <f t="shared" si="17"/>
        <v>6.5285529450521121E-3</v>
      </c>
      <c r="W35" s="2"/>
      <c r="X35" s="6">
        <f t="shared" si="18"/>
        <v>3185.89</v>
      </c>
      <c r="Y35" s="2"/>
      <c r="Z35" s="7">
        <f t="shared" si="19"/>
        <v>1.1649231219262481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154.5</v>
      </c>
      <c r="I36" s="1"/>
      <c r="J36" s="5">
        <f t="shared" ref="J36:J44" si="21">IF(H$12=0,0,H36/H$12)</f>
        <v>1.1126554656949235E-3</v>
      </c>
      <c r="K36" s="1"/>
      <c r="L36" s="1">
        <f t="shared" ref="L36:L44" si="22">+D36-H36</f>
        <v>-154.5</v>
      </c>
      <c r="M36" s="1"/>
      <c r="N36" s="5">
        <f t="shared" ref="N36:N44" si="23">IF(H36=0,0,L36/H36)</f>
        <v>-1</v>
      </c>
      <c r="O36" s="13"/>
      <c r="P36" s="1">
        <f>SUM(OSRRefP22_2x_0)</f>
        <v>155.11000000000001</v>
      </c>
      <c r="Q36" s="1"/>
      <c r="R36" s="5">
        <f t="shared" ref="R36:R44" si="24">IF(P$12=0,0,P36/P$12)</f>
        <v>3.8309359625377887E-4</v>
      </c>
      <c r="S36" s="1"/>
      <c r="T36" s="1">
        <f>SUM(OSRRefT22_2x_0)</f>
        <v>3088.59</v>
      </c>
      <c r="U36" s="1"/>
      <c r="V36" s="5">
        <f t="shared" ref="V36:V44" si="25">IF(T$12=0,0,T36/T$12)</f>
        <v>7.3729905993229986E-3</v>
      </c>
      <c r="W36" s="1"/>
      <c r="X36" s="1">
        <f t="shared" ref="X36:X44" si="26">+P36-T36</f>
        <v>-2933.48</v>
      </c>
      <c r="Y36" s="1"/>
      <c r="Z36" s="5">
        <f t="shared" ref="Z36:Z44" si="27">IF(T36=0,0,X36/T36)</f>
        <v>-0.94977967292518584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154.5</v>
      </c>
      <c r="I37" s="2"/>
      <c r="J37" s="7">
        <f t="shared" si="21"/>
        <v>1.1126554656949235E-3</v>
      </c>
      <c r="K37" s="2"/>
      <c r="L37" s="6">
        <f t="shared" si="22"/>
        <v>-154.5</v>
      </c>
      <c r="M37" s="2"/>
      <c r="N37" s="7">
        <f t="shared" si="23"/>
        <v>-1</v>
      </c>
      <c r="O37" s="11"/>
      <c r="P37" s="6">
        <v>155.11000000000001</v>
      </c>
      <c r="Q37" s="2"/>
      <c r="R37" s="7">
        <f t="shared" si="24"/>
        <v>3.8309359625377887E-4</v>
      </c>
      <c r="S37" s="2"/>
      <c r="T37" s="6">
        <v>3088.59</v>
      </c>
      <c r="U37" s="2"/>
      <c r="V37" s="7">
        <f t="shared" si="25"/>
        <v>7.3729905993229986E-3</v>
      </c>
      <c r="W37" s="2"/>
      <c r="X37" s="6">
        <f t="shared" si="26"/>
        <v>-2933.48</v>
      </c>
      <c r="Y37" s="2"/>
      <c r="Z37" s="7">
        <f t="shared" si="27"/>
        <v>-0.94977967292518584</v>
      </c>
    </row>
    <row r="38" spans="1:26" s="25" customFormat="1" outlineLevel="1" collapsed="1" x14ac:dyDescent="0.25">
      <c r="A38" s="26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53.34</v>
      </c>
      <c r="E38" s="1"/>
      <c r="F38" s="5">
        <f t="shared" si="20"/>
        <v>2.1009925949267371E-3</v>
      </c>
      <c r="G38" s="1"/>
      <c r="H38" s="1">
        <f>SUM(OSRRefH22_3x_0)</f>
        <v>2016.78</v>
      </c>
      <c r="I38" s="1"/>
      <c r="J38" s="5">
        <f t="shared" si="21"/>
        <v>1.4524150745011054E-2</v>
      </c>
      <c r="K38" s="1"/>
      <c r="L38" s="1">
        <f t="shared" si="22"/>
        <v>-1963.44</v>
      </c>
      <c r="M38" s="1"/>
      <c r="N38" s="5">
        <f t="shared" si="23"/>
        <v>-0.9735518995626693</v>
      </c>
      <c r="O38" s="13"/>
      <c r="P38" s="1">
        <f>SUM(OSRRefP22_3x_0)</f>
        <v>17790.62</v>
      </c>
      <c r="Q38" s="1"/>
      <c r="R38" s="5">
        <f t="shared" si="24"/>
        <v>4.3939607990357822E-2</v>
      </c>
      <c r="S38" s="1"/>
      <c r="T38" s="1">
        <f>SUM(OSRRefT22_3x_0)</f>
        <v>20511.98</v>
      </c>
      <c r="U38" s="1"/>
      <c r="V38" s="5">
        <f t="shared" si="25"/>
        <v>4.8965591325977664E-2</v>
      </c>
      <c r="W38" s="1"/>
      <c r="X38" s="1">
        <f t="shared" si="26"/>
        <v>-2721.3600000000006</v>
      </c>
      <c r="Y38" s="1"/>
      <c r="Z38" s="5">
        <f t="shared" si="27"/>
        <v>-0.13267173622439182</v>
      </c>
    </row>
    <row r="39" spans="1:26" s="24" customFormat="1" hidden="1" outlineLevel="2" x14ac:dyDescent="0.25">
      <c r="A39" s="27"/>
      <c r="B39" s="11" t="str">
        <f>CONCATENATE("          ", "6381", " - ", "BANK/CREDIT CARD FEES")</f>
        <v xml:space="preserve">          6381 - BANK/CREDIT CARD FEES</v>
      </c>
      <c r="C39" s="11"/>
      <c r="D39" s="6">
        <v>53.34</v>
      </c>
      <c r="E39" s="2"/>
      <c r="F39" s="7">
        <f t="shared" si="20"/>
        <v>2.1009925949267371E-3</v>
      </c>
      <c r="G39" s="2"/>
      <c r="H39" s="6">
        <v>2016.78</v>
      </c>
      <c r="I39" s="2"/>
      <c r="J39" s="7">
        <f t="shared" si="21"/>
        <v>1.4524150745011054E-2</v>
      </c>
      <c r="K39" s="2"/>
      <c r="L39" s="6">
        <f t="shared" si="22"/>
        <v>-1963.44</v>
      </c>
      <c r="M39" s="2"/>
      <c r="N39" s="7">
        <f t="shared" si="23"/>
        <v>-0.9735518995626693</v>
      </c>
      <c r="O39" s="11"/>
      <c r="P39" s="6">
        <v>17790.62</v>
      </c>
      <c r="Q39" s="2"/>
      <c r="R39" s="7">
        <f t="shared" si="24"/>
        <v>4.3939607990357822E-2</v>
      </c>
      <c r="S39" s="2"/>
      <c r="T39" s="6">
        <v>20511.98</v>
      </c>
      <c r="U39" s="2"/>
      <c r="V39" s="7">
        <f t="shared" si="25"/>
        <v>4.8965591325977664E-2</v>
      </c>
      <c r="W39" s="2"/>
      <c r="X39" s="6">
        <f t="shared" si="26"/>
        <v>-2721.3600000000006</v>
      </c>
      <c r="Y39" s="2"/>
      <c r="Z39" s="7">
        <f t="shared" si="27"/>
        <v>-0.13267173622439182</v>
      </c>
    </row>
    <row r="40" spans="1:26" s="25" customFormat="1" outlineLevel="1" collapsed="1" x14ac:dyDescent="0.25">
      <c r="A40" s="26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1.5866116061725712E-4</v>
      </c>
      <c r="S40" s="1"/>
      <c r="T40" s="1">
        <f>SUM(OSRRefT22_4x_0)</f>
        <v>92.16</v>
      </c>
      <c r="U40" s="1"/>
      <c r="V40" s="5">
        <f t="shared" si="25"/>
        <v>2.2000162327586616E-4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7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1.5866116061725712E-4</v>
      </c>
      <c r="S41" s="2"/>
      <c r="T41" s="6">
        <v>92.16</v>
      </c>
      <c r="U41" s="2"/>
      <c r="V41" s="7">
        <f t="shared" si="25"/>
        <v>2.2000162327586616E-4</v>
      </c>
      <c r="W41" s="2"/>
      <c r="X41" s="6">
        <f t="shared" si="26"/>
        <v>-27.92</v>
      </c>
      <c r="Y41" s="2"/>
      <c r="Z41" s="7">
        <f t="shared" si="27"/>
        <v>-0.3029513888888889</v>
      </c>
    </row>
    <row r="42" spans="1:26" s="25" customFormat="1" outlineLevel="1" collapsed="1" x14ac:dyDescent="0.25">
      <c r="A42" s="26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102.21000000000001</v>
      </c>
      <c r="U42" s="1"/>
      <c r="V42" s="5">
        <f t="shared" si="25"/>
        <v>2.4399268570992063E-4</v>
      </c>
      <c r="W42" s="1"/>
      <c r="X42" s="1">
        <f t="shared" si="26"/>
        <v>-102.21000000000001</v>
      </c>
      <c r="Y42" s="1"/>
      <c r="Z42" s="5">
        <f t="shared" si="27"/>
        <v>-1</v>
      </c>
    </row>
    <row r="43" spans="1:26" s="24" customFormat="1" hidden="1" outlineLevel="2" x14ac:dyDescent="0.25">
      <c r="A43" s="27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54.57</v>
      </c>
      <c r="U43" s="2"/>
      <c r="V43" s="7">
        <f t="shared" si="25"/>
        <v>1.3026788826132831E-4</v>
      </c>
      <c r="W43" s="2"/>
      <c r="X43" s="6">
        <f t="shared" si="26"/>
        <v>-54.57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47.64</v>
      </c>
      <c r="U44" s="2"/>
      <c r="V44" s="7">
        <f t="shared" si="25"/>
        <v>1.1372479744859229E-4</v>
      </c>
      <c r="W44" s="2"/>
      <c r="X44" s="6">
        <f t="shared" si="26"/>
        <v>-47.64</v>
      </c>
      <c r="Y44" s="2"/>
      <c r="Z44" s="7">
        <f t="shared" si="27"/>
        <v>-1</v>
      </c>
    </row>
    <row r="45" spans="1:26" s="25" customFormat="1" outlineLevel="1" collapsed="1" x14ac:dyDescent="0.25">
      <c r="A45" s="26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3"/>
      <c r="P45" s="1">
        <f>SUM(OSRRefP22_6x_0)</f>
        <v>47.34</v>
      </c>
      <c r="Q45" s="1"/>
      <c r="R45" s="5">
        <f t="shared" ref="R45:R56" si="32">IF(P$12=0,0,P45/P$12)</f>
        <v>1.1692122265910574E-4</v>
      </c>
      <c r="S45" s="1"/>
      <c r="T45" s="1">
        <f>SUM(OSRRefT22_6x_0)</f>
        <v>661</v>
      </c>
      <c r="U45" s="1"/>
      <c r="V45" s="5">
        <f t="shared" ref="V45:V56" si="33">IF(T$12=0,0,T45/T$12)</f>
        <v>1.5779196287472607E-3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25">
      <c r="A46" s="27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47.34</v>
      </c>
      <c r="Q46" s="2"/>
      <c r="R46" s="7">
        <f t="shared" si="32"/>
        <v>1.1692122265910574E-4</v>
      </c>
      <c r="S46" s="2"/>
      <c r="T46" s="6">
        <v>661</v>
      </c>
      <c r="U46" s="2"/>
      <c r="V46" s="7">
        <f t="shared" si="33"/>
        <v>1.5779196287472607E-3</v>
      </c>
      <c r="W46" s="2"/>
      <c r="X46" s="6">
        <f t="shared" si="34"/>
        <v>-613.66</v>
      </c>
      <c r="Y46" s="2"/>
      <c r="Z46" s="7">
        <f t="shared" si="35"/>
        <v>-0.92838124054462934</v>
      </c>
    </row>
    <row r="47" spans="1:26" s="25" customFormat="1" outlineLevel="1" collapsed="1" x14ac:dyDescent="0.25">
      <c r="A47" s="26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1.1426658263746653E-3</v>
      </c>
      <c r="G47" s="1"/>
      <c r="H47" s="1">
        <f>SUM(OSRRefH22_7x_0)</f>
        <v>27.33</v>
      </c>
      <c r="I47" s="1"/>
      <c r="J47" s="5">
        <f t="shared" si="29"/>
        <v>1.9682119014525733E-4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290.10000000000002</v>
      </c>
      <c r="Q47" s="1"/>
      <c r="R47" s="5">
        <f t="shared" si="32"/>
        <v>7.1649443796803069E-4</v>
      </c>
      <c r="S47" s="1"/>
      <c r="T47" s="1">
        <f>SUM(OSRRefT22_7x_0)</f>
        <v>224.53</v>
      </c>
      <c r="U47" s="1"/>
      <c r="V47" s="5">
        <f t="shared" si="33"/>
        <v>5.359913679918645E-4</v>
      </c>
      <c r="W47" s="1"/>
      <c r="X47" s="1">
        <f t="shared" si="34"/>
        <v>65.570000000000022</v>
      </c>
      <c r="Y47" s="1"/>
      <c r="Z47" s="5">
        <f t="shared" si="35"/>
        <v>0.29203224513428061</v>
      </c>
    </row>
    <row r="48" spans="1:26" s="24" customFormat="1" hidden="1" outlineLevel="2" x14ac:dyDescent="0.25">
      <c r="A48" s="27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1.1426658263746653E-3</v>
      </c>
      <c r="G48" s="2"/>
      <c r="H48" s="6">
        <v>27.33</v>
      </c>
      <c r="I48" s="2"/>
      <c r="J48" s="7">
        <f t="shared" si="29"/>
        <v>1.9682119014525733E-4</v>
      </c>
      <c r="K48" s="2"/>
      <c r="L48" s="6">
        <f t="shared" si="30"/>
        <v>1.6800000000000033</v>
      </c>
      <c r="M48" s="2"/>
      <c r="N48" s="7">
        <f t="shared" si="31"/>
        <v>6.1470911086718018E-2</v>
      </c>
      <c r="O48" s="11"/>
      <c r="P48" s="6">
        <v>290.10000000000002</v>
      </c>
      <c r="Q48" s="2"/>
      <c r="R48" s="7">
        <f t="shared" si="32"/>
        <v>7.1649443796803069E-4</v>
      </c>
      <c r="S48" s="2"/>
      <c r="T48" s="6">
        <v>224.53</v>
      </c>
      <c r="U48" s="2"/>
      <c r="V48" s="7">
        <f t="shared" si="33"/>
        <v>5.359913679918645E-4</v>
      </c>
      <c r="W48" s="2"/>
      <c r="X48" s="6">
        <f t="shared" si="34"/>
        <v>65.570000000000022</v>
      </c>
      <c r="Y48" s="2"/>
      <c r="Z48" s="7">
        <f t="shared" si="35"/>
        <v>0.29203224513428061</v>
      </c>
    </row>
    <row r="49" spans="1:26" s="25" customFormat="1" outlineLevel="1" collapsed="1" x14ac:dyDescent="0.25">
      <c r="A49" s="26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4.0104462576329774E-3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7"/>
      <c r="B50" s="11" t="str">
        <f>CONCATENATE("          ", "6336", " - ", "PROFESSIONAL SERVICES")</f>
        <v xml:space="preserve">          6336 - PROFESSIONAL SERVICES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1680</v>
      </c>
      <c r="U50" s="2"/>
      <c r="V50" s="7">
        <f t="shared" si="33"/>
        <v>4.0104462576329774E-3</v>
      </c>
      <c r="W50" s="2"/>
      <c r="X50" s="6">
        <f t="shared" si="34"/>
        <v>-1680</v>
      </c>
      <c r="Y50" s="2"/>
      <c r="Z50" s="7">
        <f t="shared" si="35"/>
        <v>-1</v>
      </c>
    </row>
    <row r="51" spans="1:26" s="25" customFormat="1" outlineLevel="1" collapsed="1" x14ac:dyDescent="0.25">
      <c r="A51" s="26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3.1510950055144163E-2</v>
      </c>
      <c r="G51" s="1"/>
      <c r="H51" s="1">
        <f>SUM(OSRRefH22_9x_0)</f>
        <v>800</v>
      </c>
      <c r="I51" s="1"/>
      <c r="J51" s="5">
        <f t="shared" si="29"/>
        <v>5.7613227997148145E-3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6400</v>
      </c>
      <c r="Q51" s="1"/>
      <c r="R51" s="5">
        <f t="shared" si="32"/>
        <v>1.5806840410187508E-2</v>
      </c>
      <c r="S51" s="1"/>
      <c r="T51" s="1">
        <f>SUM(OSRRefT22_9x_0)</f>
        <v>7200</v>
      </c>
      <c r="U51" s="1"/>
      <c r="V51" s="5">
        <f t="shared" si="33"/>
        <v>1.7187626818427046E-2</v>
      </c>
      <c r="W51" s="1"/>
      <c r="X51" s="1">
        <f t="shared" si="34"/>
        <v>-800</v>
      </c>
      <c r="Y51" s="1"/>
      <c r="Z51" s="5">
        <f t="shared" si="35"/>
        <v>-0.1111111111111111</v>
      </c>
    </row>
    <row r="52" spans="1:26" s="24" customFormat="1" hidden="1" outlineLevel="2" x14ac:dyDescent="0.25">
      <c r="A52" s="27"/>
      <c r="B52" s="11" t="str">
        <f>CONCATENATE("          ", "6273", " - ", "RENT")</f>
        <v xml:space="preserve">          6273 - RENT</v>
      </c>
      <c r="C52" s="11"/>
      <c r="D52" s="6">
        <v>800</v>
      </c>
      <c r="E52" s="2"/>
      <c r="F52" s="7">
        <f t="shared" si="28"/>
        <v>3.1510950055144163E-2</v>
      </c>
      <c r="G52" s="2"/>
      <c r="H52" s="6">
        <v>800</v>
      </c>
      <c r="I52" s="2"/>
      <c r="J52" s="7">
        <f t="shared" si="29"/>
        <v>5.7613227997148145E-3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6400</v>
      </c>
      <c r="Q52" s="2"/>
      <c r="R52" s="7">
        <f t="shared" si="32"/>
        <v>1.5806840410187508E-2</v>
      </c>
      <c r="S52" s="2"/>
      <c r="T52" s="6">
        <v>7200</v>
      </c>
      <c r="U52" s="2"/>
      <c r="V52" s="7">
        <f t="shared" si="33"/>
        <v>1.7187626818427046E-2</v>
      </c>
      <c r="W52" s="2"/>
      <c r="X52" s="6">
        <f t="shared" si="34"/>
        <v>-800</v>
      </c>
      <c r="Y52" s="2"/>
      <c r="Z52" s="7">
        <f t="shared" si="35"/>
        <v>-0.1111111111111111</v>
      </c>
    </row>
    <row r="53" spans="1:26" s="25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0</v>
      </c>
      <c r="E53" s="1"/>
      <c r="F53" s="5">
        <f t="shared" si="28"/>
        <v>0</v>
      </c>
      <c r="G53" s="1"/>
      <c r="H53" s="1">
        <f>SUM(OSRRefH22_10x_0)</f>
        <v>115431.56</v>
      </c>
      <c r="I53" s="1"/>
      <c r="J53" s="5">
        <f t="shared" si="29"/>
        <v>0.83129809804331067</v>
      </c>
      <c r="K53" s="1"/>
      <c r="L53" s="1">
        <f t="shared" si="30"/>
        <v>-115431.56</v>
      </c>
      <c r="M53" s="1"/>
      <c r="N53" s="5">
        <f t="shared" si="31"/>
        <v>-1</v>
      </c>
      <c r="O53" s="13"/>
      <c r="P53" s="1">
        <f>SUM(OSRRefP22_10x_0)</f>
        <v>118520.76</v>
      </c>
      <c r="Q53" s="1"/>
      <c r="R53" s="5">
        <f t="shared" si="32"/>
        <v>0.29272480290845865</v>
      </c>
      <c r="S53" s="1"/>
      <c r="T53" s="1">
        <f>SUM(OSRRefT22_10x_0)</f>
        <v>116031.56</v>
      </c>
      <c r="U53" s="1"/>
      <c r="V53" s="5">
        <f t="shared" si="33"/>
        <v>0.27698710450554537</v>
      </c>
      <c r="W53" s="1"/>
      <c r="X53" s="1">
        <f t="shared" si="34"/>
        <v>2489.1999999999971</v>
      </c>
      <c r="Y53" s="1"/>
      <c r="Z53" s="5">
        <f t="shared" si="35"/>
        <v>2.1452784052890413E-2</v>
      </c>
    </row>
    <row r="54" spans="1:26" s="24" customFormat="1" hidden="1" outlineLevel="2" x14ac:dyDescent="0.2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437.31</v>
      </c>
      <c r="Q54" s="2"/>
      <c r="R54" s="7">
        <f t="shared" si="32"/>
        <v>1.0800764655904843E-3</v>
      </c>
      <c r="S54" s="2"/>
      <c r="T54" s="6"/>
      <c r="U54" s="2"/>
      <c r="V54" s="7">
        <f t="shared" si="33"/>
        <v>0</v>
      </c>
      <c r="W54" s="2"/>
      <c r="X54" s="6">
        <f t="shared" si="34"/>
        <v>437.31</v>
      </c>
      <c r="Y54" s="2"/>
      <c r="Z54" s="7">
        <f t="shared" si="35"/>
        <v>0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8"/>
        <v>0</v>
      </c>
      <c r="G55" s="2"/>
      <c r="H55" s="6">
        <v>115431.56</v>
      </c>
      <c r="I55" s="2"/>
      <c r="J55" s="7">
        <f t="shared" si="29"/>
        <v>0.83129809804331067</v>
      </c>
      <c r="K55" s="2"/>
      <c r="L55" s="6">
        <f t="shared" si="30"/>
        <v>-115431.56</v>
      </c>
      <c r="M55" s="2"/>
      <c r="N55" s="7">
        <f t="shared" si="31"/>
        <v>-1</v>
      </c>
      <c r="O55" s="11"/>
      <c r="P55" s="6">
        <v>117094</v>
      </c>
      <c r="Q55" s="2"/>
      <c r="R55" s="7">
        <f t="shared" si="32"/>
        <v>0.28920096421726504</v>
      </c>
      <c r="S55" s="2"/>
      <c r="T55" s="6">
        <v>115431.56</v>
      </c>
      <c r="U55" s="2"/>
      <c r="V55" s="7">
        <f t="shared" si="33"/>
        <v>0.27555480227067647</v>
      </c>
      <c r="W55" s="2"/>
      <c r="X55" s="6">
        <f t="shared" si="34"/>
        <v>1662.4400000000023</v>
      </c>
      <c r="Y55" s="2"/>
      <c r="Z55" s="7">
        <f t="shared" si="35"/>
        <v>1.4401953850402804E-2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989.45</v>
      </c>
      <c r="Q56" s="2"/>
      <c r="R56" s="7">
        <f t="shared" si="32"/>
        <v>2.4437622256031299E-3</v>
      </c>
      <c r="S56" s="2"/>
      <c r="T56" s="6">
        <v>600</v>
      </c>
      <c r="U56" s="2"/>
      <c r="V56" s="7">
        <f t="shared" si="33"/>
        <v>1.4323022348689204E-3</v>
      </c>
      <c r="W56" s="2"/>
      <c r="X56" s="6">
        <f t="shared" si="34"/>
        <v>389.45000000000005</v>
      </c>
      <c r="Y56" s="2"/>
      <c r="Z56" s="7">
        <f t="shared" si="35"/>
        <v>0.64908333333333346</v>
      </c>
    </row>
    <row r="57" spans="1:26" s="25" customFormat="1" outlineLevel="1" collapsed="1" x14ac:dyDescent="0.25">
      <c r="A57" s="26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63" si="36">IF(D$12=0,0,D57/D$12)</f>
        <v>0</v>
      </c>
      <c r="G57" s="1"/>
      <c r="H57" s="1">
        <f>SUM(OSRRefH22_11x_0)</f>
        <v>0</v>
      </c>
      <c r="I57" s="1"/>
      <c r="J57" s="5">
        <f t="shared" ref="J57:J63" si="37">IF(H$12=0,0,H57/H$12)</f>
        <v>0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3"/>
      <c r="P57" s="1">
        <f>SUM(OSRRefP22_11x_0)</f>
        <v>825</v>
      </c>
      <c r="Q57" s="1"/>
      <c r="R57" s="5">
        <f t="shared" ref="R57:R63" si="40">IF(P$12=0,0,P57/P$12)</f>
        <v>2.0376005216257336E-3</v>
      </c>
      <c r="S57" s="1"/>
      <c r="T57" s="1">
        <f>SUM(OSRRefT22_11x_0)</f>
        <v>0</v>
      </c>
      <c r="U57" s="1"/>
      <c r="V57" s="5">
        <f t="shared" ref="V57:V63" si="41">IF(T$12=0,0,T57/T$12)</f>
        <v>0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</v>
      </c>
    </row>
    <row r="58" spans="1:26" s="24" customFormat="1" hidden="1" outlineLevel="2" x14ac:dyDescent="0.25">
      <c r="A58" s="27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825</v>
      </c>
      <c r="Q58" s="2"/>
      <c r="R58" s="7">
        <f t="shared" si="40"/>
        <v>2.0376005216257336E-3</v>
      </c>
      <c r="S58" s="2"/>
      <c r="T58" s="6"/>
      <c r="U58" s="2"/>
      <c r="V58" s="7">
        <f t="shared" si="41"/>
        <v>0</v>
      </c>
      <c r="W58" s="2"/>
      <c r="X58" s="6">
        <f t="shared" si="42"/>
        <v>825</v>
      </c>
      <c r="Y58" s="2"/>
      <c r="Z58" s="7">
        <f t="shared" si="43"/>
        <v>0</v>
      </c>
    </row>
    <row r="59" spans="1:26" s="25" customFormat="1" outlineLevel="1" collapsed="1" x14ac:dyDescent="0.25">
      <c r="A59" s="26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SUM(OSRRefD22_12x_0)</f>
        <v>77.78</v>
      </c>
      <c r="E59" s="1"/>
      <c r="F59" s="5">
        <f t="shared" si="36"/>
        <v>3.0636521191113914E-3</v>
      </c>
      <c r="G59" s="1"/>
      <c r="H59" s="1">
        <f>SUM(OSRRefH22_12x_0)</f>
        <v>643.06000000000006</v>
      </c>
      <c r="I59" s="1"/>
      <c r="J59" s="5">
        <f t="shared" si="37"/>
        <v>4.6310952994807614E-3</v>
      </c>
      <c r="K59" s="1"/>
      <c r="L59" s="1">
        <f t="shared" si="38"/>
        <v>-565.28000000000009</v>
      </c>
      <c r="M59" s="1"/>
      <c r="N59" s="5">
        <f t="shared" si="39"/>
        <v>-0.87904705626224622</v>
      </c>
      <c r="O59" s="13"/>
      <c r="P59" s="1">
        <f>SUM(OSRRefP22_12x_0)</f>
        <v>24956.58</v>
      </c>
      <c r="Q59" s="1"/>
      <c r="R59" s="5">
        <f t="shared" si="40"/>
        <v>6.1638230819387095E-2</v>
      </c>
      <c r="S59" s="1"/>
      <c r="T59" s="1">
        <f>SUM(OSRRefT22_12x_0)</f>
        <v>60369.200000000004</v>
      </c>
      <c r="U59" s="1"/>
      <c r="V59" s="5">
        <f t="shared" si="41"/>
        <v>0.14411156679541473</v>
      </c>
      <c r="W59" s="1"/>
      <c r="X59" s="1">
        <f t="shared" si="42"/>
        <v>-35412.620000000003</v>
      </c>
      <c r="Y59" s="1"/>
      <c r="Z59" s="5">
        <f t="shared" si="43"/>
        <v>-0.58660078318082731</v>
      </c>
    </row>
    <row r="60" spans="1:26" s="24" customFormat="1" hidden="1" outlineLevel="2" x14ac:dyDescent="0.2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413.27</v>
      </c>
      <c r="Q60" s="2"/>
      <c r="R60" s="7">
        <f t="shared" si="40"/>
        <v>1.0207020212997175E-3</v>
      </c>
      <c r="S60" s="2"/>
      <c r="T60" s="6"/>
      <c r="U60" s="2"/>
      <c r="V60" s="7">
        <f t="shared" si="41"/>
        <v>0</v>
      </c>
      <c r="W60" s="2"/>
      <c r="X60" s="6">
        <f t="shared" si="42"/>
        <v>413.27</v>
      </c>
      <c r="Y60" s="2"/>
      <c r="Z60" s="7">
        <f t="shared" si="43"/>
        <v>0</v>
      </c>
    </row>
    <row r="61" spans="1:26" s="24" customFormat="1" hidden="1" outlineLevel="2" x14ac:dyDescent="0.25">
      <c r="A61" s="27"/>
      <c r="B61" s="11" t="str">
        <f>CONCATENATE("          ", "6241", " - ", "OFFICE EXPENSE")</f>
        <v xml:space="preserve">          6241 - OFFICE EXPENSE</v>
      </c>
      <c r="C61" s="11"/>
      <c r="D61" s="6">
        <v>77.78</v>
      </c>
      <c r="E61" s="2"/>
      <c r="F61" s="7">
        <f t="shared" si="36"/>
        <v>3.0636521191113914E-3</v>
      </c>
      <c r="G61" s="2"/>
      <c r="H61" s="6">
        <v>587.94000000000005</v>
      </c>
      <c r="I61" s="2"/>
      <c r="J61" s="7">
        <f t="shared" si="37"/>
        <v>4.23414015858041E-3</v>
      </c>
      <c r="K61" s="2"/>
      <c r="L61" s="6">
        <f t="shared" si="38"/>
        <v>-510.16000000000008</v>
      </c>
      <c r="M61" s="2"/>
      <c r="N61" s="7">
        <f t="shared" si="39"/>
        <v>-0.86770758920978341</v>
      </c>
      <c r="O61" s="11"/>
      <c r="P61" s="6">
        <v>24339.79</v>
      </c>
      <c r="Q61" s="2"/>
      <c r="R61" s="7">
        <f t="shared" si="40"/>
        <v>6.0114871273043415E-2</v>
      </c>
      <c r="S61" s="2"/>
      <c r="T61" s="6">
        <v>59213.78</v>
      </c>
      <c r="U61" s="2"/>
      <c r="V61" s="7">
        <f t="shared" si="41"/>
        <v>0.14135338238172765</v>
      </c>
      <c r="W61" s="2"/>
      <c r="X61" s="6">
        <f t="shared" si="42"/>
        <v>-34873.99</v>
      </c>
      <c r="Y61" s="2"/>
      <c r="Z61" s="7">
        <f t="shared" si="43"/>
        <v>-0.58895057873353129</v>
      </c>
    </row>
    <row r="62" spans="1:26" s="24" customFormat="1" hidden="1" outlineLevel="2" x14ac:dyDescent="0.25">
      <c r="A62" s="27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203.52</v>
      </c>
      <c r="Q62" s="2"/>
      <c r="R62" s="7">
        <f t="shared" si="40"/>
        <v>5.0265752504396284E-4</v>
      </c>
      <c r="S62" s="2"/>
      <c r="T62" s="6">
        <v>1100.3</v>
      </c>
      <c r="U62" s="2"/>
      <c r="V62" s="7">
        <f t="shared" si="41"/>
        <v>2.6266035817104553E-3</v>
      </c>
      <c r="W62" s="2"/>
      <c r="X62" s="6">
        <f t="shared" si="42"/>
        <v>-896.78</v>
      </c>
      <c r="Y62" s="2"/>
      <c r="Z62" s="7">
        <f t="shared" si="43"/>
        <v>-0.81503226392801964</v>
      </c>
    </row>
    <row r="63" spans="1:26" s="24" customFormat="1" hidden="1" outlineLevel="2" x14ac:dyDescent="0.25">
      <c r="A63" s="27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36"/>
        <v>0</v>
      </c>
      <c r="G63" s="2"/>
      <c r="H63" s="6">
        <v>55.12</v>
      </c>
      <c r="I63" s="2"/>
      <c r="J63" s="7">
        <f t="shared" si="37"/>
        <v>3.9695514090035068E-4</v>
      </c>
      <c r="K63" s="2"/>
      <c r="L63" s="6">
        <f t="shared" si="38"/>
        <v>-55.12</v>
      </c>
      <c r="M63" s="2"/>
      <c r="N63" s="7">
        <f t="shared" si="39"/>
        <v>-1</v>
      </c>
      <c r="O63" s="11"/>
      <c r="P63" s="6"/>
      <c r="Q63" s="2"/>
      <c r="R63" s="7">
        <f t="shared" si="40"/>
        <v>0</v>
      </c>
      <c r="S63" s="2"/>
      <c r="T63" s="6">
        <v>55.12</v>
      </c>
      <c r="U63" s="2"/>
      <c r="V63" s="7">
        <f t="shared" si="41"/>
        <v>1.3158083197662481E-4</v>
      </c>
      <c r="W63" s="2"/>
      <c r="X63" s="6">
        <f t="shared" si="42"/>
        <v>-55.12</v>
      </c>
      <c r="Y63" s="2"/>
      <c r="Z63" s="7">
        <f t="shared" si="43"/>
        <v>-1</v>
      </c>
    </row>
    <row r="64" spans="1:26" s="25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194.05</v>
      </c>
      <c r="E64" s="1"/>
      <c r="F64" s="5">
        <f t="shared" ref="F64:F67" si="44">IF(D$12=0,0,D64/D$12)</f>
        <v>7.6433748227509061E-3</v>
      </c>
      <c r="G64" s="1"/>
      <c r="H64" s="1">
        <f>SUM(OSRRefH22_13x_0)</f>
        <v>343.82</v>
      </c>
      <c r="I64" s="1"/>
      <c r="J64" s="5">
        <f t="shared" ref="J64:J67" si="45">IF(H$12=0,0,H64/H$12)</f>
        <v>2.4760725062474343E-3</v>
      </c>
      <c r="K64" s="1"/>
      <c r="L64" s="1">
        <f t="shared" ref="L64:L67" si="46">+D64-H64</f>
        <v>-149.76999999999998</v>
      </c>
      <c r="M64" s="1"/>
      <c r="N64" s="5">
        <f t="shared" ref="N64:N67" si="47">IF(H64=0,0,L64/H64)</f>
        <v>-0.43560584026525501</v>
      </c>
      <c r="O64" s="13"/>
      <c r="P64" s="1">
        <f>SUM(OSRRefP22_13x_0)</f>
        <v>1893.6</v>
      </c>
      <c r="Q64" s="1"/>
      <c r="R64" s="5">
        <f t="shared" ref="R64:R67" si="48">IF(P$12=0,0,P64/P$12)</f>
        <v>4.6768489063642293E-3</v>
      </c>
      <c r="S64" s="1"/>
      <c r="T64" s="1">
        <f>SUM(OSRRefT22_13x_0)</f>
        <v>3594.57</v>
      </c>
      <c r="U64" s="1"/>
      <c r="V64" s="5">
        <f t="shared" ref="V64:V67" si="49">IF(T$12=0,0,T64/T$12)</f>
        <v>8.5808510739879603E-3</v>
      </c>
      <c r="W64" s="1"/>
      <c r="X64" s="1">
        <f t="shared" ref="X64:X67" si="50">+P64-T64</f>
        <v>-1700.9700000000003</v>
      </c>
      <c r="Y64" s="1"/>
      <c r="Z64" s="5">
        <f t="shared" ref="Z64:Z67" si="51">IF(T64=0,0,X64/T64)</f>
        <v>-0.47320541817241007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194.05</v>
      </c>
      <c r="E65" s="2"/>
      <c r="F65" s="7">
        <f t="shared" si="44"/>
        <v>7.6433748227509061E-3</v>
      </c>
      <c r="G65" s="2"/>
      <c r="H65" s="6">
        <v>343.82</v>
      </c>
      <c r="I65" s="2"/>
      <c r="J65" s="7">
        <f t="shared" si="45"/>
        <v>2.4760725062474343E-3</v>
      </c>
      <c r="K65" s="2"/>
      <c r="L65" s="6">
        <f t="shared" si="46"/>
        <v>-149.76999999999998</v>
      </c>
      <c r="M65" s="2"/>
      <c r="N65" s="7">
        <f t="shared" si="47"/>
        <v>-0.43560584026525501</v>
      </c>
      <c r="O65" s="11"/>
      <c r="P65" s="6">
        <v>1893.6</v>
      </c>
      <c r="Q65" s="2"/>
      <c r="R65" s="7">
        <f t="shared" si="48"/>
        <v>4.6768489063642293E-3</v>
      </c>
      <c r="S65" s="2"/>
      <c r="T65" s="6">
        <v>3594.57</v>
      </c>
      <c r="U65" s="2"/>
      <c r="V65" s="7">
        <f t="shared" si="49"/>
        <v>8.5808510739879603E-3</v>
      </c>
      <c r="W65" s="2"/>
      <c r="X65" s="6">
        <f t="shared" si="50"/>
        <v>-1700.9700000000003</v>
      </c>
      <c r="Y65" s="2"/>
      <c r="Z65" s="7">
        <f t="shared" si="51"/>
        <v>-0.47320541817241007</v>
      </c>
    </row>
    <row r="66" spans="1:26" s="25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1175</v>
      </c>
      <c r="E66" s="1"/>
      <c r="F66" s="5">
        <f t="shared" si="44"/>
        <v>4.6281707893492986E-2</v>
      </c>
      <c r="G66" s="1"/>
      <c r="H66" s="1">
        <f>SUM(OSRRefH22_14x_0)</f>
        <v>1166.27</v>
      </c>
      <c r="I66" s="1"/>
      <c r="J66" s="5">
        <f t="shared" si="45"/>
        <v>8.3990724270292458E-3</v>
      </c>
      <c r="K66" s="1"/>
      <c r="L66" s="1">
        <f t="shared" si="46"/>
        <v>8.7300000000000182</v>
      </c>
      <c r="M66" s="1"/>
      <c r="N66" s="5">
        <f t="shared" si="47"/>
        <v>7.4854021795982221E-3</v>
      </c>
      <c r="O66" s="13"/>
      <c r="P66" s="1">
        <f>SUM(OSRRefP22_14x_0)</f>
        <v>3186.24</v>
      </c>
      <c r="Q66" s="1"/>
      <c r="R66" s="5">
        <f t="shared" si="48"/>
        <v>7.8694354982118513E-3</v>
      </c>
      <c r="S66" s="1"/>
      <c r="T66" s="1">
        <f>SUM(OSRRefT22_14x_0)</f>
        <v>4591.2</v>
      </c>
      <c r="U66" s="1"/>
      <c r="V66" s="5">
        <f t="shared" si="49"/>
        <v>1.0959976701216978E-2</v>
      </c>
      <c r="W66" s="1"/>
      <c r="X66" s="1">
        <f t="shared" si="50"/>
        <v>-1404.96</v>
      </c>
      <c r="Y66" s="1"/>
      <c r="Z66" s="5">
        <f t="shared" si="51"/>
        <v>-0.30601150026136958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6">
        <v>1175</v>
      </c>
      <c r="E67" s="2"/>
      <c r="F67" s="7">
        <f t="shared" si="44"/>
        <v>4.6281707893492986E-2</v>
      </c>
      <c r="G67" s="2"/>
      <c r="H67" s="6">
        <v>1166.27</v>
      </c>
      <c r="I67" s="2"/>
      <c r="J67" s="7">
        <f t="shared" si="45"/>
        <v>8.3990724270292458E-3</v>
      </c>
      <c r="K67" s="2"/>
      <c r="L67" s="6">
        <f t="shared" si="46"/>
        <v>8.7300000000000182</v>
      </c>
      <c r="M67" s="2"/>
      <c r="N67" s="7">
        <f t="shared" si="47"/>
        <v>7.4854021795982221E-3</v>
      </c>
      <c r="O67" s="11"/>
      <c r="P67" s="6">
        <v>3186.24</v>
      </c>
      <c r="Q67" s="2"/>
      <c r="R67" s="7">
        <f t="shared" si="48"/>
        <v>7.8694354982118513E-3</v>
      </c>
      <c r="S67" s="2"/>
      <c r="T67" s="6">
        <v>4591.2</v>
      </c>
      <c r="U67" s="2"/>
      <c r="V67" s="7">
        <f t="shared" si="49"/>
        <v>1.0959976701216978E-2</v>
      </c>
      <c r="W67" s="2"/>
      <c r="X67" s="6">
        <f t="shared" si="50"/>
        <v>-1404.96</v>
      </c>
      <c r="Y67" s="2"/>
      <c r="Z67" s="7">
        <f t="shared" si="51"/>
        <v>-0.30601150026136958</v>
      </c>
    </row>
    <row r="68" spans="1:26" s="53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9" t="s">
        <v>0</v>
      </c>
      <c r="C69" s="10"/>
      <c r="D69" s="4">
        <f>SUM(OSRRefD25x_0)</f>
        <v>181.5</v>
      </c>
      <c r="E69" s="4"/>
      <c r="F69" s="12">
        <f t="shared" ref="F69:F71" si="52">IF(D$12=0,0,D69/D$12)</f>
        <v>7.1490467937608323E-3</v>
      </c>
      <c r="G69" s="4"/>
      <c r="H69" s="4">
        <f>SUM(OSRRefH25x_0)</f>
        <v>2258.2600000000002</v>
      </c>
      <c r="I69" s="4"/>
      <c r="J69" s="12">
        <f t="shared" ref="J69:J71" si="53">IF(H$12=0,0,H69/H$12)</f>
        <v>1.6263206032104974E-2</v>
      </c>
      <c r="K69" s="4"/>
      <c r="L69" s="4">
        <f t="shared" ref="L69:L71" si="54">+D69-H69</f>
        <v>-2076.7600000000002</v>
      </c>
      <c r="M69" s="4"/>
      <c r="N69" s="12">
        <f t="shared" ref="N69:N71" si="55">IF(H69=0,0,L69/H69)</f>
        <v>-0.91962838645682965</v>
      </c>
      <c r="O69" s="10"/>
      <c r="P69" s="4">
        <f>SUM(OSRRefP25x_0)</f>
        <v>20517.75</v>
      </c>
      <c r="Q69" s="4"/>
      <c r="R69" s="12">
        <f t="shared" ref="R69:R71" si="56">IF(P$12=0,0,P69/P$12)</f>
        <v>5.0675124972831991E-2</v>
      </c>
      <c r="S69" s="4"/>
      <c r="T69" s="4">
        <f>SUM(OSRRefT25x_0)</f>
        <v>27201.09</v>
      </c>
      <c r="U69" s="4"/>
      <c r="V69" s="12">
        <f t="shared" ref="V69:V71" si="57">IF(T$12=0,0,T69/T$12)</f>
        <v>6.4933636663117744E-2</v>
      </c>
      <c r="W69" s="4"/>
      <c r="X69" s="4">
        <f t="shared" ref="X69:X71" si="58">+P69-T69</f>
        <v>-6683.34</v>
      </c>
      <c r="Y69" s="4"/>
      <c r="Z69" s="12">
        <f t="shared" ref="Z69:Z71" si="59">IF(T69=0,0,X69/T69)</f>
        <v>-0.24570118329816931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>--181.5</f>
        <v>181.5</v>
      </c>
      <c r="E70" s="2"/>
      <c r="F70" s="19">
        <f t="shared" si="52"/>
        <v>7.1490467937608323E-3</v>
      </c>
      <c r="G70" s="2"/>
      <c r="H70" s="2">
        <f>--2258.26</f>
        <v>2258.2600000000002</v>
      </c>
      <c r="I70" s="2"/>
      <c r="J70" s="19">
        <f t="shared" si="53"/>
        <v>1.6263206032104974E-2</v>
      </c>
      <c r="K70" s="2"/>
      <c r="L70" s="2">
        <f t="shared" si="54"/>
        <v>-2076.7600000000002</v>
      </c>
      <c r="M70" s="2"/>
      <c r="N70" s="19">
        <f t="shared" si="55"/>
        <v>-0.91962838645682965</v>
      </c>
      <c r="O70" s="11"/>
      <c r="P70" s="2">
        <f>--20517.75</f>
        <v>20517.75</v>
      </c>
      <c r="Q70" s="2"/>
      <c r="R70" s="19">
        <f t="shared" si="56"/>
        <v>5.0675124972831991E-2</v>
      </c>
      <c r="S70" s="2"/>
      <c r="T70" s="2">
        <f>--27030.74</f>
        <v>27030.74</v>
      </c>
      <c r="U70" s="2"/>
      <c r="V70" s="19">
        <f t="shared" si="57"/>
        <v>6.4526982186934548E-2</v>
      </c>
      <c r="W70" s="2"/>
      <c r="X70" s="2">
        <f t="shared" si="58"/>
        <v>-6512.9900000000016</v>
      </c>
      <c r="Y70" s="2"/>
      <c r="Z70" s="19">
        <f t="shared" si="59"/>
        <v>-0.24094752862851707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4.06654476183201E-4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+D17-D19+D69</f>
        <v>9011.4599999999991</v>
      </c>
      <c r="E73" s="14"/>
      <c r="F73" s="20">
        <f>IF(D$12=0,0,D73/D$12)</f>
        <v>0.35494958247991176</v>
      </c>
      <c r="G73" s="14"/>
      <c r="H73" s="21">
        <f>+H17-H19+H69</f>
        <v>2534.8400000000165</v>
      </c>
      <c r="I73" s="14"/>
      <c r="J73" s="20">
        <f>IF(H$12=0,0,H73/H$12)</f>
        <v>1.8255039357036495E-2</v>
      </c>
      <c r="K73" s="15"/>
      <c r="L73" s="21">
        <f>+D73-H73</f>
        <v>6476.6199999999826</v>
      </c>
      <c r="M73" s="15"/>
      <c r="N73" s="20">
        <f>IF(H73=0,0,L73/H73)</f>
        <v>2.5550409493301118</v>
      </c>
      <c r="O73" s="29"/>
      <c r="P73" s="21">
        <f>+P17-P19+P69</f>
        <v>40664.630000000005</v>
      </c>
      <c r="Q73" s="14"/>
      <c r="R73" s="20">
        <f>IF(P$12=0,0,P73/P$12)</f>
        <v>0.10043426824208178</v>
      </c>
      <c r="S73" s="14"/>
      <c r="T73" s="21">
        <f>+T17-T19+T69</f>
        <v>28682.789999999895</v>
      </c>
      <c r="U73" s="14"/>
      <c r="V73" s="20">
        <f>IF(T$12=0,0,T73/T$12)</f>
        <v>6.8470707032126293E-2</v>
      </c>
      <c r="W73" s="15"/>
      <c r="X73" s="21">
        <f>+P73-T73</f>
        <v>11981.840000000109</v>
      </c>
      <c r="Y73" s="15"/>
      <c r="Z73" s="20">
        <f>IF(T73=0,0,X73/T73)</f>
        <v>0.41773621045930864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5307.79</v>
      </c>
      <c r="E75" s="4"/>
      <c r="F75" s="12">
        <f>IF(D$12=0,0,D75/D$12)</f>
        <v>0.20906688199149204</v>
      </c>
      <c r="G75" s="4"/>
      <c r="H75" s="4">
        <v>14711.53</v>
      </c>
      <c r="I75" s="4"/>
      <c r="J75" s="12">
        <f>IF(H$12=0,0,H75/H$12)</f>
        <v>0.10594734150961062</v>
      </c>
      <c r="K75" s="4"/>
      <c r="L75" s="4">
        <f>+D75-H75</f>
        <v>-9403.7400000000016</v>
      </c>
      <c r="M75" s="4"/>
      <c r="N75" s="12">
        <f>IF(H75=0,0,L75/H75)</f>
        <v>-0.6392088382377632</v>
      </c>
      <c r="O75" s="10"/>
      <c r="P75" s="4">
        <v>45972.13</v>
      </c>
      <c r="Q75" s="4"/>
      <c r="R75" s="12">
        <f>IF(P$12=0,0,P75/P$12)</f>
        <v>0.11354283159787397</v>
      </c>
      <c r="S75" s="4"/>
      <c r="T75" s="4">
        <v>43548.86</v>
      </c>
      <c r="U75" s="4"/>
      <c r="V75" s="12">
        <f>IF(T$12=0,0,T75/T$12)</f>
        <v>0.1039585491733229</v>
      </c>
      <c r="W75" s="4"/>
      <c r="X75" s="4">
        <f>+P75-T75</f>
        <v>2423.2699999999968</v>
      </c>
      <c r="Y75" s="4"/>
      <c r="Z75" s="12">
        <f>IF(T75=0,0,X75/T75)</f>
        <v>5.5644854997352326E-2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0">
        <f>+D73-D75</f>
        <v>3703.6699999999992</v>
      </c>
      <c r="E77" s="14"/>
      <c r="F77" s="36">
        <f>IF(D$12=0,0,D77/D$12)</f>
        <v>0.1458827004884197</v>
      </c>
      <c r="G77" s="14"/>
      <c r="H77" s="30">
        <f>+H73-H75</f>
        <v>-12176.689999999984</v>
      </c>
      <c r="I77" s="14"/>
      <c r="J77" s="36">
        <f>IF(H$12=0,0,H77/H$12)</f>
        <v>-8.769230215257412E-2</v>
      </c>
      <c r="K77" s="15"/>
      <c r="L77" s="30">
        <f>D77-H77</f>
        <v>15880.359999999982</v>
      </c>
      <c r="M77" s="15"/>
      <c r="N77" s="36">
        <f>IF(H77=0,0,L77/H77)</f>
        <v>-1.3041606544964193</v>
      </c>
      <c r="O77" s="29"/>
      <c r="P77" s="30">
        <f>+P73-P75</f>
        <v>-5307.4999999999927</v>
      </c>
      <c r="Q77" s="14"/>
      <c r="R77" s="36">
        <f>IF(P$12=0,0,P77/P$12)</f>
        <v>-1.3108563355792201E-2</v>
      </c>
      <c r="S77" s="14"/>
      <c r="T77" s="30">
        <f>+T73-T75</f>
        <v>-14866.070000000105</v>
      </c>
      <c r="U77" s="14"/>
      <c r="V77" s="36">
        <f>IF(T$12=0,0,T77/T$12)</f>
        <v>-3.5487842141196609E-2</v>
      </c>
      <c r="W77" s="15"/>
      <c r="X77" s="30">
        <f>P77-T77</f>
        <v>9558.5700000001125</v>
      </c>
      <c r="Y77" s="15"/>
      <c r="Z77" s="36">
        <f>IF(T77=0,0,X77/T77)</f>
        <v>-0.64297894467065231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3703.6699999999992</v>
      </c>
      <c r="E80" s="14"/>
      <c r="F80" s="32">
        <f>IF(D$12=0,0,D80/D$12)</f>
        <v>0.1458827004884197</v>
      </c>
      <c r="G80" s="14"/>
      <c r="H80" s="31">
        <f>SUM(H77:H79)</f>
        <v>-12176.689999999984</v>
      </c>
      <c r="I80" s="14"/>
      <c r="J80" s="32">
        <f>IF(H$12=0,0,H80/H$12)</f>
        <v>-8.769230215257412E-2</v>
      </c>
      <c r="K80" s="15"/>
      <c r="L80" s="31">
        <f>+D80-H80</f>
        <v>15880.359999999982</v>
      </c>
      <c r="M80" s="15"/>
      <c r="N80" s="32">
        <f>IF(H80=0,0,L80/H80)</f>
        <v>-1.3041606544964193</v>
      </c>
      <c r="O80" s="29"/>
      <c r="P80" s="31">
        <f>SUM(P77:P79)</f>
        <v>-5307.4999999999927</v>
      </c>
      <c r="Q80" s="14"/>
      <c r="R80" s="32">
        <f>IF(P$12=0,0,P80/P$12)</f>
        <v>-1.3108563355792201E-2</v>
      </c>
      <c r="S80" s="14"/>
      <c r="T80" s="31">
        <f>SUM(T77:T79)</f>
        <v>-14866.070000000105</v>
      </c>
      <c r="U80" s="14"/>
      <c r="V80" s="32">
        <f>IF(T$12=0,0,T80/T$12)</f>
        <v>-3.5487842141196609E-2</v>
      </c>
      <c r="W80" s="15"/>
      <c r="X80" s="31">
        <f>+P80-T80</f>
        <v>9558.5700000001125</v>
      </c>
      <c r="Y80" s="15"/>
      <c r="Z80" s="32">
        <f>IF(T80=0,0,X80/T80)</f>
        <v>-0.64297894467065231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4">
        <v>43965.471566747685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59" t="s">
        <v>313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61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2" t="s">
        <v>12</v>
      </c>
    </row>
    <row r="3" spans="1:26" x14ac:dyDescent="0.25">
      <c r="D3" s="62" t="s">
        <v>294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2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2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2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8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5"/>
      <c r="C10" s="10"/>
      <c r="D10" s="42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6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9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9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2" t="e">
        <f ca="1">IF(D$12=0,0,D36/D$12)</f>
        <v>#NAME?</v>
      </c>
      <c r="G36" s="14"/>
      <c r="H36" s="31" t="e">
        <f ca="1">SUM(H31:H35)</f>
        <v>#NAME?</v>
      </c>
      <c r="I36" s="14"/>
      <c r="J36" s="32" t="e">
        <f ca="1">IF(H$12=0,0,H36/H$12)</f>
        <v>#NAME?</v>
      </c>
      <c r="K36" s="15"/>
      <c r="L36" s="31" t="e">
        <f ca="1">+D36-H36</f>
        <v>#NAME?</v>
      </c>
      <c r="M36" s="15"/>
      <c r="N36" s="32" t="e">
        <f ca="1">IF(H36=0,0,L36/H36)</f>
        <v>#NAME?</v>
      </c>
      <c r="O36" s="29"/>
      <c r="P36" s="31" t="e">
        <f ca="1">SUM(P31:P35)</f>
        <v>#NAME?</v>
      </c>
      <c r="Q36" s="14"/>
      <c r="R36" s="32" t="e">
        <f ca="1">IF(P$12=0,0,P36/P$12)</f>
        <v>#NAME?</v>
      </c>
      <c r="S36" s="14"/>
      <c r="T36" s="31" t="e">
        <f ca="1">SUM(T31:T35)</f>
        <v>#NAME?</v>
      </c>
      <c r="U36" s="14"/>
      <c r="V36" s="32" t="e">
        <f ca="1">IF(T$12=0,0,T36/T$12)</f>
        <v>#NAME?</v>
      </c>
      <c r="W36" s="15"/>
      <c r="X36" s="31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4618</vt:i4>
      </vt:variant>
    </vt:vector>
  </HeadingPairs>
  <TitlesOfParts>
    <vt:vector size="4719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100</vt:lpstr>
      <vt:lpstr>Div 2</vt:lpstr>
      <vt:lpstr>OSR_Div 2_1PQ800A</vt:lpstr>
      <vt:lpstr>OSR_Div 1 (2)...789fe994_2NV3KA</vt:lpstr>
      <vt:lpstr>200</vt:lpstr>
      <vt:lpstr>201</vt:lpstr>
      <vt:lpstr>202</vt:lpstr>
      <vt:lpstr>203</vt:lpstr>
      <vt:lpstr>204</vt:lpstr>
      <vt:lpstr>205</vt:lpstr>
      <vt:lpstr>206</vt:lpstr>
      <vt:lpstr>Div 3</vt:lpstr>
      <vt:lpstr>OSR_Div 3_18723PH</vt:lpstr>
      <vt:lpstr>OSR_300 (2)_7...54cb56fc_UFX0O2</vt:lpstr>
      <vt:lpstr>300</vt:lpstr>
      <vt:lpstr>OSR_300_IYZXI6</vt:lpstr>
      <vt:lpstr>OSR_Div 3 (2)...b7db256a_40ITCB</vt:lpstr>
      <vt:lpstr>300 &amp; 317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326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'317'!OSRRefD22_13x_0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'424'!OSRRefD22_13x_0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'307'!OSRRefD22_14x_0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'317'!OSRRefD22_14x_0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'Div 6'!OSRRefD22_14x_0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'317'!OSRRefD22_15x_0</vt:lpstr>
      <vt:lpstr>'322'!OSRRefD22_15x_0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'Div 6'!OSRRefD22_15x_0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'322'!OSRRefD22_16x_0</vt:lpstr>
      <vt:lpstr>'325'!OSRRefD22_16x_0</vt:lpstr>
      <vt:lpstr>'326'!OSRRefD22_16x_0</vt:lpstr>
      <vt:lpstr>'330'!OSRRefD22_16x_0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'330'!OSRRefD22_17x_0</vt:lpstr>
      <vt:lpstr>'331'!OSRRefD22_17x_0</vt:lpstr>
      <vt:lpstr>'405'!OSRRefD22_17x_0</vt:lpstr>
      <vt:lpstr>'411'!OSRRefD22_17x_0</vt:lpstr>
      <vt:lpstr>'415'!OSRRefD22_17x_0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'405'!OSRRefD22_18x_0</vt:lpstr>
      <vt:lpstr>'411'!OSRRefD22_18x_0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'455'!OSRRefD22_2x_0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'435'!OSRRefD22_9x_0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'317'!OSRRefH22_13x_0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'424'!OSRRefH22_13x_0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'307'!OSRRefH22_14x_0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'317'!OSRRefH22_14x_0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'Div 6'!OSRRefH22_14x_0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'317'!OSRRefH22_15x_0</vt:lpstr>
      <vt:lpstr>'322'!OSRRefH22_15x_0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'Div 6'!OSRRefH22_15x_0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'322'!OSRRefH22_16x_0</vt:lpstr>
      <vt:lpstr>'325'!OSRRefH22_16x_0</vt:lpstr>
      <vt:lpstr>'326'!OSRRefH22_16x_0</vt:lpstr>
      <vt:lpstr>'330'!OSRRefH22_16x_0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'330'!OSRRefH22_17x_0</vt:lpstr>
      <vt:lpstr>'331'!OSRRefH22_17x_0</vt:lpstr>
      <vt:lpstr>'405'!OSRRefH22_17x_0</vt:lpstr>
      <vt:lpstr>'411'!OSRRefH22_17x_0</vt:lpstr>
      <vt:lpstr>'415'!OSRRefH22_17x_0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'405'!OSRRefH22_18x_0</vt:lpstr>
      <vt:lpstr>'411'!OSRRefH22_18x_0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'455'!OSRRefH22_2x_0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'435'!OSRRefH22_9x_0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'317'!OSRRefP22_13x_0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'424'!OSRRefP22_13x_0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'307'!OSRRefP22_14x_0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'317'!OSRRefP22_14x_0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'Div 6'!OSRRefP22_14x_0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'317'!OSRRefP22_15x_0</vt:lpstr>
      <vt:lpstr>'322'!OSRRefP22_15x_0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'Div 6'!OSRRefP22_15x_0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'322'!OSRRefP22_16x_0</vt:lpstr>
      <vt:lpstr>'325'!OSRRefP22_16x_0</vt:lpstr>
      <vt:lpstr>'326'!OSRRefP22_16x_0</vt:lpstr>
      <vt:lpstr>'330'!OSRRefP22_16x_0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'330'!OSRRefP22_17x_0</vt:lpstr>
      <vt:lpstr>'331'!OSRRefP22_17x_0</vt:lpstr>
      <vt:lpstr>'405'!OSRRefP22_17x_0</vt:lpstr>
      <vt:lpstr>'411'!OSRRefP22_17x_0</vt:lpstr>
      <vt:lpstr>'415'!OSRRefP22_17x_0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'405'!OSRRefP22_18x_0</vt:lpstr>
      <vt:lpstr>'411'!OSRRefP22_18x_0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'455'!OSRRefP22_2x_0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'435'!OSRRefP22_9x_0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'317'!OSRRefT22_13x_0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'424'!OSRRefT22_13x_0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'307'!OSRRefT22_14x_0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'317'!OSRRefT22_14x_0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'Div 6'!OSRRefT22_14x_0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'317'!OSRRefT22_15x_0</vt:lpstr>
      <vt:lpstr>'322'!OSRRefT22_15x_0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'Div 6'!OSRRefT22_15x_0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'322'!OSRRefT22_16x_0</vt:lpstr>
      <vt:lpstr>'325'!OSRRefT22_16x_0</vt:lpstr>
      <vt:lpstr>'326'!OSRRefT22_16x_0</vt:lpstr>
      <vt:lpstr>'330'!OSRRefT22_16x_0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'330'!OSRRefT22_17x_0</vt:lpstr>
      <vt:lpstr>'331'!OSRRefT22_17x_0</vt:lpstr>
      <vt:lpstr>'405'!OSRRefT22_17x_0</vt:lpstr>
      <vt:lpstr>'411'!OSRRefT22_17x_0</vt:lpstr>
      <vt:lpstr>'415'!OSRRefT22_17x_0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'405'!OSRRefT22_18x_0</vt:lpstr>
      <vt:lpstr>'411'!OSRRefT22_18x_0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'455'!OSRRefT22_2x_0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'435'!OSRRefT22_9x_0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2020-05-14T18:52:18Z</dcterms:modified>
</cp:coreProperties>
</file>